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808房山项目\"/>
    </mc:Choice>
  </mc:AlternateContent>
  <bookViews>
    <workbookView minimized="1" xWindow="480" yWindow="540" windowWidth="12120" windowHeight="7296"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比较法-工业" sheetId="37" state="hidden" r:id="rId22"/>
    <sheet name="土地案例" sheetId="81" r:id="rId23"/>
    <sheet name="土地比较法-工业" sheetId="40" r:id="rId24"/>
    <sheet name="比较法-工业2" sheetId="80" state="hidden" r:id="rId25"/>
    <sheet name="基准地价修正" sheetId="43" state="hidden" r:id="rId26"/>
    <sheet name="假设开发法" sheetId="12" r:id="rId27"/>
    <sheet name="收益法" sheetId="15" r:id="rId28"/>
    <sheet name="收益法地下厂房" sheetId="78" r:id="rId29"/>
    <sheet name="收益法地下车库" sheetId="79" r:id="rId30"/>
    <sheet name="收益法 (元)" sheetId="67" state="hidden" r:id="rId31"/>
    <sheet name="收益法（汇总）" sheetId="70" state="hidden" r:id="rId32"/>
    <sheet name="酒店收入计算" sheetId="66" state="hidden" r:id="rId33"/>
    <sheet name="比较法-住宅" sheetId="21" state="hidden" r:id="rId34"/>
    <sheet name="比较法-商业" sheetId="33" state="hidden" r:id="rId35"/>
    <sheet name="比较法-办公" sheetId="34" state="hidden" r:id="rId36"/>
    <sheet name="比较法-车位" sheetId="35" state="hidden" r:id="rId37"/>
    <sheet name="比较法-仓储" sheetId="36" state="hidden" r:id="rId38"/>
    <sheet name="土地比较法-住宅、综合" sheetId="39" state="hidden" r:id="rId39"/>
    <sheet name="修正" sheetId="45" state="hidden" r:id="rId40"/>
    <sheet name="容积率修正" sheetId="46" state="hidden" r:id="rId41"/>
    <sheet name="基准地价（汇总）" sheetId="76" state="hidden" r:id="rId42"/>
    <sheet name="地价" sheetId="71"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5" hidden="1">'比较法-办公'!$A$1:$L$50</definedName>
    <definedName name="_xlnm._FilterDatabase" localSheetId="37" hidden="1">'比较法-仓储'!$A$1:$L$37</definedName>
    <definedName name="_xlnm._FilterDatabase" localSheetId="36" hidden="1">'比较法-车位'!$A$1:$L$39</definedName>
    <definedName name="_xlnm._FilterDatabase" localSheetId="21" hidden="1">'比较法-工业'!$A$1:$L$43</definedName>
    <definedName name="_xlnm._FilterDatabase" localSheetId="24" hidden="1">'比较法-工业2'!$A$1:$L$45</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30">'收益法 (元)'!$A$1:$AK$69</definedName>
    <definedName name="_xlnm.Print_Area" localSheetId="28">收益法地下厂房!$A$1:$AK$69</definedName>
    <definedName name="_xlnm.Print_Area" localSheetId="29">收益法地下车库!$A$1:$AK$69</definedName>
    <definedName name="_xlnm.Print_Area" localSheetId="14">'数据-汇总表'!$A$1:$P$32</definedName>
    <definedName name="八级">区片价!$O$1:$O$40</definedName>
    <definedName name="办公层高" localSheetId="24">'[1]不动产比较法-办公'!$B$119:$M$119</definedName>
    <definedName name="办公层高">'比较法-办公'!$B$119:$M$119</definedName>
    <definedName name="办公朝向" localSheetId="24">'[1]不动产比较法-办公'!$B$91:$M$91</definedName>
    <definedName name="办公朝向">'比较法-办公'!$B$91:$M$91</definedName>
    <definedName name="办公道路级别" localSheetId="24">'[1]不动产比较法-办公'!$B$87:$M$87</definedName>
    <definedName name="办公道路级别">'比较法-办公'!$B$87:$M$87</definedName>
    <definedName name="办公公共部分装修" localSheetId="24">'[1]不动产比较法-办公'!$B$108:$M$108</definedName>
    <definedName name="办公公共部分装修">'比较法-办公'!$B$108:$M$108</definedName>
    <definedName name="办公基础设施水平" localSheetId="24">'[1]不动产比较法-办公'!$B$117:$M$117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'[1]不动产比较法-办公'!$B$106:$M$106</definedName>
    <definedName name="办公建筑结构">'比较法-办公'!$B$106:$M$106</definedName>
    <definedName name="办公建筑类型" localSheetId="24">'[1]不动产比较法-办公'!$B$101:$M$101</definedName>
    <definedName name="办公建筑类型">'比较法-办公'!$B$101:$M$101</definedName>
    <definedName name="办公交易情况" localSheetId="24">'[1]不动产比较法-办公'!$A$62:$M$62</definedName>
    <definedName name="办公交易情况">'比较法-办公'!$A$62:$M$62</definedName>
    <definedName name="办公楼层" localSheetId="24">'[1]不动产比较法-办公'!$B$89:$M$89</definedName>
    <definedName name="办公楼层">'比较法-办公'!$B$89:$M$89</definedName>
    <definedName name="办公内部装修" localSheetId="24">'[1]不动产比较法-办公'!$B$123:$M$123</definedName>
    <definedName name="办公内部装修">'比较法-办公'!$B$123:$M$123</definedName>
    <definedName name="办公物业管理" localSheetId="24">'[1]不动产比较法-办公'!$B$115:$M$115</definedName>
    <definedName name="办公物业管理">'比较法-办公'!$B$115:$M$115</definedName>
    <definedName name="办公用途" localSheetId="24">'[1]不动产比较法-办公'!$B$64:$M$64</definedName>
    <definedName name="办公用途">'比较法-办公'!$B$64:$M$64</definedName>
    <definedName name="仓储公共部分装修" localSheetId="24">'[1]不动产比较法-仓储'!$B$77:$M$77</definedName>
    <definedName name="仓储公共部分装修">'比较法-仓储'!$B$77:$M$77</definedName>
    <definedName name="仓储交易情况" localSheetId="24">'[1]不动产比较法-仓储'!$A$49:$M$49</definedName>
    <definedName name="仓储交易情况">'比较法-仓储'!$A$49:$M$49</definedName>
    <definedName name="仓储楼层" localSheetId="24">'[1]不动产比较法-仓储'!$B$69:$M$69</definedName>
    <definedName name="仓储楼层">'比较法-仓储'!$B$69:$M$69</definedName>
    <definedName name="仓储物业等级" localSheetId="24">'[1]不动产比较法-仓储'!$B$82:$M$82</definedName>
    <definedName name="仓储物业等级">'比较法-仓储'!$B$82:$M$82</definedName>
    <definedName name="仓储用途" localSheetId="24">'[1]不动产比较法-仓储'!$B$51:$M$51</definedName>
    <definedName name="仓储用途">'比较法-仓储'!$B$51:$M$51</definedName>
    <definedName name="产业集聚程度" localSheetId="24">[1]定义!$N$1:$N$6</definedName>
    <definedName name="产业集聚程度">定义!$N$1:$N$6</definedName>
    <definedName name="车位公共部分装修" localSheetId="24">'[1]不动产比较法-车位'!$B$83:$M$83</definedName>
    <definedName name="车位公共部分装修">'比较法-车位'!$B$83:$M$83</definedName>
    <definedName name="车位交易情况" localSheetId="24">'[1]不动产比较法-车位'!$A$51:$M$51</definedName>
    <definedName name="车位交易情况">'比较法-车位'!$A$51:$M$51</definedName>
    <definedName name="车位类型" localSheetId="24">'[1]不动产比较法-车位'!$B$93:$M$93</definedName>
    <definedName name="车位类型">'比较法-车位'!$B$93:$M$93</definedName>
    <definedName name="车位楼层" localSheetId="24">'[1]不动产比较法-车位'!$B$71:$M$71</definedName>
    <definedName name="车位楼层">'比较法-车位'!$B$71:$M$71</definedName>
    <definedName name="车位配套类型" localSheetId="24">'[1]不动产比较法-车位'!$B$79:$M$79</definedName>
    <definedName name="车位配套类型">'比较法-车位'!$B$79:$M$79</definedName>
    <definedName name="车位物业等级" localSheetId="24">'[1]不动产比较法-车位'!$B$88:$M$88</definedName>
    <definedName name="车位物业等级">'比较法-车位'!$B$88:$M$88</definedName>
    <definedName name="车位用途" localSheetId="24">'[1]不动产比较法-车位'!$B$53:$M$53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区片价!$I$1:$I$20</definedName>
    <definedName name="二级分类" localSheetId="24">[1]修正!$C$17:$C$39</definedName>
    <definedName name="二级分类">修正!$C$17:$C$39</definedName>
    <definedName name="法定最高年限" localSheetId="24">[1]定义!$G$2:$G$4</definedName>
    <definedName name="法定最高年限">定义!$G$1:$G$4</definedName>
    <definedName name="工业公共部分装修" localSheetId="24">'[1]不动产比较法-工业'!$B$95:$M$95</definedName>
    <definedName name="工业公共部分装修">'比较法-工业'!$B$95:$M$95</definedName>
    <definedName name="工业基础设施水平" localSheetId="24">'[1]不动产比较法-工业'!$B$102:$M$102</definedName>
    <definedName name="工业基础设施水平">'比较法-工业'!$B$102:$M$102</definedName>
    <definedName name="工业建筑结构" localSheetId="24">'[1]不动产比较法-工业'!$B$93:$M$93</definedName>
    <definedName name="工业建筑结构">'比较法-工业'!$B$93:$M$93</definedName>
    <definedName name="工业建筑类型" localSheetId="24">'[1]不动产比较法-工业'!$B$88:$M$88</definedName>
    <definedName name="工业建筑类型">'比较法-工业'!$B$88:$M$88</definedName>
    <definedName name="工业交易情况" localSheetId="24">'[1]不动产比较法-工业'!$A$55:$M$55</definedName>
    <definedName name="工业交易情况">'比较法-工业'!$A$55:$M$55</definedName>
    <definedName name="工业内部装修" localSheetId="24">'[1]不动产比较法-工业'!$B$104:$M$104</definedName>
    <definedName name="工业内部装修">'比较法-工业'!$B$104:$M$104</definedName>
    <definedName name="工业物业管理" localSheetId="24">'[1]不动产比较法-工业'!$B$100:$M$100</definedName>
    <definedName name="工业物业管理">'比较法-工业'!$B$100:$M$100</definedName>
    <definedName name="工业用途" localSheetId="24">'[1]不动产比较法-工业'!$B$57:$M$57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区片价!$J$1:$J$21</definedName>
    <definedName name="商业层高" localSheetId="24">'[1]不动产比较法-商业'!$B$116:$M$116</definedName>
    <definedName name="商业层高">'比较法-商业'!$B$116:$M$116</definedName>
    <definedName name="商业成新度">'比较法-商业'!$B$109:$M$109</definedName>
    <definedName name="商业繁华度" localSheetId="24">[1]定义!$L$1:$L$6</definedName>
    <definedName name="商业繁华度">定义!$L$1:$L$6</definedName>
    <definedName name="商业公共部分装修" localSheetId="24">'[1]不动产比较法-商业'!$B$107:$M$107</definedName>
    <definedName name="商业公共部分装修">'比较法-商业'!$B$107:$M$107</definedName>
    <definedName name="商业基础设施水平" localSheetId="24">'[1]不动产比较法-商业'!$B$112:$M$112</definedName>
    <definedName name="商业基础设施水平">'比较法-商业'!$B$112:$M$112</definedName>
    <definedName name="商业建筑结构" localSheetId="24">'[1]不动产比较法-商业'!$B$105:$M$105</definedName>
    <definedName name="商业建筑结构">'比较法-商业'!$B$105:$M$105</definedName>
    <definedName name="商业交易情况" localSheetId="24">'[1]不动产比较法-商业'!$A$61:$M$61</definedName>
    <definedName name="商业交易情况">'比较法-商业'!$A$61:$M$61</definedName>
    <definedName name="商业街名称" localSheetId="24">[1]修正!$C$59:$C$119</definedName>
    <definedName name="商业街名称">修正!$C$59:$C$119</definedName>
    <definedName name="商业进深比" localSheetId="24">'[1]不动产比较法-商业'!$B$120:$M$120</definedName>
    <definedName name="商业进深比">'比较法-商业'!$B$120:$M$120</definedName>
    <definedName name="商业类型" localSheetId="24">'[1]不动产比较法-商业'!$B$100:$M$100</definedName>
    <definedName name="商业类型">'比较法-商业'!$B$100:$M$100</definedName>
    <definedName name="商业临街状况" localSheetId="24">'[1]不动产比较法-商业'!$B$86:$M$86</definedName>
    <definedName name="商业临街状况">'比较法-商业'!$B$86:$M$86</definedName>
    <definedName name="商业楼层" localSheetId="24">'[1]不动产比较法-商业'!$B$92:$M$92</definedName>
    <definedName name="商业楼层">'比较法-商业'!$B$92:$M$92</definedName>
    <definedName name="商业内部装修" localSheetId="24">'[1]不动产比较法-商业'!$B$122:$M$122</definedName>
    <definedName name="商业内部装修">'比较法-商业'!$B$122:$M$122</definedName>
    <definedName name="商业人流量" localSheetId="24">'[1]不动产比较法-商业'!$B$90:$M$90</definedName>
    <definedName name="商业人流量">'比较法-商业'!$B$90:$M$90</definedName>
    <definedName name="商业业态" localSheetId="24">'[1]不动产比较法-商业'!$B$114:$M$114</definedName>
    <definedName name="商业业态">'比较法-商业'!$B$114:$M$114</definedName>
    <definedName name="商业用途" localSheetId="24">'[1]不动产比较法-商业'!$B$63:$M$63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4">'[1]不动产比较法-仓储'!$B$89:$M$89</definedName>
    <definedName name="是否封闭">'比较法-仓储'!$B$89:$M$89</definedName>
    <definedName name="是否直接入户" localSheetId="24">'[1]不动产比较法-车位'!$B$95:$M$95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'比较法-工业2'!$B$116:$M$116</definedName>
    <definedName name="套工交易情况" localSheetId="24">'[1]比较法-住宅、综合'!$A$75:$M$75</definedName>
    <definedName name="套工交易情况">'土地比较法-住宅、综合'!$A$73:$M$73</definedName>
    <definedName name="套工开发程度">'比较法-工业2'!$B$114:$M$114</definedName>
    <definedName name="套工临街等级">'比较法-工业2'!$B$99:$M$99</definedName>
    <definedName name="套工土地级别" localSheetId="24">'比较法-工业2'!$B$101:$M$101</definedName>
    <definedName name="套工土地级别">'土地比较法-工业'!$B$99:$M$99</definedName>
    <definedName name="套工用途" localSheetId="24">'比较法-工业2'!$B$72:$M$72</definedName>
    <definedName name="套工用途">'土地比较法-工业'!$B$70:$M$70</definedName>
    <definedName name="套工宗地开发程度">'土地比较法-工业'!$B$112:$M$112</definedName>
    <definedName name="套工宗地形状" localSheetId="24">'比较法-工业2'!$B$112:$M$112</definedName>
    <definedName name="套工宗地形状">'土地比较法-工业'!$B$110:$M$110</definedName>
    <definedName name="套综道路等级" localSheetId="24">'[1]比较法-住宅、综合'!$B$108:$M$108</definedName>
    <definedName name="套综道路等级">'土地比较法-住宅、综合'!$B$106:$M$106</definedName>
    <definedName name="套综工程地质条件" localSheetId="24">'[1]比较法-住宅、综合'!$B$127:$M$127</definedName>
    <definedName name="套综工程地质条件">'土地比较法-住宅、综合'!$B$125:$M$125</definedName>
    <definedName name="套综交易情况" localSheetId="24">'[1]比较法-住宅、综合'!$A$75:$M$75</definedName>
    <definedName name="套综交易情况">'土地比较法-住宅、综合'!$A$73:$M$73</definedName>
    <definedName name="套综临街宽度及深度" localSheetId="24">'[1]比较法-住宅、综合'!$B$123:$M$123</definedName>
    <definedName name="套综临街宽度及深度">'土地比较法-住宅、综合'!$B$121:$M$121</definedName>
    <definedName name="套综土地级别" localSheetId="24">'[1]比较法-住宅、综合'!$B$110:$M$110</definedName>
    <definedName name="套综土地级别">'土地比较法-住宅、综合'!$B$108:$M$108</definedName>
    <definedName name="套综用途" localSheetId="24">'[1]比较法-住宅、综合'!$B$77:$M$77</definedName>
    <definedName name="套综用途">'土地比较法-住宅、综合'!$B$75:$M$75</definedName>
    <definedName name="套综宗地内开发程度" localSheetId="24">'[1]比较法-住宅、综合'!$B$125:$M$125</definedName>
    <definedName name="套综宗地内开发程度">'土地比较法-住宅、综合'!$B$123:$M$123</definedName>
    <definedName name="套综宗地形状" localSheetId="24">'[1]比较法-住宅、综合'!$B$121:$M$121</definedName>
    <definedName name="套综宗地形状">'土地比较法-住宅、综合'!$B$119:$M$119</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区片价!$L$1:$L$35</definedName>
    <definedName name="项目类型" localSheetId="24">'[1]数据-汇总表'!$C$17:$C$26</definedName>
    <definedName name="项目类型">'数据-汇总表'!$C$17:$C$26</definedName>
    <definedName name="写字楼等级" localSheetId="24">'[1]不动产比较法-办公'!$B$113:$M$113</definedName>
    <definedName name="写字楼等级">'比较法-办公'!$B$113:$M$113</definedName>
    <definedName name="一级">区片价!$H$1:$H$6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类型">[1]定义!$A$1:$A$50</definedName>
    <definedName name="用途明细">定义!$A$1:$A$50</definedName>
    <definedName name="有无电梯" localSheetId="24">'[1]不动产比较法-仓储'!$B$84:$M$84</definedName>
    <definedName name="有无电梯">'比较法-仓储'!$B$84:$M$84</definedName>
    <definedName name="主用途" localSheetId="24">[1]定义!$F$1:$F$10</definedName>
    <definedName name="主用途">定义!$F$1:$F$10</definedName>
    <definedName name="住宅朝向" localSheetId="24">'[1]不动产比较法-住宅'!$B$88:$M$88</definedName>
    <definedName name="住宅朝向">'比较法-住宅'!$B$88:$M$88</definedName>
    <definedName name="住宅房型" localSheetId="24">'[1]不动产比较法-住宅'!$B$118:$M$118</definedName>
    <definedName name="住宅房型">'比较法-住宅'!$B$118:$M$118</definedName>
    <definedName name="住宅公共部分装修" localSheetId="24">'[1]不动产比较法-住宅'!$B$109:$M$109</definedName>
    <definedName name="住宅公共部分装修">'比较法-住宅'!$B$109:$M$109</definedName>
    <definedName name="住宅基础设施水平" localSheetId="24">'[1]不动产比较法-住宅'!$B$116:$M$116</definedName>
    <definedName name="住宅基础设施水平">'比较法-住宅'!$B$116:$M$116</definedName>
    <definedName name="住宅建筑结构" localSheetId="24">'[1]不动产比较法-住宅'!$B$105:$M$105</definedName>
    <definedName name="住宅建筑结构">'比较法-住宅'!$B$105:$M$105</definedName>
    <definedName name="住宅建筑类型" localSheetId="24">'[1]不动产比较法-住宅'!$B$100:$M$100</definedName>
    <definedName name="住宅建筑类型">'比较法-住宅'!$B$100:$M$100</definedName>
    <definedName name="住宅建筑品质" localSheetId="24">'[1]不动产比较法-住宅'!$B$107:$M$107</definedName>
    <definedName name="住宅建筑品质">'比较法-住宅'!$B$107:$M$107</definedName>
    <definedName name="住宅交易情况" localSheetId="24">'[1]不动产比较法-住宅'!$A$61:$M$61</definedName>
    <definedName name="住宅交易情况">'比较法-住宅'!$A$61:$M$61</definedName>
    <definedName name="住宅楼层" localSheetId="24">'[1]不动产比较法-住宅'!$B$86:$M$86</definedName>
    <definedName name="住宅楼层">'比较法-住宅'!$B$86:$M$86</definedName>
    <definedName name="住宅内部装修" localSheetId="24">'[1]不动产比较法-住宅'!$B$122:$M$122</definedName>
    <definedName name="住宅内部装修">'比较法-住宅'!$B$122:$M$122</definedName>
    <definedName name="住宅物业管理" localSheetId="24">'[1]不动产比较法-住宅'!$B$114:$M$114</definedName>
    <definedName name="住宅物业管理">'比较法-住宅'!$B$114:$M$114</definedName>
    <definedName name="住宅用途" localSheetId="24">'[1]不动产比较法-住宅'!$B$63:$M$63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34" i="77" l="1"/>
  <c r="L34" i="77"/>
  <c r="Z18" i="77"/>
  <c r="X18" i="77"/>
  <c r="Y17" i="77"/>
  <c r="X17" i="77"/>
  <c r="X19" i="77" s="1"/>
  <c r="L32" i="77"/>
  <c r="C38" i="9"/>
  <c r="N32" i="77"/>
  <c r="N31" i="77"/>
  <c r="N30" i="77"/>
  <c r="M30" i="77"/>
  <c r="L31" i="77"/>
  <c r="L30" i="77"/>
  <c r="C15" i="74"/>
  <c r="B15" i="74"/>
  <c r="L25" i="77"/>
  <c r="E66" i="40"/>
  <c r="F66" i="40"/>
  <c r="G66" i="40" s="1"/>
  <c r="H66" i="40" s="1"/>
  <c r="I66" i="40" s="1"/>
  <c r="J66" i="40" s="1"/>
  <c r="K66" i="40" s="1"/>
  <c r="L66" i="40" s="1"/>
  <c r="M66" i="40" s="1"/>
  <c r="N66" i="40" s="1"/>
  <c r="O66" i="40" s="1"/>
  <c r="D66" i="40"/>
  <c r="E7" i="40"/>
  <c r="E5" i="40"/>
  <c r="E34" i="40"/>
  <c r="E41" i="40"/>
  <c r="I41" i="40"/>
  <c r="G41" i="40"/>
  <c r="C11" i="40"/>
  <c r="G21" i="6"/>
  <c r="G20" i="6"/>
  <c r="F19" i="6"/>
  <c r="Z17" i="77" l="1"/>
  <c r="Z19" i="77" s="1"/>
  <c r="D15" i="74" l="1"/>
  <c r="G15" i="74" l="1"/>
  <c r="I34" i="40" l="1"/>
  <c r="G34" i="40"/>
  <c r="C34" i="40"/>
  <c r="I7" i="40"/>
  <c r="G7" i="40"/>
  <c r="I5" i="40"/>
  <c r="G5" i="40"/>
  <c r="AT3" i="81"/>
  <c r="AT4" i="81"/>
  <c r="AT5" i="81"/>
  <c r="AT6" i="81"/>
  <c r="AT7" i="81"/>
  <c r="AT8" i="81"/>
  <c r="AT9" i="81"/>
  <c r="AT10" i="81"/>
  <c r="AT11" i="81"/>
  <c r="AT12" i="81"/>
  <c r="AT13" i="81"/>
  <c r="AT14" i="81"/>
  <c r="AT15" i="81"/>
  <c r="AT16" i="81"/>
  <c r="AT2" i="81"/>
  <c r="N14" i="1"/>
  <c r="N7" i="1"/>
  <c r="N6" i="1"/>
  <c r="AT20" i="3"/>
  <c r="AN20" i="3"/>
  <c r="AL20" i="3"/>
  <c r="M19" i="3"/>
  <c r="K18" i="3"/>
  <c r="I17" i="3"/>
  <c r="A3" i="3"/>
  <c r="AN16" i="3"/>
  <c r="AL16" i="3"/>
  <c r="M15" i="3"/>
  <c r="K14" i="3"/>
  <c r="I13" i="3"/>
  <c r="X13" i="77"/>
  <c r="Y11" i="77"/>
  <c r="Y8" i="77"/>
  <c r="Y10" i="77"/>
  <c r="Y9" i="77"/>
  <c r="Y7" i="77"/>
  <c r="Y6" i="77"/>
  <c r="Y14" i="77"/>
  <c r="X14" i="77"/>
  <c r="Y13" i="77"/>
  <c r="M18" i="77"/>
  <c r="M9" i="77"/>
  <c r="I36" i="77"/>
  <c r="I35" i="77"/>
  <c r="I34" i="77"/>
  <c r="I33" i="77"/>
  <c r="I32" i="77"/>
  <c r="I31" i="77"/>
  <c r="I30" i="77"/>
  <c r="I29" i="77"/>
  <c r="I28" i="77"/>
  <c r="I27" i="77"/>
  <c r="I26" i="77"/>
  <c r="I25" i="77"/>
  <c r="I24" i="77"/>
  <c r="I23" i="77"/>
  <c r="I22" i="77"/>
  <c r="I21" i="77"/>
  <c r="I20" i="77"/>
  <c r="I19" i="77"/>
  <c r="I13" i="77"/>
  <c r="I12" i="77"/>
  <c r="L20" i="77"/>
  <c r="L19" i="77"/>
  <c r="L18" i="77"/>
  <c r="L16" i="77"/>
  <c r="L15" i="77"/>
  <c r="L14" i="77"/>
  <c r="L9" i="77"/>
  <c r="L11" i="77" s="1"/>
  <c r="M10" i="77"/>
  <c r="L10" i="77"/>
  <c r="M11" i="77" l="1"/>
  <c r="B41" i="77"/>
  <c r="L26" i="77" s="1"/>
  <c r="M20" i="77" l="1"/>
  <c r="I6" i="40" l="1"/>
  <c r="E6" i="40"/>
  <c r="C36" i="80"/>
  <c r="B122" i="80"/>
  <c r="B120" i="80"/>
  <c r="J41" i="80" s="1"/>
  <c r="AC41" i="80" s="1"/>
  <c r="B118" i="80"/>
  <c r="D117" i="80"/>
  <c r="E117" i="80" s="1"/>
  <c r="F117" i="80" s="1"/>
  <c r="G117" i="80" s="1"/>
  <c r="H117" i="80" s="1"/>
  <c r="I117" i="80" s="1"/>
  <c r="J117" i="80" s="1"/>
  <c r="K117" i="80" s="1"/>
  <c r="L117" i="80" s="1"/>
  <c r="M117" i="80"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M109" i="80"/>
  <c r="L109" i="80"/>
  <c r="K109" i="80"/>
  <c r="J109" i="80"/>
  <c r="I109" i="80"/>
  <c r="H109" i="80"/>
  <c r="G109" i="80"/>
  <c r="F109" i="80"/>
  <c r="E109" i="80"/>
  <c r="D109" i="80"/>
  <c r="C109" i="80"/>
  <c r="B107" i="80"/>
  <c r="B105" i="80"/>
  <c r="B103" i="80"/>
  <c r="D102" i="80"/>
  <c r="E102" i="80" s="1"/>
  <c r="F102" i="80" s="1"/>
  <c r="G102" i="80" s="1"/>
  <c r="H102" i="80" s="1"/>
  <c r="I102" i="80" s="1"/>
  <c r="J102" i="80" s="1"/>
  <c r="K102" i="80" s="1"/>
  <c r="L102" i="80" s="1"/>
  <c r="M102" i="80" s="1"/>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B97" i="80"/>
  <c r="D96" i="80"/>
  <c r="E96" i="80" s="1"/>
  <c r="F96" i="80" s="1"/>
  <c r="G96" i="80" s="1"/>
  <c r="D94" i="80"/>
  <c r="E94" i="80" s="1"/>
  <c r="D92" i="80"/>
  <c r="E92" i="80" s="1"/>
  <c r="D90" i="80"/>
  <c r="E90" i="80" s="1"/>
  <c r="F90" i="80" s="1"/>
  <c r="G90" i="80" s="1"/>
  <c r="D88" i="80"/>
  <c r="E88" i="80" s="1"/>
  <c r="D86" i="80"/>
  <c r="E86" i="80" s="1"/>
  <c r="B83" i="80"/>
  <c r="B81" i="80"/>
  <c r="B79" i="80"/>
  <c r="D78" i="80"/>
  <c r="E78" i="80" s="1"/>
  <c r="F78" i="80" s="1"/>
  <c r="G78" i="80" s="1"/>
  <c r="H78" i="80" s="1"/>
  <c r="I78" i="80" s="1"/>
  <c r="J78" i="80" s="1"/>
  <c r="K78" i="80" s="1"/>
  <c r="L78" i="80" s="1"/>
  <c r="M78" i="80" s="1"/>
  <c r="M76" i="80"/>
  <c r="L76" i="80"/>
  <c r="K76" i="80"/>
  <c r="J76" i="80"/>
  <c r="I76" i="80"/>
  <c r="H76" i="80"/>
  <c r="G76" i="80"/>
  <c r="F76" i="80"/>
  <c r="E76" i="80"/>
  <c r="D76" i="80"/>
  <c r="C76" i="80"/>
  <c r="E68" i="80"/>
  <c r="F68" i="80" s="1"/>
  <c r="G68" i="80" s="1"/>
  <c r="H68" i="80" s="1"/>
  <c r="I68" i="80" s="1"/>
  <c r="J68" i="80" s="1"/>
  <c r="K68" i="80" s="1"/>
  <c r="D68" i="80"/>
  <c r="B68" i="80"/>
  <c r="H62" i="80"/>
  <c r="I62" i="80" s="1"/>
  <c r="C62" i="80" s="1"/>
  <c r="E62" i="80"/>
  <c r="H61" i="80"/>
  <c r="I61" i="80" s="1"/>
  <c r="C61" i="80" s="1"/>
  <c r="E61" i="80"/>
  <c r="H60" i="80"/>
  <c r="I60" i="80" s="1"/>
  <c r="C60" i="80" s="1"/>
  <c r="E60" i="80"/>
  <c r="H59" i="80"/>
  <c r="I59" i="80" s="1"/>
  <c r="C59" i="80" s="1"/>
  <c r="E59" i="80"/>
  <c r="H58" i="80"/>
  <c r="I58" i="80" s="1"/>
  <c r="C58" i="80" s="1"/>
  <c r="E58" i="80"/>
  <c r="H57" i="80"/>
  <c r="I57" i="80" s="1"/>
  <c r="C57" i="80" s="1"/>
  <c r="H56" i="80"/>
  <c r="I56" i="80" s="1"/>
  <c r="C56" i="80" s="1"/>
  <c r="H55" i="80"/>
  <c r="I55" i="80" s="1"/>
  <c r="C55" i="80" s="1"/>
  <c r="H54" i="80"/>
  <c r="I54" i="80" s="1"/>
  <c r="C54" i="80" s="1"/>
  <c r="E53" i="80"/>
  <c r="J52" i="80"/>
  <c r="I50" i="80"/>
  <c r="J50" i="80" s="1"/>
  <c r="G50" i="80"/>
  <c r="H50" i="80" s="1"/>
  <c r="E50" i="80"/>
  <c r="F50" i="80" s="1"/>
  <c r="P45" i="80"/>
  <c r="P44" i="80"/>
  <c r="V43" i="80"/>
  <c r="T43" i="80"/>
  <c r="R43" i="80"/>
  <c r="P43" i="80"/>
  <c r="Q42" i="80"/>
  <c r="Z42" i="80" s="1"/>
  <c r="J42" i="80"/>
  <c r="AC42" i="80" s="1"/>
  <c r="H42" i="80"/>
  <c r="AB42" i="80" s="1"/>
  <c r="F42" i="80"/>
  <c r="AA42" i="80" s="1"/>
  <c r="Q41" i="80"/>
  <c r="Z41" i="80" s="1"/>
  <c r="H41" i="80"/>
  <c r="AB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I36" i="80"/>
  <c r="G36" i="80"/>
  <c r="E36" i="80"/>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C32" i="80"/>
  <c r="H32" i="80" s="1"/>
  <c r="Q30" i="80"/>
  <c r="Z30" i="80" s="1"/>
  <c r="J30" i="80"/>
  <c r="AC30" i="80" s="1"/>
  <c r="H30" i="80"/>
  <c r="AB30" i="80" s="1"/>
  <c r="F30" i="80"/>
  <c r="AA30" i="80" s="1"/>
  <c r="C30" i="80"/>
  <c r="Q29" i="80"/>
  <c r="Z29" i="80" s="1"/>
  <c r="J29" i="80"/>
  <c r="AC29" i="80" s="1"/>
  <c r="H29" i="80"/>
  <c r="AB29" i="80" s="1"/>
  <c r="F29" i="80"/>
  <c r="AA29" i="80" s="1"/>
  <c r="Q27" i="80"/>
  <c r="Z27" i="80" s="1"/>
  <c r="J27" i="80"/>
  <c r="AC27" i="80" s="1"/>
  <c r="H27" i="80"/>
  <c r="AB27" i="80" s="1"/>
  <c r="F27" i="80"/>
  <c r="AA27" i="80" s="1"/>
  <c r="C27" i="80"/>
  <c r="Q25" i="80"/>
  <c r="Z25" i="80" s="1"/>
  <c r="C25" i="80"/>
  <c r="Q23" i="80"/>
  <c r="Z23" i="80" s="1"/>
  <c r="C23" i="80"/>
  <c r="Q21" i="80"/>
  <c r="Z21" i="80" s="1"/>
  <c r="J21" i="80"/>
  <c r="AC21" i="80" s="1"/>
  <c r="H21" i="80"/>
  <c r="AB21" i="80" s="1"/>
  <c r="F21" i="80"/>
  <c r="AA21" i="80" s="1"/>
  <c r="C21" i="80"/>
  <c r="Q19" i="80"/>
  <c r="Z19" i="80" s="1"/>
  <c r="C19" i="80"/>
  <c r="Q17" i="80"/>
  <c r="Z17" i="80" s="1"/>
  <c r="C17" i="80"/>
  <c r="Q16" i="80"/>
  <c r="Z16" i="80" s="1"/>
  <c r="J16" i="80"/>
  <c r="AC16" i="80" s="1"/>
  <c r="H16" i="80"/>
  <c r="AB16" i="80" s="1"/>
  <c r="F16" i="80"/>
  <c r="AA16" i="80" s="1"/>
  <c r="Q15" i="80"/>
  <c r="Z15" i="80" s="1"/>
  <c r="J15" i="80"/>
  <c r="AC15" i="80" s="1"/>
  <c r="H15" i="80"/>
  <c r="AB15" i="80" s="1"/>
  <c r="F15" i="80"/>
  <c r="AA15" i="80" s="1"/>
  <c r="Q14" i="80"/>
  <c r="Z14" i="80" s="1"/>
  <c r="J14" i="80"/>
  <c r="AC14" i="80" s="1"/>
  <c r="H14" i="80"/>
  <c r="AB14" i="80" s="1"/>
  <c r="F14" i="80"/>
  <c r="AA14" i="80" s="1"/>
  <c r="Q13" i="80"/>
  <c r="Z13" i="80" s="1"/>
  <c r="Q12" i="80"/>
  <c r="Z12" i="80" s="1"/>
  <c r="J12" i="80"/>
  <c r="AC12" i="80" s="1"/>
  <c r="H12" i="80"/>
  <c r="AB12" i="80" s="1"/>
  <c r="F12" i="80"/>
  <c r="AA12" i="80" s="1"/>
  <c r="C12" i="80"/>
  <c r="C10" i="40" s="1"/>
  <c r="Q11" i="80"/>
  <c r="Z11" i="80" s="1"/>
  <c r="J11" i="80"/>
  <c r="AC11" i="80" s="1"/>
  <c r="H11" i="80"/>
  <c r="AB11" i="80" s="1"/>
  <c r="F11" i="80"/>
  <c r="AA11" i="80" s="1"/>
  <c r="J10" i="80"/>
  <c r="AC10" i="80" s="1"/>
  <c r="H10" i="80"/>
  <c r="AB10" i="80" s="1"/>
  <c r="F10" i="80"/>
  <c r="AA10" i="80" s="1"/>
  <c r="I9" i="80"/>
  <c r="G9" i="80"/>
  <c r="E9" i="80"/>
  <c r="C9" i="80"/>
  <c r="C65" i="80" s="1"/>
  <c r="I7" i="80"/>
  <c r="G7" i="80"/>
  <c r="E7" i="80"/>
  <c r="F88" i="80" l="1"/>
  <c r="G88" i="80" s="1"/>
  <c r="H19" i="80"/>
  <c r="AB19" i="80" s="1"/>
  <c r="J19" i="80"/>
  <c r="AC19" i="80" s="1"/>
  <c r="F19" i="80"/>
  <c r="AA19" i="80" s="1"/>
  <c r="F92" i="80"/>
  <c r="G92" i="80" s="1"/>
  <c r="H23" i="80"/>
  <c r="AB23" i="80" s="1"/>
  <c r="J23" i="80"/>
  <c r="AC23" i="80" s="1"/>
  <c r="F23" i="80"/>
  <c r="AA23" i="80" s="1"/>
  <c r="F86" i="80"/>
  <c r="G86" i="80" s="1"/>
  <c r="J17" i="80"/>
  <c r="AC17" i="80" s="1"/>
  <c r="F17" i="80"/>
  <c r="AA17" i="80" s="1"/>
  <c r="H17" i="80"/>
  <c r="AB17" i="80" s="1"/>
  <c r="F94" i="80"/>
  <c r="G94" i="80" s="1"/>
  <c r="J25" i="80"/>
  <c r="AC25" i="80" s="1"/>
  <c r="F25" i="80"/>
  <c r="AA25" i="80" s="1"/>
  <c r="H25" i="80"/>
  <c r="U25" i="80" s="1"/>
  <c r="S10" i="80"/>
  <c r="W10" i="80"/>
  <c r="F41" i="80"/>
  <c r="AA41" i="80" s="1"/>
  <c r="E63" i="80"/>
  <c r="F32" i="80"/>
  <c r="AA32" i="80" s="1"/>
  <c r="J32" i="80"/>
  <c r="AC32" i="80" s="1"/>
  <c r="J36" i="80"/>
  <c r="D65" i="80"/>
  <c r="C67" i="80"/>
  <c r="AB32" i="80"/>
  <c r="U32" i="80"/>
  <c r="AC36" i="80"/>
  <c r="W36" i="80"/>
  <c r="S11" i="80"/>
  <c r="W11" i="80"/>
  <c r="S12" i="80"/>
  <c r="W12" i="80"/>
  <c r="U14" i="80"/>
  <c r="S15" i="80"/>
  <c r="W15" i="80"/>
  <c r="U16" i="80"/>
  <c r="U19" i="80"/>
  <c r="U23" i="80"/>
  <c r="AB25" i="80"/>
  <c r="U10" i="80"/>
  <c r="U11" i="80"/>
  <c r="U12" i="80"/>
  <c r="S14" i="80"/>
  <c r="W14" i="80"/>
  <c r="U15" i="80"/>
  <c r="S16" i="80"/>
  <c r="W16" i="80"/>
  <c r="S17" i="80"/>
  <c r="W17" i="80"/>
  <c r="S19" i="80"/>
  <c r="W19" i="80"/>
  <c r="S21" i="80"/>
  <c r="W21" i="80"/>
  <c r="S23" i="80"/>
  <c r="W23" i="80"/>
  <c r="S25" i="80"/>
  <c r="W25" i="80"/>
  <c r="S27" i="80"/>
  <c r="W27" i="80"/>
  <c r="U29" i="80"/>
  <c r="U30" i="80"/>
  <c r="S33" i="80"/>
  <c r="W33" i="80"/>
  <c r="U34" i="80"/>
  <c r="S35" i="80"/>
  <c r="W35" i="80"/>
  <c r="S37" i="80"/>
  <c r="W37" i="80"/>
  <c r="U38" i="80"/>
  <c r="S39" i="80"/>
  <c r="W39" i="80"/>
  <c r="U40" i="80"/>
  <c r="S41" i="80"/>
  <c r="W41" i="80"/>
  <c r="U42" i="80"/>
  <c r="U17" i="80"/>
  <c r="U21" i="80"/>
  <c r="U27" i="80"/>
  <c r="S29" i="80"/>
  <c r="W29" i="80"/>
  <c r="S30" i="80"/>
  <c r="W30" i="80"/>
  <c r="S32" i="80"/>
  <c r="U33" i="80"/>
  <c r="S34" i="80"/>
  <c r="W34" i="80"/>
  <c r="U35" i="80"/>
  <c r="F36" i="80"/>
  <c r="H36" i="80"/>
  <c r="U37" i="80"/>
  <c r="S38" i="80"/>
  <c r="W38" i="80"/>
  <c r="U39" i="80"/>
  <c r="S40" i="80"/>
  <c r="W40" i="80"/>
  <c r="U41" i="80"/>
  <c r="S42" i="80"/>
  <c r="W42" i="80"/>
  <c r="W32" i="80" l="1"/>
  <c r="AA36" i="80"/>
  <c r="S36" i="80"/>
  <c r="AB36" i="80"/>
  <c r="U36" i="80"/>
  <c r="D67" i="80"/>
  <c r="E65" i="80"/>
  <c r="E41" i="77"/>
  <c r="M16" i="77" l="1"/>
  <c r="F65" i="80"/>
  <c r="E67" i="80"/>
  <c r="D88" i="43"/>
  <c r="M47" i="79"/>
  <c r="M47" i="78"/>
  <c r="F15" i="79"/>
  <c r="F17" i="79"/>
  <c r="F18" i="79"/>
  <c r="F20" i="79"/>
  <c r="F23" i="79"/>
  <c r="D23" i="79" s="1"/>
  <c r="F21" i="79"/>
  <c r="F33" i="79"/>
  <c r="J50" i="79"/>
  <c r="K59" i="79"/>
  <c r="P74" i="79" s="1"/>
  <c r="Q72" i="79"/>
  <c r="F61" i="79"/>
  <c r="Q59" i="79"/>
  <c r="F59" i="79"/>
  <c r="Q58" i="79"/>
  <c r="Q51" i="79"/>
  <c r="D46" i="79"/>
  <c r="F31" i="79"/>
  <c r="M19" i="79"/>
  <c r="D24" i="79"/>
  <c r="M17" i="79"/>
  <c r="F15" i="78"/>
  <c r="F17" i="78"/>
  <c r="F18" i="78"/>
  <c r="F20" i="78"/>
  <c r="F23" i="78"/>
  <c r="D24" i="78" s="1"/>
  <c r="F21" i="78"/>
  <c r="F33" i="78"/>
  <c r="J50" i="78"/>
  <c r="K59" i="78"/>
  <c r="P74" i="78" s="1"/>
  <c r="Q72" i="78"/>
  <c r="F61" i="78"/>
  <c r="Q59" i="78"/>
  <c r="F59" i="78"/>
  <c r="Q58" i="78"/>
  <c r="Q51" i="78"/>
  <c r="D46" i="78"/>
  <c r="F31" i="78"/>
  <c r="M19" i="78"/>
  <c r="D22" i="78"/>
  <c r="M17" i="78"/>
  <c r="D81" i="43"/>
  <c r="D82" i="43"/>
  <c r="K83" i="43"/>
  <c r="D83" i="43" s="1"/>
  <c r="D84" i="43"/>
  <c r="D85" i="43"/>
  <c r="K86" i="43"/>
  <c r="J86" i="43" s="1"/>
  <c r="D86" i="43" s="1"/>
  <c r="K87" i="43"/>
  <c r="D87" i="43" s="1"/>
  <c r="K88" i="43"/>
  <c r="D5" i="43"/>
  <c r="I7" i="1"/>
  <c r="I8" i="1"/>
  <c r="I6" i="1"/>
  <c r="N8" i="1"/>
  <c r="BR16" i="3"/>
  <c r="C41" i="77"/>
  <c r="C6" i="77"/>
  <c r="C3" i="77"/>
  <c r="E3" i="77" s="1"/>
  <c r="C5" i="77"/>
  <c r="G2" i="43"/>
  <c r="H17" i="43" s="1"/>
  <c r="I2" i="43"/>
  <c r="M10" i="43"/>
  <c r="C17" i="43"/>
  <c r="C10" i="43"/>
  <c r="C11" i="43" s="1"/>
  <c r="C9" i="43"/>
  <c r="C7" i="43"/>
  <c r="C15" i="43"/>
  <c r="D15" i="43"/>
  <c r="E15" i="43"/>
  <c r="F15" i="43"/>
  <c r="C18" i="43"/>
  <c r="B2" i="1"/>
  <c r="J51" i="78" s="1"/>
  <c r="G19" i="43"/>
  <c r="N6" i="71"/>
  <c r="B6" i="71"/>
  <c r="N5" i="71"/>
  <c r="B5" i="71"/>
  <c r="O6" i="71"/>
  <c r="C6" i="71"/>
  <c r="D6" i="71" s="1"/>
  <c r="O5" i="71"/>
  <c r="C5" i="71"/>
  <c r="D5" i="71" s="1"/>
  <c r="P6" i="71"/>
  <c r="E6" i="71" s="1"/>
  <c r="P5" i="71"/>
  <c r="Q6" i="71"/>
  <c r="F6" i="71" s="1"/>
  <c r="Q5" i="71"/>
  <c r="D7" i="71"/>
  <c r="N10" i="71"/>
  <c r="B10" i="71" s="1"/>
  <c r="N9" i="71"/>
  <c r="N8" i="71"/>
  <c r="O10" i="71"/>
  <c r="C10" i="71" s="1"/>
  <c r="O9" i="71"/>
  <c r="O8" i="71"/>
  <c r="P10" i="71"/>
  <c r="E10" i="71"/>
  <c r="P9" i="71"/>
  <c r="E9" i="71"/>
  <c r="P8" i="71"/>
  <c r="E8" i="71"/>
  <c r="Q10" i="71"/>
  <c r="F10" i="71"/>
  <c r="Q9" i="71"/>
  <c r="F9" i="71"/>
  <c r="Q8" i="71"/>
  <c r="F8" i="71"/>
  <c r="D11" i="71"/>
  <c r="N11" i="71"/>
  <c r="B12" i="71" s="1"/>
  <c r="O11" i="71"/>
  <c r="C12" i="71" s="1"/>
  <c r="P11" i="71"/>
  <c r="E12" i="71" s="1"/>
  <c r="E13" i="71" s="1"/>
  <c r="E14" i="71" s="1"/>
  <c r="Q11" i="71"/>
  <c r="F12" i="71" s="1"/>
  <c r="F13" i="71" s="1"/>
  <c r="F14" i="71" s="1"/>
  <c r="N12" i="71"/>
  <c r="O12" i="71"/>
  <c r="P12" i="71"/>
  <c r="Q12" i="71"/>
  <c r="N13" i="71"/>
  <c r="O13" i="71"/>
  <c r="P13" i="71"/>
  <c r="Q13" i="71"/>
  <c r="D15" i="71"/>
  <c r="N15" i="71"/>
  <c r="B16" i="71" s="1"/>
  <c r="O15" i="71"/>
  <c r="C16" i="71" s="1"/>
  <c r="P15" i="71"/>
  <c r="E16" i="71"/>
  <c r="E17" i="71" s="1"/>
  <c r="E18" i="71" s="1"/>
  <c r="Q15" i="71"/>
  <c r="F16" i="71"/>
  <c r="N16" i="71"/>
  <c r="O16" i="71"/>
  <c r="P16" i="71"/>
  <c r="Q16" i="71"/>
  <c r="N17" i="71"/>
  <c r="O17" i="71"/>
  <c r="P17" i="71"/>
  <c r="Q17" i="71"/>
  <c r="D19" i="71"/>
  <c r="N19" i="71"/>
  <c r="B20" i="71" s="1"/>
  <c r="O19" i="71"/>
  <c r="C20" i="71" s="1"/>
  <c r="P19" i="71"/>
  <c r="E20" i="71" s="1"/>
  <c r="E21" i="71" s="1"/>
  <c r="E22" i="71" s="1"/>
  <c r="Q19" i="71"/>
  <c r="F20" i="71" s="1"/>
  <c r="F21" i="71" s="1"/>
  <c r="F22" i="71" s="1"/>
  <c r="M19" i="43" s="1"/>
  <c r="N20" i="71"/>
  <c r="O20" i="71"/>
  <c r="P20" i="71"/>
  <c r="Q20" i="71"/>
  <c r="N21" i="71"/>
  <c r="O21" i="71"/>
  <c r="P21" i="71"/>
  <c r="Q21" i="71"/>
  <c r="J20" i="43"/>
  <c r="I15" i="4"/>
  <c r="F6" i="1"/>
  <c r="F7" i="1"/>
  <c r="I20" i="43"/>
  <c r="AD5" i="3"/>
  <c r="AH5" i="3"/>
  <c r="AL5" i="3"/>
  <c r="AP5" i="3"/>
  <c r="I5" i="3"/>
  <c r="F33" i="43"/>
  <c r="H33" i="43"/>
  <c r="F34" i="43"/>
  <c r="F35" i="43"/>
  <c r="F36" i="43"/>
  <c r="F37" i="43"/>
  <c r="F38" i="43"/>
  <c r="F39"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L14" i="3" s="1"/>
  <c r="BO14" i="3"/>
  <c r="BP14" i="3"/>
  <c r="BQ14" i="3"/>
  <c r="BR14" i="3"/>
  <c r="BS14" i="3"/>
  <c r="BT14" i="3"/>
  <c r="BB15" i="3"/>
  <c r="BC15" i="3"/>
  <c r="BE15" i="3"/>
  <c r="BF15" i="3"/>
  <c r="BG15" i="3"/>
  <c r="BH15" i="3"/>
  <c r="BI15" i="3"/>
  <c r="BJ15" i="3"/>
  <c r="BK15" i="3"/>
  <c r="BM15" i="3"/>
  <c r="BN15" i="3"/>
  <c r="BO15" i="3"/>
  <c r="BP15" i="3"/>
  <c r="BQ15" i="3"/>
  <c r="BR15" i="3"/>
  <c r="BS15" i="3"/>
  <c r="BT15" i="3"/>
  <c r="BL15" i="3"/>
  <c r="BB16" i="3"/>
  <c r="BC16" i="3"/>
  <c r="BA16" i="3" s="1"/>
  <c r="BD16" i="3"/>
  <c r="BE16" i="3"/>
  <c r="BF16" i="3"/>
  <c r="BG16" i="3"/>
  <c r="BH16" i="3"/>
  <c r="BI16" i="3"/>
  <c r="BJ16" i="3"/>
  <c r="BK16" i="3"/>
  <c r="BM16" i="3"/>
  <c r="BN16" i="3"/>
  <c r="BO16" i="3"/>
  <c r="BP16" i="3"/>
  <c r="BQ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L100" i="3" s="1"/>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A102" i="3" s="1"/>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A104" i="3" s="1"/>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A112" i="3" s="1"/>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A114" i="3" s="1"/>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A116" i="3" s="1"/>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A118" i="3" s="1"/>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A120" i="3" s="1"/>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A124" i="3" s="1"/>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A126" i="3" s="1"/>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L135" i="3" s="1"/>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L137" i="3" s="1"/>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L145" i="3" s="1"/>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L147" i="3" s="1"/>
  <c r="BO147" i="3"/>
  <c r="BP147" i="3"/>
  <c r="BQ147" i="3"/>
  <c r="BR147" i="3"/>
  <c r="BS147" i="3"/>
  <c r="BT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L149" i="3" s="1"/>
  <c r="BO149" i="3"/>
  <c r="BP149" i="3"/>
  <c r="BQ149" i="3"/>
  <c r="BR149" i="3"/>
  <c r="BS149" i="3"/>
  <c r="BT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L153" i="3" s="1"/>
  <c r="BO153" i="3"/>
  <c r="BP153" i="3"/>
  <c r="BQ153" i="3"/>
  <c r="BR153" i="3"/>
  <c r="BS153" i="3"/>
  <c r="BT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L155" i="3" s="1"/>
  <c r="BO155" i="3"/>
  <c r="BP155" i="3"/>
  <c r="BQ155" i="3"/>
  <c r="BR155" i="3"/>
  <c r="BS155" i="3"/>
  <c r="BT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L157" i="3" s="1"/>
  <c r="BO157" i="3"/>
  <c r="BP157" i="3"/>
  <c r="BQ157" i="3"/>
  <c r="BR157" i="3"/>
  <c r="BS157" i="3"/>
  <c r="BT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L161" i="3" s="1"/>
  <c r="BO161" i="3"/>
  <c r="BP161" i="3"/>
  <c r="BQ161" i="3"/>
  <c r="BR161" i="3"/>
  <c r="BS161" i="3"/>
  <c r="BT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L163" i="3" s="1"/>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L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L169" i="3" s="1"/>
  <c r="BO169" i="3"/>
  <c r="BP169" i="3"/>
  <c r="BQ169" i="3"/>
  <c r="BR169" i="3"/>
  <c r="BS169" i="3"/>
  <c r="BT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L173" i="3" s="1"/>
  <c r="BO173" i="3"/>
  <c r="BP173" i="3"/>
  <c r="BQ173" i="3"/>
  <c r="BR173" i="3"/>
  <c r="BS173" i="3"/>
  <c r="BT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L175" i="3" s="1"/>
  <c r="BO175" i="3"/>
  <c r="BP175" i="3"/>
  <c r="BQ175" i="3"/>
  <c r="BR175" i="3"/>
  <c r="BS175" i="3"/>
  <c r="BT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L177" i="3" s="1"/>
  <c r="BO177" i="3"/>
  <c r="BP177" i="3"/>
  <c r="BQ177" i="3"/>
  <c r="BR177" i="3"/>
  <c r="BS177" i="3"/>
  <c r="BT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L179" i="3" s="1"/>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L181" i="3" s="1"/>
  <c r="BO181" i="3"/>
  <c r="BP181" i="3"/>
  <c r="BQ181" i="3"/>
  <c r="BR181" i="3"/>
  <c r="BS181" i="3"/>
  <c r="BT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L183" i="3" s="1"/>
  <c r="BO183" i="3"/>
  <c r="BP183" i="3"/>
  <c r="BQ183" i="3"/>
  <c r="BR183" i="3"/>
  <c r="BS183" i="3"/>
  <c r="BT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L185" i="3" s="1"/>
  <c r="BO185" i="3"/>
  <c r="BP185" i="3"/>
  <c r="BQ185" i="3"/>
  <c r="BR185" i="3"/>
  <c r="BS185" i="3"/>
  <c r="BT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L187" i="3" s="1"/>
  <c r="BO187" i="3"/>
  <c r="BP187" i="3"/>
  <c r="BQ187" i="3"/>
  <c r="BR187" i="3"/>
  <c r="BS187" i="3"/>
  <c r="BT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L189" i="3" s="1"/>
  <c r="BO189" i="3"/>
  <c r="BP189" i="3"/>
  <c r="BQ189" i="3"/>
  <c r="BR189" i="3"/>
  <c r="BS189" i="3"/>
  <c r="BT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L191" i="3" s="1"/>
  <c r="BO191" i="3"/>
  <c r="BP191" i="3"/>
  <c r="BQ191" i="3"/>
  <c r="BR191" i="3"/>
  <c r="BS191" i="3"/>
  <c r="BT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L193" i="3" s="1"/>
  <c r="BO193" i="3"/>
  <c r="BP193" i="3"/>
  <c r="BQ193" i="3"/>
  <c r="BR193" i="3"/>
  <c r="BS193" i="3"/>
  <c r="BT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L195" i="3" s="1"/>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L197" i="3" s="1"/>
  <c r="BO197" i="3"/>
  <c r="BP197" i="3"/>
  <c r="BQ197" i="3"/>
  <c r="BR197" i="3"/>
  <c r="BS197" i="3"/>
  <c r="BT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L199" i="3" s="1"/>
  <c r="BO199" i="3"/>
  <c r="BP199" i="3"/>
  <c r="BQ199" i="3"/>
  <c r="BR199" i="3"/>
  <c r="BS199" i="3"/>
  <c r="BT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L201" i="3" s="1"/>
  <c r="BO201" i="3"/>
  <c r="BP201" i="3"/>
  <c r="BQ201" i="3"/>
  <c r="BR201" i="3"/>
  <c r="BS201" i="3"/>
  <c r="BT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L203" i="3" s="1"/>
  <c r="BO203" i="3"/>
  <c r="BP203" i="3"/>
  <c r="BQ203" i="3"/>
  <c r="BR203" i="3"/>
  <c r="BS203" i="3"/>
  <c r="BT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L205" i="3" s="1"/>
  <c r="BO205" i="3"/>
  <c r="BP205" i="3"/>
  <c r="BQ205" i="3"/>
  <c r="BR205" i="3"/>
  <c r="BS205" i="3"/>
  <c r="BT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L207" i="3" s="1"/>
  <c r="BO207" i="3"/>
  <c r="BP207" i="3"/>
  <c r="BQ207" i="3"/>
  <c r="BR207" i="3"/>
  <c r="BS207" i="3"/>
  <c r="BT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L209" i="3" s="1"/>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L215" i="3" s="1"/>
  <c r="BO215" i="3"/>
  <c r="BP215" i="3"/>
  <c r="BQ215" i="3"/>
  <c r="BR215" i="3"/>
  <c r="BS215" i="3"/>
  <c r="BT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L217" i="3" s="1"/>
  <c r="BO217" i="3"/>
  <c r="BP217" i="3"/>
  <c r="BQ217" i="3"/>
  <c r="BR217" i="3"/>
  <c r="BS217" i="3"/>
  <c r="BT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L219" i="3" s="1"/>
  <c r="BO219" i="3"/>
  <c r="BP219" i="3"/>
  <c r="BQ219" i="3"/>
  <c r="BR219" i="3"/>
  <c r="BS219" i="3"/>
  <c r="BT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L221" i="3" s="1"/>
  <c r="BO221" i="3"/>
  <c r="BP221" i="3"/>
  <c r="BQ221" i="3"/>
  <c r="BR221" i="3"/>
  <c r="BS221" i="3"/>
  <c r="BT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L223" i="3" s="1"/>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L225" i="3" s="1"/>
  <c r="BO225" i="3"/>
  <c r="BP225" i="3"/>
  <c r="BQ225" i="3"/>
  <c r="BR225" i="3"/>
  <c r="BS225" i="3"/>
  <c r="BT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L227" i="3" s="1"/>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L231" i="3" s="1"/>
  <c r="BO231" i="3"/>
  <c r="BP231" i="3"/>
  <c r="BQ231" i="3"/>
  <c r="BR231" i="3"/>
  <c r="BS231" i="3"/>
  <c r="BT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L233" i="3" s="1"/>
  <c r="BO233" i="3"/>
  <c r="BP233" i="3"/>
  <c r="BQ233" i="3"/>
  <c r="BR233" i="3"/>
  <c r="BS233" i="3"/>
  <c r="BT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L235" i="3" s="1"/>
  <c r="BO235" i="3"/>
  <c r="BP235" i="3"/>
  <c r="BQ235" i="3"/>
  <c r="BR235" i="3"/>
  <c r="BS235" i="3"/>
  <c r="BT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L237" i="3" s="1"/>
  <c r="BO237" i="3"/>
  <c r="BP237" i="3"/>
  <c r="BQ237" i="3"/>
  <c r="BR237" i="3"/>
  <c r="BS237" i="3"/>
  <c r="BT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L239" i="3" s="1"/>
  <c r="BO239" i="3"/>
  <c r="BP239" i="3"/>
  <c r="BQ239" i="3"/>
  <c r="BR239" i="3"/>
  <c r="BS239" i="3"/>
  <c r="BT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L241" i="3" s="1"/>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L243" i="3" s="1"/>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L245" i="3" s="1"/>
  <c r="BO245" i="3"/>
  <c r="BP245" i="3"/>
  <c r="BQ245" i="3"/>
  <c r="BR245" i="3"/>
  <c r="BS245" i="3"/>
  <c r="BT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L287" i="3" s="1"/>
  <c r="BO287" i="3"/>
  <c r="BP287" i="3"/>
  <c r="BQ287" i="3"/>
  <c r="BR287" i="3"/>
  <c r="BS287" i="3"/>
  <c r="BT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L289" i="3" s="1"/>
  <c r="BO289" i="3"/>
  <c r="BP289" i="3"/>
  <c r="BQ289" i="3"/>
  <c r="BR289" i="3"/>
  <c r="BS289" i="3"/>
  <c r="BT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L291" i="3" s="1"/>
  <c r="BO291" i="3"/>
  <c r="BP291" i="3"/>
  <c r="BQ291" i="3"/>
  <c r="BR291" i="3"/>
  <c r="BS291" i="3"/>
  <c r="BT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L293" i="3" s="1"/>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L295" i="3" s="1"/>
  <c r="BO295" i="3"/>
  <c r="BP295" i="3"/>
  <c r="BQ295" i="3"/>
  <c r="BR295" i="3"/>
  <c r="BS295" i="3"/>
  <c r="BT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L297" i="3" s="1"/>
  <c r="BO297" i="3"/>
  <c r="BP297" i="3"/>
  <c r="BQ297" i="3"/>
  <c r="BR297" i="3"/>
  <c r="BS297" i="3"/>
  <c r="BT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L303" i="3" s="1"/>
  <c r="BO303" i="3"/>
  <c r="BP303" i="3"/>
  <c r="BQ303" i="3"/>
  <c r="BR303" i="3"/>
  <c r="BS303" i="3"/>
  <c r="BT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L305" i="3" s="1"/>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L309" i="3" s="1"/>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A313" i="3" s="1"/>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A315" i="3" s="1"/>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A317" i="3" s="1"/>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A321" i="3" s="1"/>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A323" i="3" s="1"/>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A325" i="3" s="1"/>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A329" i="3" s="1"/>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A331" i="3" s="1"/>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A333" i="3" s="1"/>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A339" i="3" s="1"/>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A341" i="3" s="1"/>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A345" i="3" s="1"/>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A347" i="3" s="1"/>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A349" i="3" s="1"/>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L364" i="3" s="1"/>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L366" i="3" s="1"/>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L368" i="3" s="1"/>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L370" i="3" s="1"/>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L378" i="3" s="1"/>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L380" i="3" s="1"/>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L400" i="3" s="1"/>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L402" i="3" s="1"/>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L406" i="3" s="1"/>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s="1"/>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A415" i="3" s="1"/>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A417" i="3" s="1"/>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H14" i="3"/>
  <c r="AC14" i="3"/>
  <c r="H15" i="3"/>
  <c r="AC15" i="3"/>
  <c r="H16" i="3"/>
  <c r="H17" i="3"/>
  <c r="AC17" i="3"/>
  <c r="G17" i="3"/>
  <c r="H18" i="3"/>
  <c r="AC18" i="3"/>
  <c r="H19" i="3"/>
  <c r="AC19" i="3"/>
  <c r="H20" i="3"/>
  <c r="AC20" i="3"/>
  <c r="H21" i="3"/>
  <c r="AC21" i="3"/>
  <c r="G21" i="3"/>
  <c r="H22" i="3"/>
  <c r="AC22" i="3"/>
  <c r="G22" i="3" s="1"/>
  <c r="H23" i="3"/>
  <c r="AC23" i="3"/>
  <c r="G23" i="3" s="1"/>
  <c r="H24" i="3"/>
  <c r="AC24" i="3"/>
  <c r="H25" i="3"/>
  <c r="AC25" i="3"/>
  <c r="G25" i="3"/>
  <c r="H26" i="3"/>
  <c r="AC26" i="3"/>
  <c r="G26" i="3" s="1"/>
  <c r="H27" i="3"/>
  <c r="AC27" i="3"/>
  <c r="G27" i="3" s="1"/>
  <c r="H28" i="3"/>
  <c r="AC28" i="3"/>
  <c r="H29" i="3"/>
  <c r="AC29" i="3"/>
  <c r="G29" i="3"/>
  <c r="H30" i="3"/>
  <c r="AC30" i="3"/>
  <c r="G30" i="3" s="1"/>
  <c r="H31" i="3"/>
  <c r="AC31" i="3"/>
  <c r="G31" i="3" s="1"/>
  <c r="H32" i="3"/>
  <c r="AC32" i="3"/>
  <c r="H33" i="3"/>
  <c r="AC33" i="3"/>
  <c r="G33" i="3"/>
  <c r="H34" i="3"/>
  <c r="AC34" i="3"/>
  <c r="G34" i="3" s="1"/>
  <c r="H35" i="3"/>
  <c r="AC35" i="3"/>
  <c r="G35" i="3" s="1"/>
  <c r="H36" i="3"/>
  <c r="AC36" i="3"/>
  <c r="H37" i="3"/>
  <c r="AC37" i="3"/>
  <c r="G37" i="3"/>
  <c r="H38" i="3"/>
  <c r="AC38" i="3"/>
  <c r="G38" i="3" s="1"/>
  <c r="H39" i="3"/>
  <c r="AC39" i="3"/>
  <c r="G39" i="3" s="1"/>
  <c r="H40" i="3"/>
  <c r="AC40" i="3"/>
  <c r="H41" i="3"/>
  <c r="AC41" i="3"/>
  <c r="G41" i="3"/>
  <c r="H42" i="3"/>
  <c r="AC42" i="3"/>
  <c r="G42" i="3" s="1"/>
  <c r="H43" i="3"/>
  <c r="AC43" i="3"/>
  <c r="G43" i="3" s="1"/>
  <c r="H44" i="3"/>
  <c r="AC44" i="3"/>
  <c r="H45" i="3"/>
  <c r="AC45" i="3"/>
  <c r="G45" i="3"/>
  <c r="H46" i="3"/>
  <c r="AC46" i="3"/>
  <c r="G46" i="3" s="1"/>
  <c r="H47" i="3"/>
  <c r="AC47" i="3"/>
  <c r="G47" i="3" s="1"/>
  <c r="H48" i="3"/>
  <c r="AC48" i="3"/>
  <c r="H49" i="3"/>
  <c r="AC49" i="3"/>
  <c r="G49" i="3"/>
  <c r="H50" i="3"/>
  <c r="AC50" i="3"/>
  <c r="G50" i="3" s="1"/>
  <c r="H51" i="3"/>
  <c r="AC51" i="3"/>
  <c r="G51" i="3" s="1"/>
  <c r="H52" i="3"/>
  <c r="AC52" i="3"/>
  <c r="H53" i="3"/>
  <c r="AC53" i="3"/>
  <c r="G53" i="3"/>
  <c r="H54" i="3"/>
  <c r="AC54" i="3"/>
  <c r="G54" i="3" s="1"/>
  <c r="H55" i="3"/>
  <c r="AC55" i="3"/>
  <c r="G55" i="3" s="1"/>
  <c r="H56" i="3"/>
  <c r="AC56" i="3"/>
  <c r="H57" i="3"/>
  <c r="AC57" i="3"/>
  <c r="G57" i="3"/>
  <c r="H58" i="3"/>
  <c r="AC58" i="3"/>
  <c r="G58" i="3" s="1"/>
  <c r="H59" i="3"/>
  <c r="AC59" i="3"/>
  <c r="G59" i="3" s="1"/>
  <c r="H60" i="3"/>
  <c r="AC60" i="3"/>
  <c r="H61" i="3"/>
  <c r="AC61" i="3"/>
  <c r="G61" i="3"/>
  <c r="H62" i="3"/>
  <c r="AC62" i="3"/>
  <c r="G62" i="3" s="1"/>
  <c r="H63" i="3"/>
  <c r="AC63" i="3"/>
  <c r="G63" i="3" s="1"/>
  <c r="H64" i="3"/>
  <c r="AC64" i="3"/>
  <c r="H65" i="3"/>
  <c r="AC65" i="3"/>
  <c r="G65" i="3"/>
  <c r="H66" i="3"/>
  <c r="AC66" i="3"/>
  <c r="G66" i="3" s="1"/>
  <c r="H67" i="3"/>
  <c r="AC67" i="3"/>
  <c r="G67" i="3" s="1"/>
  <c r="H68" i="3"/>
  <c r="AC68" i="3"/>
  <c r="H69" i="3"/>
  <c r="AC69" i="3"/>
  <c r="G69" i="3"/>
  <c r="H70" i="3"/>
  <c r="AC70" i="3"/>
  <c r="G70" i="3" s="1"/>
  <c r="H71" i="3"/>
  <c r="AC71" i="3"/>
  <c r="G71" i="3" s="1"/>
  <c r="H72" i="3"/>
  <c r="AC72" i="3"/>
  <c r="H73" i="3"/>
  <c r="AC73" i="3"/>
  <c r="G73" i="3"/>
  <c r="H74" i="3"/>
  <c r="AC74" i="3"/>
  <c r="G74" i="3" s="1"/>
  <c r="H75" i="3"/>
  <c r="AC75" i="3"/>
  <c r="G75" i="3" s="1"/>
  <c r="H76" i="3"/>
  <c r="AC76" i="3"/>
  <c r="H77" i="3"/>
  <c r="AC77" i="3"/>
  <c r="G77" i="3"/>
  <c r="H78" i="3"/>
  <c r="AC78" i="3"/>
  <c r="G78" i="3" s="1"/>
  <c r="H79" i="3"/>
  <c r="AC79" i="3"/>
  <c r="G79" i="3" s="1"/>
  <c r="H80" i="3"/>
  <c r="AC80" i="3"/>
  <c r="H81" i="3"/>
  <c r="AC81" i="3"/>
  <c r="G81" i="3"/>
  <c r="H82" i="3"/>
  <c r="AC82" i="3"/>
  <c r="G82" i="3" s="1"/>
  <c r="H83" i="3"/>
  <c r="AC83" i="3"/>
  <c r="G83" i="3" s="1"/>
  <c r="H84" i="3"/>
  <c r="AC84" i="3"/>
  <c r="H85" i="3"/>
  <c r="AC85" i="3"/>
  <c r="G85" i="3"/>
  <c r="H86" i="3"/>
  <c r="AC86" i="3"/>
  <c r="G86" i="3" s="1"/>
  <c r="H87" i="3"/>
  <c r="AC87" i="3"/>
  <c r="G87" i="3" s="1"/>
  <c r="H88" i="3"/>
  <c r="AC88" i="3"/>
  <c r="H89" i="3"/>
  <c r="AC89" i="3"/>
  <c r="G89" i="3"/>
  <c r="H90" i="3"/>
  <c r="AC90" i="3"/>
  <c r="G90" i="3" s="1"/>
  <c r="H91" i="3"/>
  <c r="AC91" i="3"/>
  <c r="G91" i="3" s="1"/>
  <c r="H92" i="3"/>
  <c r="AC92" i="3"/>
  <c r="H93" i="3"/>
  <c r="AC93" i="3"/>
  <c r="G93" i="3"/>
  <c r="H94" i="3"/>
  <c r="AC94" i="3"/>
  <c r="G94" i="3" s="1"/>
  <c r="H95" i="3"/>
  <c r="AC95" i="3"/>
  <c r="G95" i="3" s="1"/>
  <c r="H96" i="3"/>
  <c r="AC96" i="3"/>
  <c r="H97" i="3"/>
  <c r="AC97" i="3"/>
  <c r="G97" i="3"/>
  <c r="H98" i="3"/>
  <c r="AC98" i="3"/>
  <c r="G98" i="3" s="1"/>
  <c r="H99" i="3"/>
  <c r="AC99" i="3"/>
  <c r="G99" i="3" s="1"/>
  <c r="H100" i="3"/>
  <c r="AC100" i="3"/>
  <c r="H101" i="3"/>
  <c r="AC101" i="3"/>
  <c r="G101" i="3"/>
  <c r="H102" i="3"/>
  <c r="AC102" i="3"/>
  <c r="G102" i="3" s="1"/>
  <c r="H103" i="3"/>
  <c r="AC103" i="3"/>
  <c r="G103" i="3" s="1"/>
  <c r="H104" i="3"/>
  <c r="AC104" i="3"/>
  <c r="H105" i="3"/>
  <c r="AC105" i="3"/>
  <c r="G105" i="3"/>
  <c r="H106" i="3"/>
  <c r="AC106" i="3"/>
  <c r="G106" i="3" s="1"/>
  <c r="H107" i="3"/>
  <c r="AC107" i="3"/>
  <c r="G107" i="3" s="1"/>
  <c r="H108" i="3"/>
  <c r="AC108" i="3"/>
  <c r="H109" i="3"/>
  <c r="AC109" i="3"/>
  <c r="G109" i="3"/>
  <c r="H110" i="3"/>
  <c r="AC110" i="3"/>
  <c r="G110" i="3" s="1"/>
  <c r="H111" i="3"/>
  <c r="AC111" i="3"/>
  <c r="G111" i="3" s="1"/>
  <c r="H112" i="3"/>
  <c r="AC112" i="3"/>
  <c r="H113" i="3"/>
  <c r="AC113" i="3"/>
  <c r="G113" i="3"/>
  <c r="H114" i="3"/>
  <c r="AC114" i="3"/>
  <c r="G114" i="3" s="1"/>
  <c r="H115" i="3"/>
  <c r="AC115" i="3"/>
  <c r="G115" i="3" s="1"/>
  <c r="H116" i="3"/>
  <c r="AC116" i="3"/>
  <c r="H117" i="3"/>
  <c r="AC117" i="3"/>
  <c r="G117" i="3"/>
  <c r="H118" i="3"/>
  <c r="AC118" i="3"/>
  <c r="G118" i="3" s="1"/>
  <c r="H119" i="3"/>
  <c r="AC119" i="3"/>
  <c r="G119" i="3" s="1"/>
  <c r="H120" i="3"/>
  <c r="AC120" i="3"/>
  <c r="H121" i="3"/>
  <c r="AC121" i="3"/>
  <c r="G121" i="3"/>
  <c r="H122" i="3"/>
  <c r="AC122" i="3"/>
  <c r="G122" i="3" s="1"/>
  <c r="H123" i="3"/>
  <c r="AC123" i="3"/>
  <c r="G123" i="3" s="1"/>
  <c r="H124" i="3"/>
  <c r="AC124" i="3"/>
  <c r="H125" i="3"/>
  <c r="AC125" i="3"/>
  <c r="G125" i="3"/>
  <c r="H126" i="3"/>
  <c r="AC126" i="3"/>
  <c r="G126" i="3" s="1"/>
  <c r="H127" i="3"/>
  <c r="AC127" i="3"/>
  <c r="G127" i="3" s="1"/>
  <c r="H128" i="3"/>
  <c r="AC128" i="3"/>
  <c r="H129" i="3"/>
  <c r="AC129" i="3"/>
  <c r="G129" i="3"/>
  <c r="H130" i="3"/>
  <c r="AC130" i="3"/>
  <c r="G130" i="3" s="1"/>
  <c r="H131" i="3"/>
  <c r="AC131" i="3"/>
  <c r="G131" i="3" s="1"/>
  <c r="H132" i="3"/>
  <c r="AC132" i="3"/>
  <c r="H133" i="3"/>
  <c r="AC133" i="3"/>
  <c r="G133" i="3"/>
  <c r="H134" i="3"/>
  <c r="AC134" i="3"/>
  <c r="G134" i="3" s="1"/>
  <c r="H135" i="3"/>
  <c r="AC135" i="3"/>
  <c r="G135" i="3" s="1"/>
  <c r="H136" i="3"/>
  <c r="AC136" i="3"/>
  <c r="H137" i="3"/>
  <c r="AC137" i="3"/>
  <c r="G137" i="3"/>
  <c r="H138" i="3"/>
  <c r="AC138" i="3"/>
  <c r="G138" i="3" s="1"/>
  <c r="H139" i="3"/>
  <c r="AC139" i="3"/>
  <c r="G139" i="3" s="1"/>
  <c r="H140" i="3"/>
  <c r="AC140" i="3"/>
  <c r="H141" i="3"/>
  <c r="AC141" i="3"/>
  <c r="G141" i="3"/>
  <c r="H142" i="3"/>
  <c r="AC142" i="3"/>
  <c r="G142" i="3" s="1"/>
  <c r="H143" i="3"/>
  <c r="AC143" i="3"/>
  <c r="G143" i="3" s="1"/>
  <c r="H144" i="3"/>
  <c r="AC144" i="3"/>
  <c r="H145" i="3"/>
  <c r="AC145" i="3"/>
  <c r="G145" i="3"/>
  <c r="H146" i="3"/>
  <c r="AC146" i="3"/>
  <c r="G146" i="3" s="1"/>
  <c r="H147" i="3"/>
  <c r="AC147" i="3"/>
  <c r="G147" i="3" s="1"/>
  <c r="H148" i="3"/>
  <c r="AC148" i="3"/>
  <c r="H149" i="3"/>
  <c r="AC149" i="3"/>
  <c r="G149" i="3"/>
  <c r="H150" i="3"/>
  <c r="AC150" i="3"/>
  <c r="G150" i="3" s="1"/>
  <c r="H151" i="3"/>
  <c r="AC151" i="3"/>
  <c r="G151" i="3" s="1"/>
  <c r="H152" i="3"/>
  <c r="AC152" i="3"/>
  <c r="H153" i="3"/>
  <c r="AC153" i="3"/>
  <c r="G153" i="3"/>
  <c r="H154" i="3"/>
  <c r="AC154" i="3"/>
  <c r="G154" i="3" s="1"/>
  <c r="H155" i="3"/>
  <c r="AC155" i="3"/>
  <c r="G155" i="3" s="1"/>
  <c r="H156" i="3"/>
  <c r="AC156" i="3"/>
  <c r="H157" i="3"/>
  <c r="AC157" i="3"/>
  <c r="G157" i="3"/>
  <c r="H158" i="3"/>
  <c r="AC158" i="3"/>
  <c r="G158" i="3" s="1"/>
  <c r="H159" i="3"/>
  <c r="AC159" i="3"/>
  <c r="G159" i="3" s="1"/>
  <c r="H160" i="3"/>
  <c r="AC160" i="3"/>
  <c r="H161" i="3"/>
  <c r="AC161" i="3"/>
  <c r="G161" i="3"/>
  <c r="H162" i="3"/>
  <c r="AC162" i="3"/>
  <c r="G162" i="3" s="1"/>
  <c r="H163" i="3"/>
  <c r="AC163" i="3"/>
  <c r="G163" i="3" s="1"/>
  <c r="H164" i="3"/>
  <c r="AC164" i="3"/>
  <c r="H165" i="3"/>
  <c r="AC165" i="3"/>
  <c r="G165" i="3"/>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G185" i="3"/>
  <c r="H186" i="3"/>
  <c r="AC186" i="3"/>
  <c r="G186" i="3" s="1"/>
  <c r="H187" i="3"/>
  <c r="AC187" i="3"/>
  <c r="G187" i="3" s="1"/>
  <c r="H188" i="3"/>
  <c r="AC188" i="3"/>
  <c r="H189" i="3"/>
  <c r="AC189" i="3"/>
  <c r="G189" i="3"/>
  <c r="H190" i="3"/>
  <c r="AC190" i="3"/>
  <c r="G190" i="3" s="1"/>
  <c r="H191" i="3"/>
  <c r="AC191" i="3"/>
  <c r="G191" i="3" s="1"/>
  <c r="H192" i="3"/>
  <c r="AC192" i="3"/>
  <c r="H193" i="3"/>
  <c r="AC193" i="3"/>
  <c r="G193" i="3"/>
  <c r="H194" i="3"/>
  <c r="AC194" i="3"/>
  <c r="G194" i="3" s="1"/>
  <c r="H195" i="3"/>
  <c r="AC195" i="3"/>
  <c r="G195" i="3" s="1"/>
  <c r="H196" i="3"/>
  <c r="AC196" i="3"/>
  <c r="H197" i="3"/>
  <c r="AC197" i="3"/>
  <c r="G197" i="3"/>
  <c r="H198" i="3"/>
  <c r="AC198" i="3"/>
  <c r="G198" i="3" s="1"/>
  <c r="H199" i="3"/>
  <c r="AC199" i="3"/>
  <c r="G199" i="3" s="1"/>
  <c r="H200" i="3"/>
  <c r="AC200" i="3"/>
  <c r="H201" i="3"/>
  <c r="AC201" i="3"/>
  <c r="G201" i="3"/>
  <c r="H202" i="3"/>
  <c r="AC202" i="3"/>
  <c r="G202" i="3" s="1"/>
  <c r="H203" i="3"/>
  <c r="AC203" i="3"/>
  <c r="G203" i="3" s="1"/>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G218" i="3" s="1"/>
  <c r="H219" i="3"/>
  <c r="AC219" i="3"/>
  <c r="G219" i="3" s="1"/>
  <c r="H220" i="3"/>
  <c r="AC220" i="3"/>
  <c r="H221" i="3"/>
  <c r="AC221" i="3"/>
  <c r="G221" i="3"/>
  <c r="H222" i="3"/>
  <c r="AC222" i="3"/>
  <c r="G222" i="3" s="1"/>
  <c r="H223" i="3"/>
  <c r="AC223" i="3"/>
  <c r="G223" i="3" s="1"/>
  <c r="H224" i="3"/>
  <c r="AC224" i="3"/>
  <c r="H225" i="3"/>
  <c r="AC225" i="3"/>
  <c r="G225" i="3"/>
  <c r="H226" i="3"/>
  <c r="AC226" i="3"/>
  <c r="G226" i="3" s="1"/>
  <c r="H227" i="3"/>
  <c r="AC227" i="3"/>
  <c r="G227" i="3" s="1"/>
  <c r="H228" i="3"/>
  <c r="AC228" i="3"/>
  <c r="H229" i="3"/>
  <c r="AC229" i="3"/>
  <c r="G229" i="3"/>
  <c r="H230" i="3"/>
  <c r="AC230" i="3"/>
  <c r="G230" i="3" s="1"/>
  <c r="H231" i="3"/>
  <c r="AC231" i="3"/>
  <c r="G231" i="3" s="1"/>
  <c r="H232" i="3"/>
  <c r="AC232" i="3"/>
  <c r="H233" i="3"/>
  <c r="AC233" i="3"/>
  <c r="G233" i="3"/>
  <c r="H234" i="3"/>
  <c r="AC234" i="3"/>
  <c r="G234" i="3" s="1"/>
  <c r="H235" i="3"/>
  <c r="AC235" i="3"/>
  <c r="G235" i="3" s="1"/>
  <c r="H236" i="3"/>
  <c r="AC236" i="3"/>
  <c r="H237" i="3"/>
  <c r="AC237" i="3"/>
  <c r="G237" i="3"/>
  <c r="H238" i="3"/>
  <c r="AC238" i="3"/>
  <c r="G238" i="3" s="1"/>
  <c r="H239" i="3"/>
  <c r="AC239" i="3"/>
  <c r="G239" i="3" s="1"/>
  <c r="H240" i="3"/>
  <c r="AC240" i="3"/>
  <c r="H241" i="3"/>
  <c r="AC241" i="3"/>
  <c r="G241" i="3"/>
  <c r="H242" i="3"/>
  <c r="AC242" i="3"/>
  <c r="G242" i="3" s="1"/>
  <c r="H243" i="3"/>
  <c r="AC243" i="3"/>
  <c r="G243" i="3" s="1"/>
  <c r="H244" i="3"/>
  <c r="AC244" i="3"/>
  <c r="H245" i="3"/>
  <c r="AC245" i="3"/>
  <c r="G245" i="3"/>
  <c r="H246" i="3"/>
  <c r="AC246" i="3"/>
  <c r="G246" i="3" s="1"/>
  <c r="H247" i="3"/>
  <c r="AC247" i="3"/>
  <c r="G247" i="3" s="1"/>
  <c r="H248" i="3"/>
  <c r="AC248" i="3"/>
  <c r="H249" i="3"/>
  <c r="AC249" i="3"/>
  <c r="G249" i="3"/>
  <c r="H250" i="3"/>
  <c r="AC250" i="3"/>
  <c r="G250" i="3" s="1"/>
  <c r="H251" i="3"/>
  <c r="AC251" i="3"/>
  <c r="G251" i="3" s="1"/>
  <c r="H252" i="3"/>
  <c r="AC252" i="3"/>
  <c r="H253" i="3"/>
  <c r="AC253" i="3"/>
  <c r="G253" i="3"/>
  <c r="H254" i="3"/>
  <c r="AC254" i="3"/>
  <c r="G254" i="3" s="1"/>
  <c r="H255" i="3"/>
  <c r="AC255" i="3"/>
  <c r="G255" i="3" s="1"/>
  <c r="H256" i="3"/>
  <c r="AC256" i="3"/>
  <c r="H257" i="3"/>
  <c r="AC257" i="3"/>
  <c r="G257" i="3"/>
  <c r="H258" i="3"/>
  <c r="AC258" i="3"/>
  <c r="G258" i="3" s="1"/>
  <c r="H259" i="3"/>
  <c r="AC259" i="3"/>
  <c r="G259" i="3" s="1"/>
  <c r="H260" i="3"/>
  <c r="AC260" i="3"/>
  <c r="H261" i="3"/>
  <c r="AC261" i="3"/>
  <c r="G261" i="3"/>
  <c r="H262" i="3"/>
  <c r="AC262" i="3"/>
  <c r="G262" i="3" s="1"/>
  <c r="H263" i="3"/>
  <c r="AC263" i="3"/>
  <c r="G263" i="3" s="1"/>
  <c r="H264" i="3"/>
  <c r="AC264" i="3"/>
  <c r="H265" i="3"/>
  <c r="AC265" i="3"/>
  <c r="G265" i="3"/>
  <c r="H266" i="3"/>
  <c r="AC266" i="3"/>
  <c r="G266" i="3" s="1"/>
  <c r="H267" i="3"/>
  <c r="AC267" i="3"/>
  <c r="G267" i="3" s="1"/>
  <c r="H268" i="3"/>
  <c r="AC268" i="3"/>
  <c r="H269" i="3"/>
  <c r="AC269" i="3"/>
  <c r="G269" i="3"/>
  <c r="H270" i="3"/>
  <c r="AC270" i="3"/>
  <c r="G270" i="3" s="1"/>
  <c r="H271" i="3"/>
  <c r="AC271" i="3"/>
  <c r="G271" i="3" s="1"/>
  <c r="H272" i="3"/>
  <c r="AC272" i="3"/>
  <c r="H273" i="3"/>
  <c r="AC273" i="3"/>
  <c r="G273" i="3"/>
  <c r="H274" i="3"/>
  <c r="AC274" i="3"/>
  <c r="G274" i="3" s="1"/>
  <c r="H275" i="3"/>
  <c r="AC275" i="3"/>
  <c r="G275" i="3" s="1"/>
  <c r="H276" i="3"/>
  <c r="AC276" i="3"/>
  <c r="H277" i="3"/>
  <c r="AC277" i="3"/>
  <c r="G277" i="3"/>
  <c r="H278" i="3"/>
  <c r="AC278" i="3"/>
  <c r="G278" i="3" s="1"/>
  <c r="H279" i="3"/>
  <c r="AC279" i="3"/>
  <c r="G279" i="3" s="1"/>
  <c r="H280" i="3"/>
  <c r="AC280" i="3"/>
  <c r="H281" i="3"/>
  <c r="AC281" i="3"/>
  <c r="G281" i="3"/>
  <c r="H282" i="3"/>
  <c r="AC282" i="3"/>
  <c r="G282" i="3" s="1"/>
  <c r="H283" i="3"/>
  <c r="AC283" i="3"/>
  <c r="G283" i="3" s="1"/>
  <c r="H284" i="3"/>
  <c r="AC284" i="3"/>
  <c r="H285" i="3"/>
  <c r="AC285" i="3"/>
  <c r="G285" i="3"/>
  <c r="H286" i="3"/>
  <c r="AC286" i="3"/>
  <c r="G286" i="3" s="1"/>
  <c r="H287" i="3"/>
  <c r="AC287" i="3"/>
  <c r="G287" i="3" s="1"/>
  <c r="H288" i="3"/>
  <c r="AC288" i="3"/>
  <c r="H289" i="3"/>
  <c r="AC289" i="3"/>
  <c r="G289" i="3"/>
  <c r="H290" i="3"/>
  <c r="AC290" i="3"/>
  <c r="G290" i="3" s="1"/>
  <c r="H291" i="3"/>
  <c r="AC291" i="3"/>
  <c r="G291" i="3" s="1"/>
  <c r="H292" i="3"/>
  <c r="AC292" i="3"/>
  <c r="H293" i="3"/>
  <c r="AC293" i="3"/>
  <c r="G293" i="3"/>
  <c r="H294" i="3"/>
  <c r="AC294" i="3"/>
  <c r="G294" i="3" s="1"/>
  <c r="H295" i="3"/>
  <c r="AC295" i="3"/>
  <c r="G295" i="3" s="1"/>
  <c r="H296" i="3"/>
  <c r="AC296" i="3"/>
  <c r="H297" i="3"/>
  <c r="AC297" i="3"/>
  <c r="G297" i="3"/>
  <c r="H298" i="3"/>
  <c r="AC298" i="3"/>
  <c r="G298" i="3" s="1"/>
  <c r="H299" i="3"/>
  <c r="AC299" i="3"/>
  <c r="G299" i="3" s="1"/>
  <c r="H300" i="3"/>
  <c r="AC300" i="3"/>
  <c r="H301" i="3"/>
  <c r="AC301" i="3"/>
  <c r="G301" i="3"/>
  <c r="H302" i="3"/>
  <c r="AC302" i="3"/>
  <c r="G302" i="3" s="1"/>
  <c r="H303" i="3"/>
  <c r="AC303" i="3"/>
  <c r="G303" i="3" s="1"/>
  <c r="H304" i="3"/>
  <c r="AC304" i="3"/>
  <c r="H305" i="3"/>
  <c r="AC305" i="3"/>
  <c r="G305" i="3"/>
  <c r="H306" i="3"/>
  <c r="AC306" i="3"/>
  <c r="G306" i="3" s="1"/>
  <c r="H307" i="3"/>
  <c r="AC307" i="3"/>
  <c r="G307" i="3" s="1"/>
  <c r="H308" i="3"/>
  <c r="AC308" i="3"/>
  <c r="H309" i="3"/>
  <c r="AC309" i="3"/>
  <c r="G309" i="3"/>
  <c r="H310" i="3"/>
  <c r="AC310" i="3"/>
  <c r="G310" i="3" s="1"/>
  <c r="H311" i="3"/>
  <c r="AC311" i="3"/>
  <c r="G311" i="3" s="1"/>
  <c r="H312" i="3"/>
  <c r="AC312" i="3"/>
  <c r="H313" i="3"/>
  <c r="AC313" i="3"/>
  <c r="G313" i="3"/>
  <c r="H314" i="3"/>
  <c r="AC314" i="3"/>
  <c r="G314" i="3" s="1"/>
  <c r="H315" i="3"/>
  <c r="AC315" i="3"/>
  <c r="G315" i="3" s="1"/>
  <c r="H316" i="3"/>
  <c r="AC316" i="3"/>
  <c r="H317" i="3"/>
  <c r="AC317" i="3"/>
  <c r="G317" i="3"/>
  <c r="H318" i="3"/>
  <c r="AC318" i="3"/>
  <c r="G318" i="3" s="1"/>
  <c r="H319" i="3"/>
  <c r="AC319" i="3"/>
  <c r="G319" i="3" s="1"/>
  <c r="H320" i="3"/>
  <c r="AC320" i="3"/>
  <c r="H321" i="3"/>
  <c r="AC321" i="3"/>
  <c r="G321" i="3"/>
  <c r="H322" i="3"/>
  <c r="AC322" i="3"/>
  <c r="G322" i="3" s="1"/>
  <c r="H323" i="3"/>
  <c r="AC323" i="3"/>
  <c r="G323" i="3" s="1"/>
  <c r="H324" i="3"/>
  <c r="AC324" i="3"/>
  <c r="H325" i="3"/>
  <c r="AC325" i="3"/>
  <c r="G325" i="3"/>
  <c r="H326" i="3"/>
  <c r="AC326" i="3"/>
  <c r="G326" i="3" s="1"/>
  <c r="H327" i="3"/>
  <c r="AC327" i="3"/>
  <c r="G327" i="3" s="1"/>
  <c r="H328" i="3"/>
  <c r="AC328" i="3"/>
  <c r="H329" i="3"/>
  <c r="AC329" i="3"/>
  <c r="G329" i="3"/>
  <c r="H330" i="3"/>
  <c r="AC330" i="3"/>
  <c r="G330" i="3" s="1"/>
  <c r="H331" i="3"/>
  <c r="AC331" i="3"/>
  <c r="G331" i="3" s="1"/>
  <c r="H332" i="3"/>
  <c r="AC332" i="3"/>
  <c r="H333" i="3"/>
  <c r="AC333" i="3"/>
  <c r="G333" i="3"/>
  <c r="H334" i="3"/>
  <c r="AC334" i="3"/>
  <c r="G334" i="3" s="1"/>
  <c r="H335" i="3"/>
  <c r="AC335" i="3"/>
  <c r="G335" i="3" s="1"/>
  <c r="H336" i="3"/>
  <c r="AC336" i="3"/>
  <c r="H337" i="3"/>
  <c r="AC337" i="3"/>
  <c r="G337" i="3"/>
  <c r="H338" i="3"/>
  <c r="AC338" i="3"/>
  <c r="G338" i="3" s="1"/>
  <c r="H339" i="3"/>
  <c r="AC339" i="3"/>
  <c r="G339" i="3" s="1"/>
  <c r="H340" i="3"/>
  <c r="AC340" i="3"/>
  <c r="H341" i="3"/>
  <c r="AC341" i="3"/>
  <c r="G341" i="3"/>
  <c r="H342" i="3"/>
  <c r="AC342" i="3"/>
  <c r="G342" i="3" s="1"/>
  <c r="H343" i="3"/>
  <c r="AC343" i="3"/>
  <c r="G343" i="3" s="1"/>
  <c r="H344" i="3"/>
  <c r="AC344" i="3"/>
  <c r="H345" i="3"/>
  <c r="AC345" i="3"/>
  <c r="G345" i="3"/>
  <c r="H346" i="3"/>
  <c r="AC346" i="3"/>
  <c r="G346" i="3" s="1"/>
  <c r="H347" i="3"/>
  <c r="AC347" i="3"/>
  <c r="G347" i="3" s="1"/>
  <c r="H348" i="3"/>
  <c r="AC348" i="3"/>
  <c r="H349" i="3"/>
  <c r="AC349" i="3"/>
  <c r="G349" i="3"/>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H573" i="3"/>
  <c r="AC573" i="3"/>
  <c r="G573" i="3" s="1"/>
  <c r="H574" i="3"/>
  <c r="AC574" i="3"/>
  <c r="H575" i="3"/>
  <c r="AC575" i="3"/>
  <c r="G575" i="3"/>
  <c r="H576" i="3"/>
  <c r="AC576" i="3"/>
  <c r="G576" i="3" s="1"/>
  <c r="H577" i="3"/>
  <c r="AC577" i="3"/>
  <c r="G577" i="3" s="1"/>
  <c r="H578" i="3"/>
  <c r="AC578" i="3"/>
  <c r="H579" i="3"/>
  <c r="AC579" i="3"/>
  <c r="G579" i="3"/>
  <c r="H580" i="3"/>
  <c r="AC580" i="3"/>
  <c r="G580" i="3" s="1"/>
  <c r="H581" i="3"/>
  <c r="AC581" i="3"/>
  <c r="G581" i="3" s="1"/>
  <c r="H582" i="3"/>
  <c r="AC582" i="3"/>
  <c r="H583" i="3"/>
  <c r="AC583" i="3"/>
  <c r="G583" i="3"/>
  <c r="H584" i="3"/>
  <c r="AC584" i="3"/>
  <c r="G584" i="3" s="1"/>
  <c r="H585" i="3"/>
  <c r="AC585" i="3"/>
  <c r="G585" i="3" s="1"/>
  <c r="H586" i="3"/>
  <c r="AC586" i="3"/>
  <c r="H587" i="3"/>
  <c r="AC587" i="3"/>
  <c r="G587" i="3"/>
  <c r="AT5" i="3"/>
  <c r="AD6" i="71"/>
  <c r="AG6" i="71"/>
  <c r="AH6" i="71"/>
  <c r="AE6" i="71"/>
  <c r="AF6" i="71"/>
  <c r="N7" i="71"/>
  <c r="N14" i="71"/>
  <c r="X6" i="71" s="1"/>
  <c r="N18" i="71"/>
  <c r="X5" i="71"/>
  <c r="Q7" i="71"/>
  <c r="Q14" i="71"/>
  <c r="AB13" i="71" s="1"/>
  <c r="Q18" i="71"/>
  <c r="AB5" i="71"/>
  <c r="P7" i="71"/>
  <c r="P14" i="71"/>
  <c r="AA11" i="71" s="1"/>
  <c r="P18" i="71"/>
  <c r="AA5" i="71"/>
  <c r="O7" i="71"/>
  <c r="O14" i="71"/>
  <c r="Y6" i="71" s="1"/>
  <c r="Z6" i="71" s="1"/>
  <c r="O18" i="71"/>
  <c r="Y5" i="71"/>
  <c r="Z5" i="71" s="1"/>
  <c r="T6" i="71"/>
  <c r="S6" i="71"/>
  <c r="V6" i="71"/>
  <c r="U6" i="71"/>
  <c r="AA6"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O35" i="71"/>
  <c r="C36" i="71"/>
  <c r="C37" i="71" s="1"/>
  <c r="Q35" i="71"/>
  <c r="F36" i="71"/>
  <c r="F37" i="71" s="1"/>
  <c r="F38" i="71" s="1"/>
  <c r="V38" i="71" s="1"/>
  <c r="P35" i="71"/>
  <c r="E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c r="F29" i="71" s="1"/>
  <c r="F30" i="71" s="1"/>
  <c r="V30" i="71" s="1"/>
  <c r="P27" i="71"/>
  <c r="E28" i="71" s="1"/>
  <c r="O27" i="71"/>
  <c r="C28" i="71" s="1"/>
  <c r="N27" i="71"/>
  <c r="B28" i="71" s="1"/>
  <c r="B29" i="71" s="1"/>
  <c r="B30" i="71" s="1"/>
  <c r="S30" i="71" s="1"/>
  <c r="D27" i="71"/>
  <c r="Q26" i="71"/>
  <c r="P26" i="71"/>
  <c r="O26" i="71"/>
  <c r="N26" i="71"/>
  <c r="Q25" i="71"/>
  <c r="P25" i="71"/>
  <c r="O25" i="71"/>
  <c r="N25" i="71"/>
  <c r="Q24" i="71"/>
  <c r="P24" i="71"/>
  <c r="O24" i="71"/>
  <c r="N24" i="71"/>
  <c r="Q23" i="71"/>
  <c r="F24" i="71"/>
  <c r="F25" i="71" s="1"/>
  <c r="F26" i="71" s="1"/>
  <c r="V26" i="71" s="1"/>
  <c r="P23" i="71"/>
  <c r="E24" i="71" s="1"/>
  <c r="O23" i="71"/>
  <c r="C24" i="71" s="1"/>
  <c r="N23" i="71"/>
  <c r="B24" i="71" s="1"/>
  <c r="B25" i="71" s="1"/>
  <c r="B26" i="71" s="1"/>
  <c r="S26" i="71" s="1"/>
  <c r="D23" i="71"/>
  <c r="Q22" i="71"/>
  <c r="P22" i="71"/>
  <c r="O22" i="71"/>
  <c r="N22" i="71"/>
  <c r="AB21" i="71"/>
  <c r="AA21" i="71"/>
  <c r="Y21" i="71"/>
  <c r="Z21" i="71"/>
  <c r="X21" i="71"/>
  <c r="AB20" i="71"/>
  <c r="Y20" i="71"/>
  <c r="Z20" i="71"/>
  <c r="V22" i="71"/>
  <c r="AB18" i="71"/>
  <c r="Y18" i="71"/>
  <c r="Z18" i="71"/>
  <c r="AB17" i="71"/>
  <c r="Y17" i="71"/>
  <c r="Z17" i="71" s="1"/>
  <c r="AB16" i="71"/>
  <c r="Y16" i="71"/>
  <c r="Z16" i="71" s="1"/>
  <c r="AB14" i="71"/>
  <c r="Y13" i="71"/>
  <c r="Z13" i="71" s="1"/>
  <c r="AB12" i="71"/>
  <c r="V14" i="71"/>
  <c r="U14" i="71"/>
  <c r="X15" i="71"/>
  <c r="X19" i="71"/>
  <c r="U22" i="71"/>
  <c r="AA19" i="71"/>
  <c r="N50" i="71"/>
  <c r="U18" i="71"/>
  <c r="AA15" i="71"/>
  <c r="X12" i="71"/>
  <c r="X13" i="71"/>
  <c r="X14" i="71"/>
  <c r="Y15" i="71"/>
  <c r="Z15" i="71" s="1"/>
  <c r="AB15" i="71"/>
  <c r="X16" i="71"/>
  <c r="AA16" i="71"/>
  <c r="X17" i="71"/>
  <c r="AA17" i="71"/>
  <c r="X18" i="71"/>
  <c r="AA18" i="71"/>
  <c r="Y19" i="71"/>
  <c r="Z19" i="71"/>
  <c r="AB19" i="71"/>
  <c r="X20" i="71"/>
  <c r="AA20" i="71"/>
  <c r="X8" i="71"/>
  <c r="X3" i="71"/>
  <c r="U50" i="71"/>
  <c r="E49" i="71"/>
  <c r="E48" i="71" s="1"/>
  <c r="D36" i="71"/>
  <c r="T50" i="71"/>
  <c r="O50" i="71"/>
  <c r="D50" i="71"/>
  <c r="C49" i="71"/>
  <c r="C48" i="71" s="1"/>
  <c r="Q50" i="71"/>
  <c r="E53" i="71"/>
  <c r="E52" i="71" s="1"/>
  <c r="D54" i="71"/>
  <c r="C57" i="71"/>
  <c r="C56" i="71" s="1"/>
  <c r="D56" i="71" s="1"/>
  <c r="E57" i="71"/>
  <c r="E56" i="71" s="1"/>
  <c r="D58" i="71"/>
  <c r="E61" i="71"/>
  <c r="E60" i="71" s="1"/>
  <c r="D62" i="71"/>
  <c r="C69" i="71"/>
  <c r="D69" i="71" s="1"/>
  <c r="T10" i="71"/>
  <c r="S10" i="71"/>
  <c r="AB7" i="71"/>
  <c r="AB9" i="71"/>
  <c r="AA3" i="71"/>
  <c r="AA8" i="71"/>
  <c r="AA10" i="71"/>
  <c r="O49" i="71"/>
  <c r="D57" i="71"/>
  <c r="C68" i="71"/>
  <c r="D68" i="71" s="1"/>
  <c r="P49" i="71"/>
  <c r="V10"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c r="D103" i="39"/>
  <c r="E103" i="39"/>
  <c r="F29" i="39"/>
  <c r="AA29" i="39" s="1"/>
  <c r="Q18" i="36"/>
  <c r="Z18" i="36" s="1"/>
  <c r="D66" i="36"/>
  <c r="E66" i="36" s="1"/>
  <c r="F66" i="36" s="1"/>
  <c r="G66" i="36" s="1"/>
  <c r="H18" i="36"/>
  <c r="AB18" i="36" s="1"/>
  <c r="F18" i="36"/>
  <c r="AA18" i="36" s="1"/>
  <c r="C18" i="36"/>
  <c r="Q18" i="35"/>
  <c r="Z18" i="35"/>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9" i="39"/>
  <c r="U18" i="36"/>
  <c r="S21" i="34"/>
  <c r="H25" i="40"/>
  <c r="AB25" i="40" s="1"/>
  <c r="J25" i="40"/>
  <c r="AC25" i="40" s="1"/>
  <c r="F103" i="39"/>
  <c r="H29" i="39"/>
  <c r="G103" i="39"/>
  <c r="J29" i="39"/>
  <c r="J18" i="36"/>
  <c r="F68" i="35"/>
  <c r="G68" i="35" s="1"/>
  <c r="H18" i="35"/>
  <c r="S18" i="35"/>
  <c r="J18" i="35"/>
  <c r="H21" i="37"/>
  <c r="U21" i="37" s="1"/>
  <c r="F21" i="37"/>
  <c r="H21" i="34"/>
  <c r="H21" i="33"/>
  <c r="AB21" i="33" s="1"/>
  <c r="F21" i="33"/>
  <c r="S21" i="33" s="1"/>
  <c r="E83" i="21"/>
  <c r="S21" i="21"/>
  <c r="H1" i="69"/>
  <c r="AB29" i="39"/>
  <c r="U29" i="39"/>
  <c r="AC29" i="39"/>
  <c r="W29" i="39"/>
  <c r="AC18" i="36"/>
  <c r="W18" i="36"/>
  <c r="AB21" i="37"/>
  <c r="AA21" i="37"/>
  <c r="S21" i="37"/>
  <c r="AB21" i="34"/>
  <c r="U21" i="34"/>
  <c r="U21" i="33"/>
  <c r="AA21" i="33"/>
  <c r="AB18" i="35"/>
  <c r="U18" i="35"/>
  <c r="AC18" i="35"/>
  <c r="W18" i="35"/>
  <c r="J21" i="37"/>
  <c r="W21" i="37" s="1"/>
  <c r="J21" i="34"/>
  <c r="W21" i="34" s="1"/>
  <c r="J21" i="33"/>
  <c r="W21" i="33" s="1"/>
  <c r="F83" i="21"/>
  <c r="H21" i="21"/>
  <c r="U21" i="21" s="1"/>
  <c r="F38" i="69"/>
  <c r="E37" i="69"/>
  <c r="F36" i="69"/>
  <c r="F35" i="69"/>
  <c r="F21" i="69"/>
  <c r="C21" i="69"/>
  <c r="F20" i="69"/>
  <c r="E10" i="69"/>
  <c r="E9" i="69"/>
  <c r="F7" i="69"/>
  <c r="C7" i="69" s="1"/>
  <c r="AC21" i="37"/>
  <c r="AC21" i="34"/>
  <c r="AB21" i="21"/>
  <c r="G83" i="21"/>
  <c r="J21" i="21"/>
  <c r="AC21" i="21" s="1"/>
  <c r="C40" i="69"/>
  <c r="F38" i="68"/>
  <c r="E37" i="68"/>
  <c r="F36" i="68"/>
  <c r="F35" i="68"/>
  <c r="F21" i="68"/>
  <c r="C21" i="68" s="1"/>
  <c r="F20" i="68"/>
  <c r="E10" i="68"/>
  <c r="E9" i="68"/>
  <c r="F7" i="68"/>
  <c r="W21" i="2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J88" i="43"/>
  <c r="M87" i="43"/>
  <c r="N87" i="43" s="1"/>
  <c r="J87" i="43"/>
  <c r="M86" i="43"/>
  <c r="N86" i="43"/>
  <c r="M85" i="43"/>
  <c r="N85" i="43"/>
  <c r="K85" i="43"/>
  <c r="J85" i="43"/>
  <c r="M84" i="43"/>
  <c r="N84" i="43"/>
  <c r="K84" i="43"/>
  <c r="J84" i="43"/>
  <c r="M83" i="43"/>
  <c r="N83" i="43"/>
  <c r="J83" i="43"/>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8" i="1" s="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M10" i="1" s="1"/>
  <c r="O10" i="1" s="1"/>
  <c r="P10"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c r="F33" i="9"/>
  <c r="B37" i="48"/>
  <c r="B2" i="72" s="1"/>
  <c r="B13" i="53"/>
  <c r="B29" i="72"/>
  <c r="R35" i="4"/>
  <c r="Q35" i="4"/>
  <c r="P35" i="4"/>
  <c r="O35" i="4"/>
  <c r="N35" i="4"/>
  <c r="M35" i="4"/>
  <c r="L35" i="4"/>
  <c r="K34" i="4"/>
  <c r="T34" i="4" s="1"/>
  <c r="G13" i="1"/>
  <c r="G11" i="1"/>
  <c r="H15" i="4"/>
  <c r="E15" i="4"/>
  <c r="D15" i="4"/>
  <c r="G7" i="1"/>
  <c r="L21" i="4"/>
  <c r="F19" i="4"/>
  <c r="F2" i="52"/>
  <c r="B50" i="72" s="1"/>
  <c r="D2" i="52"/>
  <c r="B46" i="72" s="1"/>
  <c r="B8" i="53"/>
  <c r="B23" i="72" s="1"/>
  <c r="L4" i="9"/>
  <c r="B17" i="72"/>
  <c r="B15" i="72"/>
  <c r="A3" i="51"/>
  <c r="C8" i="11"/>
  <c r="B2" i="49"/>
  <c r="B23" i="49" s="1"/>
  <c r="B40" i="48"/>
  <c r="B3" i="72" s="1"/>
  <c r="N1" i="43"/>
  <c r="F35" i="4"/>
  <c r="J55" i="39" s="1"/>
  <c r="H34" i="43"/>
  <c r="H35" i="43"/>
  <c r="H36" i="43"/>
  <c r="H37" i="43"/>
  <c r="A7" i="43"/>
  <c r="F33" i="15"/>
  <c r="F61" i="15" s="1"/>
  <c r="M19" i="15"/>
  <c r="B22" i="1"/>
  <c r="B43" i="1"/>
  <c r="D78" i="9"/>
  <c r="F23" i="15"/>
  <c r="D24" i="15" s="1"/>
  <c r="E22" i="6"/>
  <c r="E23" i="6"/>
  <c r="E24" i="6"/>
  <c r="E25" i="6"/>
  <c r="E26" i="6"/>
  <c r="BC10" i="3"/>
  <c r="BD10" i="3"/>
  <c r="BB10"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C94"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B126" i="21"/>
  <c r="B98" i="21"/>
  <c r="H31" i="21" s="1"/>
  <c r="B96" i="21"/>
  <c r="B94" i="21"/>
  <c r="J29" i="21" s="1"/>
  <c r="AC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F26" i="33"/>
  <c r="AA26" i="33"/>
  <c r="S9" i="33"/>
  <c r="U33" i="33"/>
  <c r="U35" i="33"/>
  <c r="S40" i="33"/>
  <c r="W33" i="33"/>
  <c r="W39" i="33"/>
  <c r="H39" i="37"/>
  <c r="AB39" i="37"/>
  <c r="S27" i="35"/>
  <c r="W8" i="40"/>
  <c r="AC40" i="40"/>
  <c r="S40"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J21" i="40"/>
  <c r="W21" i="40" s="1"/>
  <c r="H42" i="39"/>
  <c r="AB42" i="39"/>
  <c r="J34" i="39"/>
  <c r="AC34" i="39"/>
  <c r="J31" i="39"/>
  <c r="F101" i="39"/>
  <c r="H27" i="39"/>
  <c r="U27" i="39" s="1"/>
  <c r="J19" i="39"/>
  <c r="AC19" i="39" s="1"/>
  <c r="J17" i="39"/>
  <c r="J27" i="39"/>
  <c r="AC27" i="39" s="1"/>
  <c r="F27" i="39"/>
  <c r="F11" i="21"/>
  <c r="S11" i="21" s="1"/>
  <c r="S40" i="21"/>
  <c r="U34" i="21"/>
  <c r="S34" i="21"/>
  <c r="C25" i="39"/>
  <c r="C27" i="39"/>
  <c r="C21" i="39"/>
  <c r="H11" i="39"/>
  <c r="S40" i="39"/>
  <c r="C15" i="39"/>
  <c r="H32" i="33"/>
  <c r="AB32" i="33"/>
  <c r="H11" i="21"/>
  <c r="U11" i="21"/>
  <c r="J11" i="21"/>
  <c r="W11" i="21"/>
  <c r="H37" i="40"/>
  <c r="U37" i="40" s="1"/>
  <c r="F35" i="40"/>
  <c r="AA35" i="40" s="1"/>
  <c r="H23" i="40"/>
  <c r="AB23" i="40" s="1"/>
  <c r="H17" i="40"/>
  <c r="U17" i="40" s="1"/>
  <c r="J15" i="40"/>
  <c r="W15" i="40" s="1"/>
  <c r="AB8" i="39"/>
  <c r="AB12" i="33"/>
  <c r="AA12" i="34"/>
  <c r="AB12" i="35"/>
  <c r="AB12" i="36"/>
  <c r="W32" i="40"/>
  <c r="S44" i="39"/>
  <c r="F37" i="39"/>
  <c r="AA37" i="39" s="1"/>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s="1"/>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AB28" i="37"/>
  <c r="U39" i="37"/>
  <c r="W26" i="37"/>
  <c r="AC8" i="37"/>
  <c r="U26" i="37"/>
  <c r="W47" i="34"/>
  <c r="W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J9" i="37"/>
  <c r="W9" i="37" s="1"/>
  <c r="H9" i="37"/>
  <c r="AB9" i="37" s="1"/>
  <c r="F9" i="37"/>
  <c r="S9" i="37" s="1"/>
  <c r="J12" i="37"/>
  <c r="W12" i="37" s="1"/>
  <c r="H12" i="37"/>
  <c r="AB12" i="37" s="1"/>
  <c r="F12" i="37"/>
  <c r="S12" i="37" s="1"/>
  <c r="E71" i="37"/>
  <c r="F15" i="37"/>
  <c r="AA15" i="37" s="1"/>
  <c r="E94" i="37"/>
  <c r="F31" i="37"/>
  <c r="S31" i="37" s="1"/>
  <c r="F12" i="39"/>
  <c r="J42" i="39"/>
  <c r="H21" i="40"/>
  <c r="AB21" i="40" s="1"/>
  <c r="AC12" i="37"/>
  <c r="F94" i="37"/>
  <c r="G94" i="37"/>
  <c r="H94" i="37" s="1"/>
  <c r="I94" i="37" s="1"/>
  <c r="J94" i="37" s="1"/>
  <c r="K94" i="37" s="1"/>
  <c r="L94" i="37" s="1"/>
  <c r="M94" i="37" s="1"/>
  <c r="H31" i="37"/>
  <c r="U31" i="37"/>
  <c r="F71" i="37"/>
  <c r="G71" i="37"/>
  <c r="J15" i="37"/>
  <c r="W15" i="37" s="1"/>
  <c r="U12" i="37"/>
  <c r="AA25" i="21"/>
  <c r="H19" i="40"/>
  <c r="U19" i="40" s="1"/>
  <c r="F88" i="40"/>
  <c r="G88" i="40" s="1"/>
  <c r="F19" i="40"/>
  <c r="S19" i="40" s="1"/>
  <c r="S14" i="40"/>
  <c r="AC13" i="40"/>
  <c r="AB33" i="40"/>
  <c r="W23" i="39"/>
  <c r="AC43" i="39"/>
  <c r="W43" i="39"/>
  <c r="U45" i="39"/>
  <c r="AB45" i="39"/>
  <c r="AB44" i="39"/>
  <c r="U44" i="39"/>
  <c r="G101" i="39"/>
  <c r="H37" i="39"/>
  <c r="AB37" i="39" s="1"/>
  <c r="AC37" i="39"/>
  <c r="W37" i="39"/>
  <c r="H25" i="39"/>
  <c r="J25" i="39"/>
  <c r="F25" i="39"/>
  <c r="AA25" i="39" s="1"/>
  <c r="F15" i="39"/>
  <c r="H15" i="39"/>
  <c r="U15" i="39" s="1"/>
  <c r="J15" i="39"/>
  <c r="W15" i="39" s="1"/>
  <c r="H41" i="39"/>
  <c r="W27" i="39"/>
  <c r="AB34" i="39"/>
  <c r="U40" i="39"/>
  <c r="S42" i="39"/>
  <c r="W14" i="39"/>
  <c r="AA41" i="39"/>
  <c r="W9" i="39"/>
  <c r="W8" i="39"/>
  <c r="J19" i="40"/>
  <c r="J50" i="40"/>
  <c r="B54" i="72"/>
  <c r="B16" i="53"/>
  <c r="B33" i="72"/>
  <c r="C7" i="37"/>
  <c r="C7" i="34"/>
  <c r="C59" i="34" s="1"/>
  <c r="C7" i="36"/>
  <c r="A118" i="9"/>
  <c r="A4" i="52"/>
  <c r="B41" i="72" s="1"/>
  <c r="J11" i="39"/>
  <c r="W11" i="39" s="1"/>
  <c r="F11" i="39"/>
  <c r="AA11" i="39" s="1"/>
  <c r="A12" i="52"/>
  <c r="B56" i="72" s="1"/>
  <c r="S11" i="39"/>
  <c r="G4" i="4"/>
  <c r="I4" i="4"/>
  <c r="K5" i="4"/>
  <c r="B47" i="48" s="1"/>
  <c r="A2" i="9"/>
  <c r="N2" i="43"/>
  <c r="F59" i="43"/>
  <c r="BO5" i="3"/>
  <c r="BJ5" i="3"/>
  <c r="BH5" i="3"/>
  <c r="BF5" i="3"/>
  <c r="BP5" i="3"/>
  <c r="G29" i="6" s="1"/>
  <c r="BN5" i="3"/>
  <c r="BK5" i="3"/>
  <c r="BG5" i="3"/>
  <c r="BT5" i="3"/>
  <c r="N4" i="43"/>
  <c r="N10" i="43"/>
  <c r="F81" i="43"/>
  <c r="F48" i="43"/>
  <c r="H52" i="43" s="1"/>
  <c r="N7" i="43"/>
  <c r="F70" i="43"/>
  <c r="H73" i="43"/>
  <c r="M6" i="43"/>
  <c r="M11" i="43"/>
  <c r="E17" i="43"/>
  <c r="U17" i="39"/>
  <c r="S14" i="35"/>
  <c r="U43" i="21"/>
  <c r="U35" i="21"/>
  <c r="AC35" i="21"/>
  <c r="U10" i="21"/>
  <c r="G8" i="1"/>
  <c r="G9" i="1"/>
  <c r="G10" i="1"/>
  <c r="F48" i="9"/>
  <c r="O52" i="9"/>
  <c r="W37" i="37"/>
  <c r="W44" i="34"/>
  <c r="AC44" i="34"/>
  <c r="S15" i="37"/>
  <c r="U12" i="40"/>
  <c r="AA12" i="40"/>
  <c r="J37" i="33"/>
  <c r="W37" i="33" s="1"/>
  <c r="AC17" i="34"/>
  <c r="J34" i="33"/>
  <c r="W34" i="33" s="1"/>
  <c r="F33" i="34"/>
  <c r="S33" i="34" s="1"/>
  <c r="W12" i="36"/>
  <c r="AC12" i="36"/>
  <c r="H20" i="36"/>
  <c r="J20" i="36"/>
  <c r="W20" i="36" s="1"/>
  <c r="W24" i="36"/>
  <c r="J27" i="36"/>
  <c r="W27" i="36"/>
  <c r="AB25" i="37"/>
  <c r="AC33" i="40"/>
  <c r="H35" i="40"/>
  <c r="AB35" i="40" s="1"/>
  <c r="AC29" i="35"/>
  <c r="W29" i="35"/>
  <c r="H35" i="37"/>
  <c r="U35" i="37" s="1"/>
  <c r="AC14" i="35"/>
  <c r="H20" i="35"/>
  <c r="U20" i="35" s="1"/>
  <c r="F20" i="35"/>
  <c r="AA20" i="35" s="1"/>
  <c r="AB29" i="36"/>
  <c r="U29" i="36"/>
  <c r="H32" i="37"/>
  <c r="F96" i="37"/>
  <c r="G96" i="37" s="1"/>
  <c r="H96" i="37" s="1"/>
  <c r="I96" i="37" s="1"/>
  <c r="J96" i="37" s="1"/>
  <c r="K96" i="37" s="1"/>
  <c r="L96" i="37" s="1"/>
  <c r="M96" i="37" s="1"/>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C40" i="11"/>
  <c r="H75" i="43"/>
  <c r="H74" i="43"/>
  <c r="H49" i="43"/>
  <c r="F23" i="39"/>
  <c r="AA23" i="39" s="1"/>
  <c r="H27" i="36"/>
  <c r="U27" i="36" s="1"/>
  <c r="F27" i="36"/>
  <c r="AA27" i="36" s="1"/>
  <c r="H33" i="34"/>
  <c r="U33" i="34" s="1"/>
  <c r="F32" i="37"/>
  <c r="AA32" i="37" s="1"/>
  <c r="F20" i="36"/>
  <c r="AA20" i="36" s="1"/>
  <c r="J33" i="34"/>
  <c r="AC33" i="34" s="1"/>
  <c r="H23" i="39"/>
  <c r="U23" i="39" s="1"/>
  <c r="D48" i="9"/>
  <c r="M52" i="9" s="1"/>
  <c r="H86" i="43"/>
  <c r="H87" i="43"/>
  <c r="K9" i="1"/>
  <c r="M9" i="1" s="1"/>
  <c r="AE9" i="1"/>
  <c r="D93" i="9"/>
  <c r="AC26" i="33"/>
  <c r="W26" i="33"/>
  <c r="W27" i="34"/>
  <c r="AC27" i="34"/>
  <c r="AB34" i="36"/>
  <c r="U34" i="36"/>
  <c r="AB33" i="36"/>
  <c r="U33" i="36"/>
  <c r="AC12" i="39"/>
  <c r="AC39" i="40"/>
  <c r="W39" i="40"/>
  <c r="W12" i="33"/>
  <c r="AC12" i="33"/>
  <c r="AA32" i="36"/>
  <c r="S32" i="36"/>
  <c r="AC13" i="34"/>
  <c r="W28" i="37"/>
  <c r="S19" i="39"/>
  <c r="F12" i="33"/>
  <c r="H12" i="39"/>
  <c r="AB12" i="39"/>
  <c r="F39" i="40"/>
  <c r="S12" i="1"/>
  <c r="R12" i="1"/>
  <c r="B12" i="1"/>
  <c r="E12" i="1" s="1"/>
  <c r="S10" i="1"/>
  <c r="R10" i="1"/>
  <c r="B10" i="1"/>
  <c r="E10" i="1" s="1"/>
  <c r="D1" i="66"/>
  <c r="E10" i="66" s="1"/>
  <c r="K12" i="1"/>
  <c r="M12" i="1" s="1"/>
  <c r="O12" i="1" s="1"/>
  <c r="P12" i="1" s="1"/>
  <c r="S13" i="1"/>
  <c r="T13" i="1" s="1"/>
  <c r="R13" i="1"/>
  <c r="S11" i="1"/>
  <c r="R11" i="1"/>
  <c r="S9" i="1"/>
  <c r="T9" i="1" s="1"/>
  <c r="R9" i="1"/>
  <c r="J51" i="67"/>
  <c r="C42" i="1"/>
  <c r="C30" i="68" s="1"/>
  <c r="H100" i="43"/>
  <c r="C30" i="66"/>
  <c r="E26" i="66" s="1"/>
  <c r="AC34" i="33"/>
  <c r="B41" i="1"/>
  <c r="S22" i="31"/>
  <c r="J100" i="43"/>
  <c r="AB37" i="40"/>
  <c r="S35" i="40"/>
  <c r="U35" i="40"/>
  <c r="AA32" i="40"/>
  <c r="S17" i="40"/>
  <c r="S23" i="40"/>
  <c r="AC17" i="40"/>
  <c r="AC15" i="40"/>
  <c r="AB27" i="40"/>
  <c r="AA19" i="40"/>
  <c r="S28" i="40"/>
  <c r="AA27" i="40"/>
  <c r="U21" i="40"/>
  <c r="AB19" i="40"/>
  <c r="U37" i="39"/>
  <c r="S43" i="39"/>
  <c r="S37" i="39"/>
  <c r="U35" i="39"/>
  <c r="F32" i="39"/>
  <c r="F107" i="39"/>
  <c r="G107" i="39" s="1"/>
  <c r="H107" i="39" s="1"/>
  <c r="I107" i="39" s="1"/>
  <c r="J107" i="39" s="1"/>
  <c r="K107" i="39" s="1"/>
  <c r="L107" i="39" s="1"/>
  <c r="M107" i="39" s="1"/>
  <c r="AB27" i="39"/>
  <c r="U31" i="39"/>
  <c r="S25" i="39"/>
  <c r="J21" i="39"/>
  <c r="F21" i="39"/>
  <c r="G95" i="39"/>
  <c r="H21" i="39"/>
  <c r="W19" i="39"/>
  <c r="U19" i="39"/>
  <c r="S17" i="39"/>
  <c r="AC15" i="39"/>
  <c r="AB15"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U10" i="36"/>
  <c r="W10" i="36"/>
  <c r="AA25" i="35"/>
  <c r="S23" i="35"/>
  <c r="W24" i="35"/>
  <c r="AB13" i="35"/>
  <c r="U29" i="35"/>
  <c r="U28" i="35"/>
  <c r="AB27" i="35"/>
  <c r="U32" i="35"/>
  <c r="AA33" i="35"/>
  <c r="AC30" i="35"/>
  <c r="S32" i="35"/>
  <c r="W32" i="35"/>
  <c r="S28" i="35"/>
  <c r="AB16" i="35"/>
  <c r="U22" i="35"/>
  <c r="S20" i="35"/>
  <c r="AC20" i="35"/>
  <c r="S22" i="35"/>
  <c r="U14" i="35"/>
  <c r="AC10" i="35"/>
  <c r="AB10" i="35"/>
  <c r="AA11" i="35"/>
  <c r="S8" i="35"/>
  <c r="W9" i="35"/>
  <c r="W13" i="35"/>
  <c r="F9" i="35"/>
  <c r="H9" i="35"/>
  <c r="J26" i="35"/>
  <c r="W26" i="35" s="1"/>
  <c r="AB40" i="37"/>
  <c r="S25" i="37"/>
  <c r="W27" i="37"/>
  <c r="S26" i="37"/>
  <c r="AC9" i="37"/>
  <c r="AC29" i="37"/>
  <c r="U29" i="37"/>
  <c r="AB31" i="37"/>
  <c r="W30" i="37"/>
  <c r="S36" i="37"/>
  <c r="AA38" i="37"/>
  <c r="W38" i="37"/>
  <c r="AC35" i="37"/>
  <c r="W39" i="37"/>
  <c r="S30" i="37"/>
  <c r="S37" i="37"/>
  <c r="AC15" i="37"/>
  <c r="J17" i="37"/>
  <c r="W17" i="37" s="1"/>
  <c r="G73" i="37"/>
  <c r="F17" i="37"/>
  <c r="AA17" i="37" s="1"/>
  <c r="AB17" i="37"/>
  <c r="F19" i="37"/>
  <c r="AA19" i="37" s="1"/>
  <c r="F23" i="37"/>
  <c r="S23" i="37" s="1"/>
  <c r="U23" i="37"/>
  <c r="U15" i="37"/>
  <c r="AC13" i="37"/>
  <c r="U9" i="37"/>
  <c r="AA13" i="37"/>
  <c r="AA12" i="37"/>
  <c r="AA9" i="37"/>
  <c r="H10" i="37"/>
  <c r="H60" i="37"/>
  <c r="F63" i="37"/>
  <c r="F11" i="37"/>
  <c r="S11" i="37" s="1"/>
  <c r="S27" i="34"/>
  <c r="W25" i="34"/>
  <c r="AB8" i="34"/>
  <c r="AA33" i="34"/>
  <c r="U44" i="34"/>
  <c r="U43" i="34"/>
  <c r="AC39" i="34"/>
  <c r="AC42" i="34"/>
  <c r="U39" i="34"/>
  <c r="AA45" i="34"/>
  <c r="W34" i="34"/>
  <c r="AA25" i="34"/>
  <c r="S17" i="34"/>
  <c r="AA29" i="34"/>
  <c r="U27" i="34"/>
  <c r="S23" i="34"/>
  <c r="U15" i="34"/>
  <c r="S10" i="34"/>
  <c r="S13"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M8" i="43"/>
  <c r="N8" i="43"/>
  <c r="N9" i="43"/>
  <c r="C18" i="9"/>
  <c r="D18" i="9" s="1"/>
  <c r="F34" i="67"/>
  <c r="F62" i="67" s="1"/>
  <c r="M20" i="67"/>
  <c r="F34" i="15"/>
  <c r="F62" i="15" s="1"/>
  <c r="J56" i="9"/>
  <c r="J57" i="9" s="1"/>
  <c r="J59" i="9" s="1"/>
  <c r="J61" i="9" s="1"/>
  <c r="A24" i="51"/>
  <c r="B18" i="72" s="1"/>
  <c r="U29" i="34"/>
  <c r="E5" i="6"/>
  <c r="D9" i="11" s="1"/>
  <c r="C9" i="11" s="1"/>
  <c r="E32" i="6"/>
  <c r="L19" i="6"/>
  <c r="G1" i="68"/>
  <c r="K1" i="12"/>
  <c r="E19" i="69"/>
  <c r="E19" i="68"/>
  <c r="E19" i="11"/>
  <c r="E1" i="73"/>
  <c r="K1" i="73" s="1"/>
  <c r="G41" i="69"/>
  <c r="G22" i="69"/>
  <c r="G41" i="68"/>
  <c r="G22" i="68"/>
  <c r="G27" i="12"/>
  <c r="G26" i="12"/>
  <c r="G41" i="11"/>
  <c r="G22" i="11"/>
  <c r="G25" i="12"/>
  <c r="E48" i="43"/>
  <c r="B46" i="43" s="1"/>
  <c r="E70" i="43"/>
  <c r="B68" i="43" s="1"/>
  <c r="F100" i="43"/>
  <c r="G6" i="1"/>
  <c r="H81" i="43"/>
  <c r="H88" i="43"/>
  <c r="H53" i="43"/>
  <c r="H54" i="43"/>
  <c r="H78" i="43"/>
  <c r="H70" i="43"/>
  <c r="H71" i="43"/>
  <c r="M7" i="43"/>
  <c r="N6" i="43"/>
  <c r="M2" i="43"/>
  <c r="N3" i="43"/>
  <c r="N11" i="43"/>
  <c r="M9" i="43"/>
  <c r="N12" i="43"/>
  <c r="N5" i="43"/>
  <c r="M5" i="43"/>
  <c r="M12" i="43"/>
  <c r="M4" i="43"/>
  <c r="B19" i="53"/>
  <c r="B37" i="72" s="1"/>
  <c r="C7" i="39"/>
  <c r="C68" i="39" s="1"/>
  <c r="C7" i="35"/>
  <c r="C7" i="33"/>
  <c r="C58" i="33" s="1"/>
  <c r="C7" i="21"/>
  <c r="C58" i="21" s="1"/>
  <c r="C7" i="40"/>
  <c r="C63" i="40" s="1"/>
  <c r="C65" i="40" s="1"/>
  <c r="M47" i="9"/>
  <c r="T35" i="4"/>
  <c r="A19" i="51" s="1"/>
  <c r="B14" i="72" s="1"/>
  <c r="C46" i="36"/>
  <c r="D46" i="36" s="1"/>
  <c r="D59" i="34"/>
  <c r="E59" i="34" s="1"/>
  <c r="C52" i="37"/>
  <c r="D52" i="37" s="1"/>
  <c r="E52" i="37" s="1"/>
  <c r="A4" i="51"/>
  <c r="B6" i="72"/>
  <c r="C48" i="35"/>
  <c r="D48" i="35" s="1"/>
  <c r="E48" i="35" s="1"/>
  <c r="F48" i="35" s="1"/>
  <c r="C92" i="9"/>
  <c r="H66" i="43"/>
  <c r="H65" i="43"/>
  <c r="H64" i="43"/>
  <c r="H63" i="43"/>
  <c r="H55" i="43"/>
  <c r="H51" i="43"/>
  <c r="H56" i="43"/>
  <c r="H76" i="43"/>
  <c r="H72" i="43"/>
  <c r="H77" i="43"/>
  <c r="L20" i="6"/>
  <c r="B6" i="1"/>
  <c r="E6" i="1" s="1"/>
  <c r="K11" i="1"/>
  <c r="M11" i="1" s="1"/>
  <c r="AP6" i="1"/>
  <c r="B9" i="1"/>
  <c r="E9" i="1" s="1"/>
  <c r="G1" i="15"/>
  <c r="G1" i="69"/>
  <c r="G1" i="67"/>
  <c r="W23" i="40"/>
  <c r="U32" i="40"/>
  <c r="AB31" i="40"/>
  <c r="S37" i="40"/>
  <c r="AB28" i="40"/>
  <c r="W28"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F1" i="67" s="1"/>
  <c r="F30" i="68"/>
  <c r="F30" i="11"/>
  <c r="C48" i="11"/>
  <c r="F28" i="67"/>
  <c r="F31" i="12"/>
  <c r="F52" i="9"/>
  <c r="M18" i="67"/>
  <c r="F32" i="67"/>
  <c r="F60" i="67" s="1"/>
  <c r="F30" i="69"/>
  <c r="C48" i="69" s="1"/>
  <c r="F32" i="15"/>
  <c r="F60" i="15" s="1"/>
  <c r="M18" i="15"/>
  <c r="F28" i="15"/>
  <c r="T11" i="1"/>
  <c r="C48" i="68"/>
  <c r="C30" i="69"/>
  <c r="AA39" i="40"/>
  <c r="S39" i="40"/>
  <c r="S12" i="33"/>
  <c r="AA12" i="33"/>
  <c r="D68" i="9"/>
  <c r="F54" i="9"/>
  <c r="J32" i="39"/>
  <c r="H32" i="39"/>
  <c r="AB32" i="39" s="1"/>
  <c r="AA32" i="39"/>
  <c r="S32" i="39"/>
  <c r="AB21" i="39"/>
  <c r="U21" i="39"/>
  <c r="AA21" i="39"/>
  <c r="S21" i="39"/>
  <c r="AC21" i="39"/>
  <c r="W21" i="39"/>
  <c r="U9" i="35"/>
  <c r="AB9" i="35"/>
  <c r="AA9" i="35"/>
  <c r="S9" i="35"/>
  <c r="AC26" i="35"/>
  <c r="AC17" i="37"/>
  <c r="J19" i="37"/>
  <c r="AC19" i="37" s="1"/>
  <c r="G75" i="37"/>
  <c r="S19" i="37"/>
  <c r="AA23" i="37"/>
  <c r="J23" i="37"/>
  <c r="G79" i="37"/>
  <c r="J10" i="37"/>
  <c r="I60" i="37"/>
  <c r="G63" i="37"/>
  <c r="H11" i="37"/>
  <c r="U11" i="37" s="1"/>
  <c r="AB10" i="37"/>
  <c r="U10" i="37"/>
  <c r="H11" i="34"/>
  <c r="U11" i="34" s="1"/>
  <c r="AB10" i="34"/>
  <c r="U10" i="34"/>
  <c r="J10" i="34"/>
  <c r="AC10" i="34" s="1"/>
  <c r="I67" i="34"/>
  <c r="U41" i="33"/>
  <c r="AC35" i="33"/>
  <c r="J36" i="33"/>
  <c r="W36" i="33" s="1"/>
  <c r="H36" i="33"/>
  <c r="AB36" i="33" s="1"/>
  <c r="S36" i="33"/>
  <c r="AA36" i="33"/>
  <c r="W32" i="33"/>
  <c r="U27" i="33"/>
  <c r="AB27" i="33"/>
  <c r="J27" i="33"/>
  <c r="AC27" i="33" s="1"/>
  <c r="U25" i="33"/>
  <c r="AB25" i="33"/>
  <c r="AA25" i="33"/>
  <c r="J25" i="33"/>
  <c r="AC25" i="33" s="1"/>
  <c r="AB23" i="33"/>
  <c r="U23" i="33"/>
  <c r="F23" i="33"/>
  <c r="AA23" i="33" s="1"/>
  <c r="G85" i="33"/>
  <c r="AC23" i="33"/>
  <c r="W23" i="33"/>
  <c r="AA19" i="33"/>
  <c r="H19" i="33"/>
  <c r="U19" i="33" s="1"/>
  <c r="G79" i="33"/>
  <c r="H17" i="33"/>
  <c r="F17" i="33"/>
  <c r="S17" i="33" s="1"/>
  <c r="AC17" i="33"/>
  <c r="U10" i="33"/>
  <c r="AB10" i="33"/>
  <c r="W10" i="33"/>
  <c r="U33" i="21"/>
  <c r="AA23" i="21"/>
  <c r="J23" i="21"/>
  <c r="W23" i="21" s="1"/>
  <c r="H23" i="21"/>
  <c r="AB23" i="21" s="1"/>
  <c r="S13" i="21"/>
  <c r="R22" i="31"/>
  <c r="B21" i="31" s="1"/>
  <c r="O19" i="43"/>
  <c r="D63" i="40"/>
  <c r="D65" i="40" s="1"/>
  <c r="AP7" i="1"/>
  <c r="AB45" i="21"/>
  <c r="AC33" i="21"/>
  <c r="W33" i="21"/>
  <c r="S33" i="21"/>
  <c r="W32" i="21"/>
  <c r="AC32" i="21"/>
  <c r="AB9" i="21"/>
  <c r="U9" i="21"/>
  <c r="AA32" i="21"/>
  <c r="W9" i="21"/>
  <c r="AB32" i="21"/>
  <c r="AA10" i="21"/>
  <c r="S10" i="21"/>
  <c r="F31" i="15"/>
  <c r="M17" i="15"/>
  <c r="F59" i="67"/>
  <c r="F59" i="15"/>
  <c r="F31" i="67"/>
  <c r="M17" i="67"/>
  <c r="C30" i="11"/>
  <c r="AC32" i="39"/>
  <c r="W32" i="39"/>
  <c r="W19" i="37"/>
  <c r="W23" i="37"/>
  <c r="AC23" i="37"/>
  <c r="H63" i="37"/>
  <c r="I63" i="37" s="1"/>
  <c r="J63" i="37" s="1"/>
  <c r="K63" i="37" s="1"/>
  <c r="L63" i="37" s="1"/>
  <c r="M63" i="37" s="1"/>
  <c r="J11" i="37"/>
  <c r="W11" i="37" s="1"/>
  <c r="W10" i="37"/>
  <c r="AC10" i="37"/>
  <c r="AB11" i="34"/>
  <c r="W10" i="34"/>
  <c r="J11" i="34"/>
  <c r="AC36" i="33"/>
  <c r="U36" i="33"/>
  <c r="W27" i="33"/>
  <c r="W25" i="33"/>
  <c r="S23" i="33"/>
  <c r="AB19" i="33"/>
  <c r="AA17" i="33"/>
  <c r="U17" i="33"/>
  <c r="AB17" i="33"/>
  <c r="AC11" i="37"/>
  <c r="W11" i="34"/>
  <c r="AC11" i="34"/>
  <c r="C13" i="12"/>
  <c r="C19" i="68"/>
  <c r="AG6" i="1"/>
  <c r="H109" i="9"/>
  <c r="H112" i="9"/>
  <c r="D21" i="53" s="1"/>
  <c r="B39" i="72" s="1"/>
  <c r="H111" i="9"/>
  <c r="D126" i="9" s="1"/>
  <c r="D59" i="9"/>
  <c r="M55" i="9" s="1"/>
  <c r="AD3" i="71"/>
  <c r="P21" i="43"/>
  <c r="P22" i="43"/>
  <c r="P23" i="43"/>
  <c r="B71" i="39" s="1"/>
  <c r="P24" i="43"/>
  <c r="B66" i="40" s="1"/>
  <c r="P25" i="43"/>
  <c r="B9" i="76"/>
  <c r="F41" i="67"/>
  <c r="D2" i="21"/>
  <c r="F26" i="67"/>
  <c r="F40" i="15"/>
  <c r="L47" i="15"/>
  <c r="F20" i="31"/>
  <c r="B13" i="76"/>
  <c r="M8" i="15"/>
  <c r="M28" i="15"/>
  <c r="E8" i="76"/>
  <c r="D2" i="37"/>
  <c r="AO13" i="1"/>
  <c r="F4" i="73"/>
  <c r="B8" i="76"/>
  <c r="F42" i="67"/>
  <c r="F9" i="67"/>
  <c r="M8" i="67"/>
  <c r="D7" i="73"/>
  <c r="F7" i="73"/>
  <c r="E11" i="76"/>
  <c r="AO10" i="1"/>
  <c r="B10" i="76"/>
  <c r="F38" i="67"/>
  <c r="AO11" i="1"/>
  <c r="M27" i="67"/>
  <c r="C76" i="67"/>
  <c r="D4" i="73"/>
  <c r="M9" i="15"/>
  <c r="F8" i="15"/>
  <c r="F6" i="15"/>
  <c r="B7" i="76"/>
  <c r="D2" i="34"/>
  <c r="L48" i="15"/>
  <c r="M23" i="67"/>
  <c r="D3" i="73"/>
  <c r="E9" i="76"/>
  <c r="M21" i="67"/>
  <c r="M26" i="15"/>
  <c r="D2" i="33"/>
  <c r="F6" i="67"/>
  <c r="E2" i="68"/>
  <c r="E2" i="69"/>
  <c r="F6" i="73"/>
  <c r="AO9" i="1"/>
  <c r="C76" i="15"/>
  <c r="D2" i="35"/>
  <c r="D5" i="73"/>
  <c r="E10" i="76"/>
  <c r="E12" i="76"/>
  <c r="F40" i="67"/>
  <c r="D6" i="73"/>
  <c r="B12" i="76"/>
  <c r="F3" i="73"/>
  <c r="B11" i="76"/>
  <c r="E7" i="76"/>
  <c r="D2" i="36"/>
  <c r="F42" i="15"/>
  <c r="AO12" i="1"/>
  <c r="M27" i="15"/>
  <c r="L48" i="67"/>
  <c r="F5" i="73"/>
  <c r="J15" i="67"/>
  <c r="E13" i="76"/>
  <c r="D22" i="15" l="1"/>
  <c r="D22" i="79"/>
  <c r="H113" i="40"/>
  <c r="I113" i="40" s="1"/>
  <c r="J113" i="40" s="1"/>
  <c r="K113" i="40" s="1"/>
  <c r="L113" i="40" s="1"/>
  <c r="M113" i="40" s="1"/>
  <c r="H36" i="40"/>
  <c r="AB36" i="40" s="1"/>
  <c r="U25" i="40"/>
  <c r="F21" i="40"/>
  <c r="AA21" i="40" s="1"/>
  <c r="W34" i="40"/>
  <c r="S34" i="40"/>
  <c r="J36" i="40"/>
  <c r="F36" i="40"/>
  <c r="W35" i="40"/>
  <c r="G19" i="3"/>
  <c r="G18" i="3"/>
  <c r="BA17" i="3"/>
  <c r="BL20" i="3"/>
  <c r="BS5" i="3"/>
  <c r="BM5" i="3"/>
  <c r="F29" i="6" s="1"/>
  <c r="BL18" i="3"/>
  <c r="BI5" i="3"/>
  <c r="BE5" i="3"/>
  <c r="BQ5" i="3"/>
  <c r="F28" i="6" s="1"/>
  <c r="F30" i="6" s="1"/>
  <c r="BC5" i="3"/>
  <c r="BB5" i="3"/>
  <c r="BR5" i="3"/>
  <c r="G28" i="6" s="1"/>
  <c r="AN5" i="3"/>
  <c r="C36" i="69"/>
  <c r="Q52" i="67"/>
  <c r="AC16" i="3"/>
  <c r="AC5" i="3" s="1"/>
  <c r="H5" i="3"/>
  <c r="E8" i="6"/>
  <c r="G14" i="3"/>
  <c r="G13" i="3"/>
  <c r="BD15" i="3"/>
  <c r="BD5" i="3" s="1"/>
  <c r="C24" i="12"/>
  <c r="C77" i="9"/>
  <c r="C74" i="9" s="1"/>
  <c r="C28" i="15"/>
  <c r="C28" i="67"/>
  <c r="D19" i="53"/>
  <c r="E63" i="40"/>
  <c r="U23" i="21"/>
  <c r="AB11" i="37"/>
  <c r="U32" i="39"/>
  <c r="D9" i="68"/>
  <c r="C9" i="68" s="1"/>
  <c r="D19" i="12"/>
  <c r="C19" i="12" s="1"/>
  <c r="AC15" i="21"/>
  <c r="L27" i="6"/>
  <c r="AC39" i="39"/>
  <c r="W39" i="39"/>
  <c r="AB32" i="37"/>
  <c r="U32" i="37"/>
  <c r="U20" i="36"/>
  <c r="AB20" i="36"/>
  <c r="E29" i="6"/>
  <c r="H62" i="43"/>
  <c r="H61" i="43"/>
  <c r="H60" i="43"/>
  <c r="H59" i="43"/>
  <c r="H67" i="43"/>
  <c r="AC19" i="40"/>
  <c r="W19" i="40"/>
  <c r="AA15" i="39"/>
  <c r="S15" i="39"/>
  <c r="AC42" i="39"/>
  <c r="W42" i="39"/>
  <c r="S36" i="35"/>
  <c r="AA36" i="35"/>
  <c r="S12" i="21"/>
  <c r="AA12" i="21"/>
  <c r="W12" i="35"/>
  <c r="AC12" i="35"/>
  <c r="AC31" i="40"/>
  <c r="W31" i="40"/>
  <c r="F26" i="35"/>
  <c r="AA26" i="35" s="1"/>
  <c r="H26" i="35"/>
  <c r="D24" i="71"/>
  <c r="C25" i="71"/>
  <c r="D28" i="71"/>
  <c r="C29" i="71"/>
  <c r="D29" i="71" s="1"/>
  <c r="C33" i="71"/>
  <c r="D32" i="71"/>
  <c r="C41" i="71"/>
  <c r="D40" i="71"/>
  <c r="H83" i="43"/>
  <c r="H82" i="43"/>
  <c r="H85" i="43"/>
  <c r="H84" i="43"/>
  <c r="AB25" i="39"/>
  <c r="U25" i="39"/>
  <c r="S12" i="39"/>
  <c r="AA12" i="39"/>
  <c r="U23" i="35"/>
  <c r="AB23" i="35"/>
  <c r="O48" i="71"/>
  <c r="D48" i="71"/>
  <c r="D49" i="71"/>
  <c r="E25" i="71"/>
  <c r="E26" i="71" s="1"/>
  <c r="U26" i="71" s="1"/>
  <c r="E29" i="71"/>
  <c r="E30" i="71" s="1"/>
  <c r="U30" i="71" s="1"/>
  <c r="E37" i="71"/>
  <c r="E38" i="71" s="1"/>
  <c r="U38" i="71" s="1"/>
  <c r="B45" i="71"/>
  <c r="B46" i="71" s="1"/>
  <c r="S46" i="71" s="1"/>
  <c r="E45" i="71"/>
  <c r="E46" i="71" s="1"/>
  <c r="U46" i="71" s="1"/>
  <c r="AB6" i="7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BL587" i="3"/>
  <c r="AZ587" i="3" s="1"/>
  <c r="BL584" i="3"/>
  <c r="BA584" i="3"/>
  <c r="BL583" i="3"/>
  <c r="AZ583" i="3" s="1"/>
  <c r="BL580" i="3"/>
  <c r="BA580" i="3"/>
  <c r="AZ580" i="3" s="1"/>
  <c r="BL579" i="3"/>
  <c r="AZ579" i="3" s="1"/>
  <c r="BL576" i="3"/>
  <c r="BA576" i="3"/>
  <c r="BL575" i="3"/>
  <c r="AZ575" i="3" s="1"/>
  <c r="BL572" i="3"/>
  <c r="BA572" i="3"/>
  <c r="AZ572" i="3" s="1"/>
  <c r="BL571" i="3"/>
  <c r="AZ571" i="3" s="1"/>
  <c r="BL568" i="3"/>
  <c r="BA568" i="3"/>
  <c r="BL567" i="3"/>
  <c r="AZ567" i="3" s="1"/>
  <c r="BL564" i="3"/>
  <c r="BA564" i="3"/>
  <c r="AZ564" i="3" s="1"/>
  <c r="BL563" i="3"/>
  <c r="AZ563" i="3" s="1"/>
  <c r="BL560" i="3"/>
  <c r="BA560" i="3"/>
  <c r="BL559" i="3"/>
  <c r="AZ559" i="3" s="1"/>
  <c r="BL556" i="3"/>
  <c r="BA556" i="3"/>
  <c r="AZ556" i="3" s="1"/>
  <c r="BL555" i="3"/>
  <c r="AZ555" i="3" s="1"/>
  <c r="BL552" i="3"/>
  <c r="BA552" i="3"/>
  <c r="BL551" i="3"/>
  <c r="AZ551" i="3" s="1"/>
  <c r="BL548" i="3"/>
  <c r="BA548" i="3"/>
  <c r="AZ548" i="3" s="1"/>
  <c r="BL547" i="3"/>
  <c r="AZ547" i="3" s="1"/>
  <c r="BL544" i="3"/>
  <c r="BA544" i="3"/>
  <c r="BL543" i="3"/>
  <c r="AZ543" i="3" s="1"/>
  <c r="BL540" i="3"/>
  <c r="BA540" i="3"/>
  <c r="AZ540" i="3" s="1"/>
  <c r="S43" i="33"/>
  <c r="U28" i="34"/>
  <c r="AB41" i="34"/>
  <c r="AB35" i="34"/>
  <c r="W41" i="34"/>
  <c r="AA10" i="35"/>
  <c r="S14" i="36"/>
  <c r="AA47" i="34"/>
  <c r="U30" i="33"/>
  <c r="U13" i="37"/>
  <c r="U11" i="33"/>
  <c r="AB37" i="34"/>
  <c r="AB13" i="34"/>
  <c r="U33" i="37"/>
  <c r="W14" i="37"/>
  <c r="S44" i="34"/>
  <c r="AB30" i="21"/>
  <c r="U31" i="34"/>
  <c r="U23" i="40"/>
  <c r="AA29" i="35"/>
  <c r="AB23" i="34"/>
  <c r="W33" i="37"/>
  <c r="J12" i="34"/>
  <c r="F12" i="35"/>
  <c r="C5" i="11"/>
  <c r="D23" i="67"/>
  <c r="AC21" i="33"/>
  <c r="C29" i="39"/>
  <c r="B66" i="43"/>
  <c r="BL586" i="3"/>
  <c r="BA586" i="3"/>
  <c r="AZ586" i="3" s="1"/>
  <c r="BL585" i="3"/>
  <c r="AZ585" i="3" s="1"/>
  <c r="BL582" i="3"/>
  <c r="BA582" i="3"/>
  <c r="BL581" i="3"/>
  <c r="AZ581" i="3" s="1"/>
  <c r="BL578" i="3"/>
  <c r="BA578" i="3"/>
  <c r="AZ578" i="3" s="1"/>
  <c r="BL577" i="3"/>
  <c r="AZ577" i="3" s="1"/>
  <c r="BL574" i="3"/>
  <c r="BA574" i="3"/>
  <c r="BL573" i="3"/>
  <c r="AZ573" i="3" s="1"/>
  <c r="BL570" i="3"/>
  <c r="BA570" i="3"/>
  <c r="AZ570" i="3" s="1"/>
  <c r="BL569" i="3"/>
  <c r="AZ569" i="3" s="1"/>
  <c r="BL566" i="3"/>
  <c r="BA566" i="3"/>
  <c r="BL565" i="3"/>
  <c r="AZ565" i="3" s="1"/>
  <c r="BL562" i="3"/>
  <c r="BA562" i="3"/>
  <c r="AZ562" i="3" s="1"/>
  <c r="BL561" i="3"/>
  <c r="AZ561" i="3" s="1"/>
  <c r="BL558" i="3"/>
  <c r="BA558" i="3"/>
  <c r="BL557" i="3"/>
  <c r="AZ557" i="3" s="1"/>
  <c r="BL554" i="3"/>
  <c r="BA554" i="3"/>
  <c r="AZ554" i="3" s="1"/>
  <c r="BL553" i="3"/>
  <c r="AZ553" i="3" s="1"/>
  <c r="BL550" i="3"/>
  <c r="BA550" i="3"/>
  <c r="BL549" i="3"/>
  <c r="AZ549" i="3" s="1"/>
  <c r="BL546" i="3"/>
  <c r="BA546" i="3"/>
  <c r="AZ546" i="3" s="1"/>
  <c r="BL545" i="3"/>
  <c r="AZ545" i="3" s="1"/>
  <c r="BL542" i="3"/>
  <c r="BA542" i="3"/>
  <c r="BL541" i="3"/>
  <c r="AZ541"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A363" i="3"/>
  <c r="BA359" i="3"/>
  <c r="BA355"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6" i="3"/>
  <c r="G152" i="3"/>
  <c r="G148" i="3"/>
  <c r="G144" i="3"/>
  <c r="G140" i="3"/>
  <c r="G136"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5" i="3"/>
  <c r="BA361" i="3"/>
  <c r="BA357" i="3"/>
  <c r="BA353" i="3"/>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87" i="3"/>
  <c r="AZ187" i="3" s="1"/>
  <c r="BL186" i="3"/>
  <c r="AZ186" i="3" s="1"/>
  <c r="BA185" i="3"/>
  <c r="AZ185" i="3" s="1"/>
  <c r="BL184" i="3"/>
  <c r="AZ184" i="3" s="1"/>
  <c r="BA183" i="3"/>
  <c r="AZ183" i="3" s="1"/>
  <c r="BL182" i="3"/>
  <c r="AZ182" i="3" s="1"/>
  <c r="BA181" i="3"/>
  <c r="AZ181" i="3" s="1"/>
  <c r="BL180" i="3"/>
  <c r="AZ180" i="3" s="1"/>
  <c r="BA179" i="3"/>
  <c r="AZ179" i="3" s="1"/>
  <c r="BL178" i="3"/>
  <c r="AZ178" i="3" s="1"/>
  <c r="BA177" i="3"/>
  <c r="AZ177" i="3" s="1"/>
  <c r="BL176" i="3"/>
  <c r="AZ176" i="3" s="1"/>
  <c r="BA175" i="3"/>
  <c r="AZ175" i="3" s="1"/>
  <c r="BL174" i="3"/>
  <c r="AZ174" i="3" s="1"/>
  <c r="BA173" i="3"/>
  <c r="AZ173" i="3" s="1"/>
  <c r="BL172" i="3"/>
  <c r="AZ172"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A143" i="3"/>
  <c r="AZ143" i="3" s="1"/>
  <c r="BL142" i="3"/>
  <c r="AZ142" i="3" s="1"/>
  <c r="BA141" i="3"/>
  <c r="AZ141" i="3" s="1"/>
  <c r="BL140" i="3"/>
  <c r="AZ140" i="3" s="1"/>
  <c r="BA139" i="3"/>
  <c r="AZ139" i="3" s="1"/>
  <c r="BL138" i="3"/>
  <c r="AZ138" i="3" s="1"/>
  <c r="BA137" i="3"/>
  <c r="AZ137" i="3" s="1"/>
  <c r="BL136" i="3"/>
  <c r="AZ136" i="3" s="1"/>
  <c r="BA134" i="3"/>
  <c r="BA130" i="3"/>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132" i="3"/>
  <c r="BA128"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73" i="3"/>
  <c r="BA69" i="3"/>
  <c r="BA65" i="3"/>
  <c r="BA61" i="3"/>
  <c r="BA57" i="3"/>
  <c r="BA53" i="3"/>
  <c r="BA49" i="3"/>
  <c r="BA44" i="3"/>
  <c r="BA40" i="3"/>
  <c r="BL36" i="3"/>
  <c r="BA36" i="3"/>
  <c r="AZ36" i="3" s="1"/>
  <c r="BL35" i="3"/>
  <c r="AZ35" i="3" s="1"/>
  <c r="BL32" i="3"/>
  <c r="BA32" i="3"/>
  <c r="BL31" i="3"/>
  <c r="AZ31" i="3" s="1"/>
  <c r="BL28" i="3"/>
  <c r="BA28" i="3"/>
  <c r="AZ28" i="3" s="1"/>
  <c r="BL27" i="3"/>
  <c r="AZ27" i="3" s="1"/>
  <c r="BL24" i="3"/>
  <c r="BA24" i="3"/>
  <c r="BL23" i="3"/>
  <c r="AZ23" i="3" s="1"/>
  <c r="E8" i="43"/>
  <c r="G39" i="43" s="1"/>
  <c r="E11" i="43"/>
  <c r="E9" i="43"/>
  <c r="BA80" i="3"/>
  <c r="AZ80" i="3" s="1"/>
  <c r="BL79" i="3"/>
  <c r="AZ79" i="3" s="1"/>
  <c r="BA78" i="3"/>
  <c r="AZ78" i="3" s="1"/>
  <c r="BL77" i="3"/>
  <c r="AZ77" i="3" s="1"/>
  <c r="BA76" i="3"/>
  <c r="AZ76" i="3" s="1"/>
  <c r="BL75" i="3"/>
  <c r="AZ75" i="3" s="1"/>
  <c r="BA75" i="3"/>
  <c r="BA71" i="3"/>
  <c r="BA67" i="3"/>
  <c r="BA63" i="3"/>
  <c r="BA59" i="3"/>
  <c r="BA55" i="3"/>
  <c r="BA51" i="3"/>
  <c r="BA46" i="3"/>
  <c r="BA42" i="3"/>
  <c r="BL38" i="3"/>
  <c r="BA38" i="3"/>
  <c r="BL37" i="3"/>
  <c r="AZ37" i="3" s="1"/>
  <c r="BL34" i="3"/>
  <c r="BA34" i="3"/>
  <c r="AZ34" i="3" s="1"/>
  <c r="BL33" i="3"/>
  <c r="AZ33" i="3" s="1"/>
  <c r="BL30" i="3"/>
  <c r="BA30" i="3"/>
  <c r="BL29" i="3"/>
  <c r="AZ29" i="3" s="1"/>
  <c r="BL26" i="3"/>
  <c r="BA26" i="3"/>
  <c r="AZ26" i="3" s="1"/>
  <c r="BL25" i="3"/>
  <c r="AZ25" i="3" s="1"/>
  <c r="BL22" i="3"/>
  <c r="BA22" i="3"/>
  <c r="BL21" i="3"/>
  <c r="AZ21" i="3" s="1"/>
  <c r="BA20" i="3"/>
  <c r="AZ20" i="3" s="1"/>
  <c r="BL19" i="3"/>
  <c r="AZ19" i="3" s="1"/>
  <c r="BA18" i="3"/>
  <c r="AZ18" i="3" s="1"/>
  <c r="BL17" i="3"/>
  <c r="AZ17" i="3" s="1"/>
  <c r="B21" i="71"/>
  <c r="B22" i="71" s="1"/>
  <c r="S22" i="71" s="1"/>
  <c r="F17" i="71"/>
  <c r="F18" i="71" s="1"/>
  <c r="V18" i="71" s="1"/>
  <c r="B13" i="71"/>
  <c r="B14" i="71" s="1"/>
  <c r="S14" i="71" s="1"/>
  <c r="BA74" i="3"/>
  <c r="AZ74" i="3" s="1"/>
  <c r="BL73" i="3"/>
  <c r="AZ73" i="3" s="1"/>
  <c r="BA72" i="3"/>
  <c r="AZ72" i="3" s="1"/>
  <c r="BL71" i="3"/>
  <c r="AZ71" i="3" s="1"/>
  <c r="BA70" i="3"/>
  <c r="AZ70" i="3" s="1"/>
  <c r="BL69" i="3"/>
  <c r="AZ69" i="3" s="1"/>
  <c r="BA68" i="3"/>
  <c r="AZ68" i="3" s="1"/>
  <c r="BL67" i="3"/>
  <c r="AZ67" i="3" s="1"/>
  <c r="BA66" i="3"/>
  <c r="AZ66" i="3" s="1"/>
  <c r="BL65" i="3"/>
  <c r="AZ65" i="3" s="1"/>
  <c r="BA64" i="3"/>
  <c r="AZ64" i="3" s="1"/>
  <c r="BL63" i="3"/>
  <c r="AZ63" i="3" s="1"/>
  <c r="BA62" i="3"/>
  <c r="AZ62" i="3" s="1"/>
  <c r="BL61" i="3"/>
  <c r="AZ61" i="3" s="1"/>
  <c r="BA60" i="3"/>
  <c r="AZ60" i="3" s="1"/>
  <c r="BL59" i="3"/>
  <c r="AZ59" i="3" s="1"/>
  <c r="BA58" i="3"/>
  <c r="AZ58" i="3" s="1"/>
  <c r="BL57" i="3"/>
  <c r="AZ57" i="3" s="1"/>
  <c r="BA56" i="3"/>
  <c r="AZ56" i="3" s="1"/>
  <c r="BL55" i="3"/>
  <c r="AZ55" i="3" s="1"/>
  <c r="BA54" i="3"/>
  <c r="AZ54" i="3" s="1"/>
  <c r="BL53" i="3"/>
  <c r="AZ53" i="3" s="1"/>
  <c r="BA52" i="3"/>
  <c r="AZ52" i="3" s="1"/>
  <c r="BL51" i="3"/>
  <c r="AZ51" i="3" s="1"/>
  <c r="BA50" i="3"/>
  <c r="AZ50" i="3" s="1"/>
  <c r="BL49" i="3"/>
  <c r="AZ49" i="3" s="1"/>
  <c r="BA48" i="3"/>
  <c r="AZ48" i="3" s="1"/>
  <c r="BL47" i="3"/>
  <c r="BL44" i="3"/>
  <c r="AZ44" i="3" s="1"/>
  <c r="BA43" i="3"/>
  <c r="AZ43" i="3" s="1"/>
  <c r="BL42" i="3"/>
  <c r="AZ42" i="3" s="1"/>
  <c r="BA41" i="3"/>
  <c r="AZ41" i="3" s="1"/>
  <c r="BL40" i="3"/>
  <c r="AZ40" i="3" s="1"/>
  <c r="BA39" i="3"/>
  <c r="AZ39" i="3" s="1"/>
  <c r="BL16" i="3"/>
  <c r="AZ16" i="3" s="1"/>
  <c r="BA13" i="3"/>
  <c r="AZ13" i="3" s="1"/>
  <c r="C108" i="43"/>
  <c r="B17" i="71"/>
  <c r="B18" i="71" s="1"/>
  <c r="S18" i="71" s="1"/>
  <c r="B9" i="71"/>
  <c r="B8" i="71" s="1"/>
  <c r="F5" i="71"/>
  <c r="E5" i="71"/>
  <c r="C12" i="43"/>
  <c r="H106" i="9"/>
  <c r="J51" i="79"/>
  <c r="P61" i="78"/>
  <c r="P61" i="79"/>
  <c r="P61" i="15"/>
  <c r="W25" i="40"/>
  <c r="S25" i="40"/>
  <c r="S21" i="40"/>
  <c r="AC9" i="40"/>
  <c r="U9" i="40"/>
  <c r="AA9" i="40"/>
  <c r="F67" i="80"/>
  <c r="G65" i="80"/>
  <c r="I14" i="74"/>
  <c r="B8" i="74" s="1"/>
  <c r="D127" i="9"/>
  <c r="D13" i="52" s="1"/>
  <c r="D12" i="52"/>
  <c r="F52" i="37"/>
  <c r="G52" i="37" s="1"/>
  <c r="H52" i="37" s="1"/>
  <c r="I52" i="37" s="1"/>
  <c r="J52" i="37" s="1"/>
  <c r="K52" i="37" s="1"/>
  <c r="L52" i="37" s="1"/>
  <c r="M52" i="37" s="1"/>
  <c r="N52" i="37" s="1"/>
  <c r="O52" i="37" s="1"/>
  <c r="F59" i="34"/>
  <c r="G59" i="34" s="1"/>
  <c r="H59" i="34" s="1"/>
  <c r="I59" i="34" s="1"/>
  <c r="J59" i="34" s="1"/>
  <c r="K59" i="34" s="1"/>
  <c r="L59" i="34" s="1"/>
  <c r="M59" i="34" s="1"/>
  <c r="N59" i="34" s="1"/>
  <c r="O59" i="34" s="1"/>
  <c r="F7" i="34"/>
  <c r="E46" i="36"/>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D68" i="39"/>
  <c r="C70" i="39"/>
  <c r="G48" i="35"/>
  <c r="H48" i="35" s="1"/>
  <c r="I48" i="35" s="1"/>
  <c r="J48" i="35" s="1"/>
  <c r="K48" i="35" s="1"/>
  <c r="L48" i="35" s="1"/>
  <c r="M48" i="35" s="1"/>
  <c r="N48" i="35" s="1"/>
  <c r="O48" i="35" s="1"/>
  <c r="H7" i="35"/>
  <c r="J7" i="35"/>
  <c r="H7" i="21"/>
  <c r="D58" i="21"/>
  <c r="E58" i="21" s="1"/>
  <c r="F58" i="21" s="1"/>
  <c r="G58" i="21" s="1"/>
  <c r="H58" i="21" s="1"/>
  <c r="I58" i="21" s="1"/>
  <c r="J58" i="21" s="1"/>
  <c r="K58" i="21" s="1"/>
  <c r="L58" i="21" s="1"/>
  <c r="M58" i="21" s="1"/>
  <c r="N58" i="21" s="1"/>
  <c r="O58" i="21" s="1"/>
  <c r="U31" i="21"/>
  <c r="AB31" i="21"/>
  <c r="W45" i="21"/>
  <c r="AC45" i="21"/>
  <c r="AA9" i="34"/>
  <c r="S9" i="34"/>
  <c r="F28" i="79"/>
  <c r="C28" i="79" s="1"/>
  <c r="F32" i="79"/>
  <c r="F60" i="79" s="1"/>
  <c r="M18" i="79"/>
  <c r="F28" i="78"/>
  <c r="C28" i="78" s="1"/>
  <c r="F32" i="78"/>
  <c r="F60" i="78" s="1"/>
  <c r="M18" i="78"/>
  <c r="AA13" i="35"/>
  <c r="J34" i="35"/>
  <c r="H34" i="35"/>
  <c r="F34" i="35"/>
  <c r="P47" i="71"/>
  <c r="P48" i="71"/>
  <c r="D37" i="71"/>
  <c r="C38" i="71"/>
  <c r="C45" i="71"/>
  <c r="D44" i="71"/>
  <c r="AC23" i="21"/>
  <c r="H7" i="34"/>
  <c r="H7" i="36"/>
  <c r="AB15" i="21"/>
  <c r="S37" i="21"/>
  <c r="AC37" i="21"/>
  <c r="S17" i="37"/>
  <c r="S26" i="35"/>
  <c r="W17" i="21"/>
  <c r="AA11" i="34"/>
  <c r="T10" i="1"/>
  <c r="T12" i="1"/>
  <c r="S43" i="34"/>
  <c r="S32" i="37"/>
  <c r="S27" i="36"/>
  <c r="S30" i="40"/>
  <c r="F53" i="9"/>
  <c r="AA34" i="33"/>
  <c r="AA39" i="34"/>
  <c r="H48" i="43"/>
  <c r="H50" i="43"/>
  <c r="AC11" i="39"/>
  <c r="G30" i="6"/>
  <c r="J9" i="34"/>
  <c r="H9" i="34"/>
  <c r="H36" i="35"/>
  <c r="J36" i="35"/>
  <c r="D33" i="71"/>
  <c r="C34" i="71"/>
  <c r="D41" i="71"/>
  <c r="C42" i="71"/>
  <c r="Q48" i="71"/>
  <c r="Q47" i="71"/>
  <c r="H38" i="40"/>
  <c r="J38" i="40"/>
  <c r="H39" i="40"/>
  <c r="F34" i="79"/>
  <c r="F62" i="79" s="1"/>
  <c r="M20" i="79"/>
  <c r="F34" i="78"/>
  <c r="F62" i="78" s="1"/>
  <c r="M20" i="78"/>
  <c r="G1" i="79"/>
  <c r="G1" i="78"/>
  <c r="K100" i="43"/>
  <c r="G100" i="43"/>
  <c r="L100" i="43"/>
  <c r="S18" i="36"/>
  <c r="O47" i="71"/>
  <c r="AA9" i="71"/>
  <c r="AA7" i="71"/>
  <c r="AB10" i="71"/>
  <c r="AB8" i="71"/>
  <c r="AB3" i="71"/>
  <c r="C65" i="71"/>
  <c r="C61" i="71"/>
  <c r="C53" i="71"/>
  <c r="Q49" i="71"/>
  <c r="X10" i="71"/>
  <c r="X9" i="71"/>
  <c r="X7" i="71"/>
  <c r="Y10" i="71"/>
  <c r="Z10" i="71" s="1"/>
  <c r="Y9" i="71"/>
  <c r="Z9" i="71" s="1"/>
  <c r="Y8" i="71"/>
  <c r="Z8" i="71" s="1"/>
  <c r="Y7" i="71"/>
  <c r="Z7" i="71" s="1"/>
  <c r="Y3" i="71"/>
  <c r="Z3" i="71" s="1"/>
  <c r="AA14" i="71"/>
  <c r="AA13" i="71"/>
  <c r="AA12" i="71"/>
  <c r="AB11" i="71"/>
  <c r="Y11" i="71"/>
  <c r="Z11" i="71" s="1"/>
  <c r="X11" i="71"/>
  <c r="Y12" i="71"/>
  <c r="Z12" i="71" s="1"/>
  <c r="Y14" i="71"/>
  <c r="Z14" i="71" s="1"/>
  <c r="B49" i="71"/>
  <c r="P74" i="67"/>
  <c r="BL521" i="3"/>
  <c r="AZ521" i="3" s="1"/>
  <c r="BA520" i="3"/>
  <c r="AZ520" i="3" s="1"/>
  <c r="BL517" i="3"/>
  <c r="AZ517" i="3" s="1"/>
  <c r="BA516" i="3"/>
  <c r="AZ516" i="3" s="1"/>
  <c r="BL513" i="3"/>
  <c r="AZ513" i="3" s="1"/>
  <c r="BA512" i="3"/>
  <c r="AZ512" i="3" s="1"/>
  <c r="G16" i="3"/>
  <c r="BL523" i="3"/>
  <c r="AZ523" i="3" s="1"/>
  <c r="BA522" i="3"/>
  <c r="AZ522" i="3" s="1"/>
  <c r="BL519" i="3"/>
  <c r="AZ519" i="3" s="1"/>
  <c r="BA518" i="3"/>
  <c r="AZ518" i="3" s="1"/>
  <c r="BL515" i="3"/>
  <c r="AZ515" i="3" s="1"/>
  <c r="BA514" i="3"/>
  <c r="AZ514"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L204" i="3"/>
  <c r="AZ204" i="3" s="1"/>
  <c r="BA203" i="3"/>
  <c r="AZ203" i="3" s="1"/>
  <c r="BL200" i="3"/>
  <c r="AZ200" i="3" s="1"/>
  <c r="BA199" i="3"/>
  <c r="AZ199" i="3" s="1"/>
  <c r="BL202" i="3"/>
  <c r="AZ202" i="3" s="1"/>
  <c r="BA201" i="3"/>
  <c r="AZ201" i="3" s="1"/>
  <c r="BL198" i="3"/>
  <c r="AZ198"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L99" i="3"/>
  <c r="AZ99" i="3" s="1"/>
  <c r="BA98" i="3"/>
  <c r="AZ98" i="3" s="1"/>
  <c r="BL95" i="3"/>
  <c r="AZ95" i="3" s="1"/>
  <c r="BA94" i="3"/>
  <c r="AZ94" i="3" s="1"/>
  <c r="BL91" i="3"/>
  <c r="AZ91" i="3" s="1"/>
  <c r="BA90" i="3"/>
  <c r="AZ90" i="3" s="1"/>
  <c r="BL87" i="3"/>
  <c r="AZ87" i="3" s="1"/>
  <c r="BA86" i="3"/>
  <c r="AZ86" i="3" s="1"/>
  <c r="BL83" i="3"/>
  <c r="AZ83" i="3" s="1"/>
  <c r="BA82" i="3"/>
  <c r="AZ82" i="3" s="1"/>
  <c r="BL46" i="3"/>
  <c r="BA45" i="3"/>
  <c r="AZ45" i="3" s="1"/>
  <c r="D20" i="71"/>
  <c r="C21" i="71"/>
  <c r="D12" i="71"/>
  <c r="C13" i="71"/>
  <c r="BA47" i="3"/>
  <c r="AZ47" i="3" s="1"/>
  <c r="D16" i="71"/>
  <c r="C17" i="71"/>
  <c r="C9" i="71"/>
  <c r="D10" i="71"/>
  <c r="U10" i="71" s="1"/>
  <c r="E81" i="43"/>
  <c r="B79" i="43" s="1"/>
  <c r="C24" i="43" s="1"/>
  <c r="BA14" i="3"/>
  <c r="I17" i="43"/>
  <c r="G17" i="43"/>
  <c r="I4" i="6"/>
  <c r="G3" i="43" s="1"/>
  <c r="E22" i="43" s="1"/>
  <c r="E10" i="43"/>
  <c r="C6" i="43"/>
  <c r="M25" i="77"/>
  <c r="J17" i="43"/>
  <c r="D23" i="78"/>
  <c r="D9" i="69"/>
  <c r="C9" i="69" s="1"/>
  <c r="B22" i="49"/>
  <c r="E9" i="49"/>
  <c r="B5" i="49"/>
  <c r="B8" i="49"/>
  <c r="B11" i="49"/>
  <c r="B14" i="49"/>
  <c r="H110" i="9"/>
  <c r="D18" i="53" s="1"/>
  <c r="B35" i="72" s="1"/>
  <c r="D16" i="53"/>
  <c r="D124" i="9"/>
  <c r="O11" i="1"/>
  <c r="P11" i="1" s="1"/>
  <c r="D38" i="43"/>
  <c r="H38" i="43" s="1"/>
  <c r="G27" i="6"/>
  <c r="E20" i="6"/>
  <c r="O9" i="1"/>
  <c r="P9" i="1" s="1"/>
  <c r="AZ14" i="3"/>
  <c r="D29" i="43"/>
  <c r="E19" i="6"/>
  <c r="E21" i="6"/>
  <c r="D39" i="43"/>
  <c r="H39" i="43" s="1"/>
  <c r="I39" i="43" s="1"/>
  <c r="A15" i="62"/>
  <c r="B61" i="72" s="1"/>
  <c r="E11" i="49"/>
  <c r="B6" i="49"/>
  <c r="E21" i="49"/>
  <c r="B13" i="49"/>
  <c r="E22" i="49"/>
  <c r="B7" i="49"/>
  <c r="E4" i="49"/>
  <c r="B4" i="49"/>
  <c r="E5" i="49"/>
  <c r="E10" i="49"/>
  <c r="E8" i="49"/>
  <c r="E16" i="49"/>
  <c r="B9" i="49"/>
  <c r="C4" i="4" s="1"/>
  <c r="B4" i="62" s="1"/>
  <c r="E6" i="49"/>
  <c r="E7" i="49"/>
  <c r="B16" i="49"/>
  <c r="B10" i="49"/>
  <c r="B20" i="31"/>
  <c r="F69" i="67"/>
  <c r="J20" i="67"/>
  <c r="Q71" i="15"/>
  <c r="C27" i="67"/>
  <c r="B12" i="70"/>
  <c r="B13" i="70"/>
  <c r="B9" i="70"/>
  <c r="F70" i="67"/>
  <c r="F68" i="67"/>
  <c r="F66" i="67"/>
  <c r="L58" i="15"/>
  <c r="N59" i="15"/>
  <c r="J57" i="67"/>
  <c r="J55" i="67" s="1"/>
  <c r="J58" i="67" s="1"/>
  <c r="Q50" i="67" s="1"/>
  <c r="I54" i="67"/>
  <c r="L56" i="67"/>
  <c r="Q71" i="67"/>
  <c r="B10" i="70"/>
  <c r="B11" i="70"/>
  <c r="F68" i="15"/>
  <c r="F51" i="15"/>
  <c r="L56" i="15"/>
  <c r="J57" i="15"/>
  <c r="J55" i="15" s="1"/>
  <c r="J58" i="15" s="1"/>
  <c r="Q50" i="15" s="1"/>
  <c r="I54" i="15"/>
  <c r="L60" i="15"/>
  <c r="L57" i="15"/>
  <c r="I1" i="73"/>
  <c r="B39" i="1" s="1"/>
  <c r="E20" i="43"/>
  <c r="M6" i="15"/>
  <c r="F36" i="67"/>
  <c r="F7" i="67"/>
  <c r="F37" i="67"/>
  <c r="M9" i="67"/>
  <c r="M24" i="67"/>
  <c r="M6" i="67"/>
  <c r="F16" i="15"/>
  <c r="M22" i="15"/>
  <c r="M22" i="67"/>
  <c r="L47" i="67"/>
  <c r="F43" i="67"/>
  <c r="M23" i="15"/>
  <c r="F9" i="15"/>
  <c r="F8" i="67"/>
  <c r="M29" i="67"/>
  <c r="F13" i="67"/>
  <c r="M26" i="67"/>
  <c r="M24" i="15"/>
  <c r="F26" i="15"/>
  <c r="F13" i="15"/>
  <c r="M28" i="67"/>
  <c r="F16" i="67"/>
  <c r="F38" i="15"/>
  <c r="F35" i="67"/>
  <c r="F37" i="15"/>
  <c r="J15" i="15"/>
  <c r="G1" i="73"/>
  <c r="F36" i="15"/>
  <c r="U36" i="40" l="1"/>
  <c r="E4" i="4"/>
  <c r="B5" i="62" s="1"/>
  <c r="B73" i="72" s="1"/>
  <c r="AA36" i="40"/>
  <c r="S36" i="40"/>
  <c r="W36" i="40"/>
  <c r="AC36" i="40"/>
  <c r="E28" i="6"/>
  <c r="K14" i="1" s="1"/>
  <c r="M14" i="1" s="1"/>
  <c r="O14" i="1" s="1"/>
  <c r="P14" i="1" s="1"/>
  <c r="E13" i="6"/>
  <c r="E15" i="6"/>
  <c r="E60" i="40" s="1"/>
  <c r="G5" i="3"/>
  <c r="B3" i="3" s="1"/>
  <c r="AT6" i="3" s="1"/>
  <c r="G31" i="6"/>
  <c r="E12" i="6"/>
  <c r="E14" i="6"/>
  <c r="E64" i="39" s="1"/>
  <c r="G22" i="43"/>
  <c r="N101" i="43"/>
  <c r="N103" i="43" s="1"/>
  <c r="M101" i="43"/>
  <c r="M109" i="43" s="1"/>
  <c r="F22" i="43"/>
  <c r="E65" i="39"/>
  <c r="E10" i="6"/>
  <c r="L101" i="43"/>
  <c r="L109" i="43" s="1"/>
  <c r="E101" i="43"/>
  <c r="E103" i="43" s="1"/>
  <c r="J101" i="43"/>
  <c r="J104" i="43" s="1"/>
  <c r="K101" i="43"/>
  <c r="K107" i="43" s="1"/>
  <c r="C101" i="43"/>
  <c r="C105" i="43" s="1"/>
  <c r="BA15" i="3"/>
  <c r="E11" i="6"/>
  <c r="F27" i="6"/>
  <c r="F31" i="6" s="1"/>
  <c r="E51" i="40"/>
  <c r="E56" i="39"/>
  <c r="F7" i="37"/>
  <c r="J7" i="37"/>
  <c r="W7" i="37" s="1"/>
  <c r="J7" i="36"/>
  <c r="F7" i="36"/>
  <c r="AA7" i="36" s="1"/>
  <c r="R36" i="36" s="1"/>
  <c r="J7" i="34"/>
  <c r="H7" i="37"/>
  <c r="AB7" i="37" s="1"/>
  <c r="T42" i="37" s="1"/>
  <c r="G42" i="37" s="1"/>
  <c r="AQ12" i="1"/>
  <c r="AR10" i="1"/>
  <c r="AQ13" i="1"/>
  <c r="AQ9" i="1"/>
  <c r="AR11" i="1"/>
  <c r="AQ11" i="1"/>
  <c r="AR12" i="1"/>
  <c r="AQ10" i="1"/>
  <c r="AR9" i="1"/>
  <c r="AR13" i="1"/>
  <c r="H101" i="43"/>
  <c r="H104" i="43" s="1"/>
  <c r="H22" i="43"/>
  <c r="B113" i="43"/>
  <c r="B116" i="43" s="1"/>
  <c r="C116" i="43" s="1"/>
  <c r="I101" i="43"/>
  <c r="I102" i="43" s="1"/>
  <c r="N104" i="46"/>
  <c r="G101" i="43"/>
  <c r="G105" i="43" s="1"/>
  <c r="F101" i="43"/>
  <c r="F104" i="43" s="1"/>
  <c r="D101" i="43"/>
  <c r="D103" i="43" s="1"/>
  <c r="F7" i="21"/>
  <c r="S7" i="21" s="1"/>
  <c r="AZ22" i="3"/>
  <c r="AZ30" i="3"/>
  <c r="AZ38" i="3"/>
  <c r="AZ542" i="3"/>
  <c r="AZ550" i="3"/>
  <c r="AZ558" i="3"/>
  <c r="AZ566" i="3"/>
  <c r="AZ574" i="3"/>
  <c r="AZ582" i="3"/>
  <c r="S12" i="35"/>
  <c r="AA12" i="35"/>
  <c r="AZ544" i="3"/>
  <c r="AZ552" i="3"/>
  <c r="AZ560" i="3"/>
  <c r="AZ568" i="3"/>
  <c r="AZ576" i="3"/>
  <c r="AZ584" i="3"/>
  <c r="E58" i="40"/>
  <c r="E63" i="39"/>
  <c r="K15" i="1"/>
  <c r="E30" i="6"/>
  <c r="F63" i="40"/>
  <c r="E65" i="40"/>
  <c r="AZ24" i="3"/>
  <c r="AZ32" i="3"/>
  <c r="W12" i="34"/>
  <c r="AC12" i="34"/>
  <c r="D25" i="71"/>
  <c r="C26" i="71"/>
  <c r="AB26" i="35"/>
  <c r="U26" i="35"/>
  <c r="B38" i="72"/>
  <c r="D20" i="53"/>
  <c r="B40" i="72" s="1"/>
  <c r="C16" i="43"/>
  <c r="C5" i="43" s="1"/>
  <c r="H65" i="80"/>
  <c r="G67" i="80"/>
  <c r="B40" i="1"/>
  <c r="F24" i="79" s="1"/>
  <c r="C24" i="79" s="1"/>
  <c r="F65" i="15"/>
  <c r="F65" i="67"/>
  <c r="C27" i="15"/>
  <c r="F51" i="67"/>
  <c r="C6" i="67"/>
  <c r="F64" i="15"/>
  <c r="F71" i="67"/>
  <c r="L59" i="67"/>
  <c r="Q74" i="67" s="1"/>
  <c r="N59" i="67"/>
  <c r="L58" i="67"/>
  <c r="Q60" i="67" s="1"/>
  <c r="F50" i="67"/>
  <c r="M7" i="67"/>
  <c r="J6" i="67" s="1"/>
  <c r="C34" i="67"/>
  <c r="F63" i="67"/>
  <c r="C62" i="67" s="1"/>
  <c r="F64" i="67"/>
  <c r="F66" i="15"/>
  <c r="D17" i="71"/>
  <c r="C18" i="71"/>
  <c r="AZ46" i="3"/>
  <c r="BL5" i="3"/>
  <c r="N49" i="71"/>
  <c r="B48" i="71"/>
  <c r="D53" i="71"/>
  <c r="C52" i="71"/>
  <c r="D52" i="71" s="1"/>
  <c r="D65" i="71"/>
  <c r="C64" i="71"/>
  <c r="D64" i="71" s="1"/>
  <c r="U39" i="40"/>
  <c r="AB39" i="40"/>
  <c r="AB38" i="40"/>
  <c r="U38" i="40"/>
  <c r="U36" i="35"/>
  <c r="AB36" i="35"/>
  <c r="AC9" i="34"/>
  <c r="W9" i="34"/>
  <c r="AB7" i="36"/>
  <c r="T36" i="36" s="1"/>
  <c r="G36" i="36" s="1"/>
  <c r="U7" i="36"/>
  <c r="U7" i="34"/>
  <c r="AB7" i="34"/>
  <c r="T49" i="34" s="1"/>
  <c r="G49" i="34" s="1"/>
  <c r="T38" i="71"/>
  <c r="D38" i="71"/>
  <c r="AA34" i="35"/>
  <c r="S34" i="35"/>
  <c r="W34" i="35"/>
  <c r="AC34" i="35"/>
  <c r="E57" i="40"/>
  <c r="E62" i="39"/>
  <c r="AB7" i="21"/>
  <c r="T48" i="21" s="1"/>
  <c r="G48" i="21" s="1"/>
  <c r="U7" i="21"/>
  <c r="AA7" i="21"/>
  <c r="R48" i="21" s="1"/>
  <c r="U7" i="35"/>
  <c r="AB7" i="35"/>
  <c r="T38" i="35" s="1"/>
  <c r="G38" i="35" s="1"/>
  <c r="F7" i="33"/>
  <c r="AC7" i="36"/>
  <c r="V36" i="36" s="1"/>
  <c r="I36" i="36" s="1"/>
  <c r="W7" i="36"/>
  <c r="S7" i="36"/>
  <c r="W7" i="34"/>
  <c r="AC7" i="34"/>
  <c r="V49" i="34" s="1"/>
  <c r="I49" i="34" s="1"/>
  <c r="U7" i="37"/>
  <c r="F7" i="35"/>
  <c r="AH11" i="43"/>
  <c r="AH13" i="43" s="1"/>
  <c r="AD11" i="43"/>
  <c r="AD13" i="43" s="1"/>
  <c r="Z11" i="43"/>
  <c r="Z13" i="43" s="1"/>
  <c r="AG11" i="43"/>
  <c r="AG13" i="43" s="1"/>
  <c r="AC11" i="43"/>
  <c r="AC13" i="43" s="1"/>
  <c r="Y11" i="43"/>
  <c r="Y13" i="43" s="1"/>
  <c r="J22" i="43"/>
  <c r="AI11" i="43"/>
  <c r="AI13" i="43" s="1"/>
  <c r="AJ11" i="43"/>
  <c r="AJ13" i="43" s="1"/>
  <c r="AF11" i="43"/>
  <c r="AF13" i="43" s="1"/>
  <c r="AB11" i="43"/>
  <c r="AB13" i="43" s="1"/>
  <c r="Z7" i="43"/>
  <c r="AE11" i="43"/>
  <c r="AE13" i="43" s="1"/>
  <c r="AA11" i="43"/>
  <c r="AA13" i="43" s="1"/>
  <c r="C8" i="71"/>
  <c r="D9" i="71"/>
  <c r="D13" i="71"/>
  <c r="C14" i="71"/>
  <c r="D21" i="71"/>
  <c r="C22" i="71"/>
  <c r="C60" i="71"/>
  <c r="D60" i="71" s="1"/>
  <c r="D61" i="71"/>
  <c r="AC38" i="40"/>
  <c r="W38" i="40"/>
  <c r="T42" i="71"/>
  <c r="D42" i="71"/>
  <c r="T34" i="71"/>
  <c r="D34" i="71"/>
  <c r="AC36" i="35"/>
  <c r="W36" i="35"/>
  <c r="AB9" i="34"/>
  <c r="U9" i="34"/>
  <c r="AA7" i="37"/>
  <c r="R42" i="37" s="1"/>
  <c r="S7" i="37"/>
  <c r="AC7" i="37"/>
  <c r="V42" i="37" s="1"/>
  <c r="I42" i="37" s="1"/>
  <c r="C46" i="71"/>
  <c r="D45" i="71"/>
  <c r="AB34" i="35"/>
  <c r="U34" i="35"/>
  <c r="J7" i="21"/>
  <c r="W7" i="35"/>
  <c r="AC7" i="35"/>
  <c r="V38" i="35" s="1"/>
  <c r="I38" i="35" s="1"/>
  <c r="E68" i="39"/>
  <c r="D70" i="39"/>
  <c r="H7" i="33"/>
  <c r="J7" i="33"/>
  <c r="S7" i="34"/>
  <c r="AA7" i="34"/>
  <c r="R49" i="34"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237" i="3"/>
  <c r="E261" i="3"/>
  <c r="E304" i="3"/>
  <c r="E528" i="3"/>
  <c r="E565" i="3"/>
  <c r="E183" i="3"/>
  <c r="E213" i="3"/>
  <c r="E361" i="3"/>
  <c r="E17" i="3"/>
  <c r="E503" i="3"/>
  <c r="E302"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583" i="3"/>
  <c r="X6" i="3"/>
  <c r="E336" i="3"/>
  <c r="E246" i="3"/>
  <c r="E293" i="3"/>
  <c r="E314" i="3"/>
  <c r="E511" i="3"/>
  <c r="E16" i="3"/>
  <c r="AK6" i="3"/>
  <c r="E434" i="3"/>
  <c r="E306" i="3"/>
  <c r="E296" i="3"/>
  <c r="E262" i="3"/>
  <c r="E169" i="3"/>
  <c r="E185" i="3"/>
  <c r="E61" i="3"/>
  <c r="E135" i="3"/>
  <c r="E290" i="3"/>
  <c r="E161" i="3"/>
  <c r="E117" i="3"/>
  <c r="E120" i="3"/>
  <c r="E45" i="3"/>
  <c r="E277" i="3"/>
  <c r="E224" i="3"/>
  <c r="E177" i="3"/>
  <c r="E193" i="3"/>
  <c r="E133"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347" i="3"/>
  <c r="AA6" i="3"/>
  <c r="E399" i="3"/>
  <c r="E280" i="3"/>
  <c r="E124" i="3"/>
  <c r="E397" i="3"/>
  <c r="E568" i="3"/>
  <c r="I6" i="3"/>
  <c r="E536" i="3"/>
  <c r="E549" i="3"/>
  <c r="E453" i="3"/>
  <c r="E368" i="3"/>
  <c r="E244" i="3"/>
  <c r="E196" i="3"/>
  <c r="E130" i="3"/>
  <c r="E134" i="3"/>
  <c r="E254" i="3"/>
  <c r="E91" i="3"/>
  <c r="E221" i="3"/>
  <c r="E180" i="3"/>
  <c r="E140" i="3"/>
  <c r="E85" i="3"/>
  <c r="E223" i="3"/>
  <c r="E238" i="3"/>
  <c r="E197" i="3"/>
  <c r="E116" i="3"/>
  <c r="E173" i="3"/>
  <c r="E105" i="3"/>
  <c r="E369" i="3"/>
  <c r="E393" i="3"/>
  <c r="E525" i="3"/>
  <c r="E493" i="3"/>
  <c r="E534" i="3"/>
  <c r="E564" i="3"/>
  <c r="T6" i="3"/>
  <c r="E543" i="3"/>
  <c r="E405"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70" i="3"/>
  <c r="E137"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9" i="3"/>
  <c r="E190"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8" i="1"/>
  <c r="Q20" i="1" s="1"/>
  <c r="E7" i="12"/>
  <c r="C7" i="12"/>
  <c r="K6" i="1"/>
  <c r="K20" i="1" s="1"/>
  <c r="D12" i="53"/>
  <c r="B28" i="72" s="1"/>
  <c r="H103" i="9"/>
  <c r="D1" i="43"/>
  <c r="D7" i="12"/>
  <c r="K7" i="1"/>
  <c r="N20" i="1" s="1"/>
  <c r="E104" i="43"/>
  <c r="E109" i="43"/>
  <c r="M102" i="43"/>
  <c r="J106" i="43"/>
  <c r="N102" i="43"/>
  <c r="N109" i="43"/>
  <c r="K103" i="43"/>
  <c r="K102" i="43"/>
  <c r="H14" i="74"/>
  <c r="B7" i="74" s="1"/>
  <c r="D125" i="9"/>
  <c r="D11" i="52" s="1"/>
  <c r="D10" i="52"/>
  <c r="B34" i="72"/>
  <c r="D17" i="53"/>
  <c r="B36" i="72" s="1"/>
  <c r="H106" i="43"/>
  <c r="H109" i="43"/>
  <c r="H103" i="43"/>
  <c r="B115" i="43"/>
  <c r="B117" i="43"/>
  <c r="C117" i="43" s="1"/>
  <c r="I115" i="43"/>
  <c r="J115" i="43" s="1"/>
  <c r="K115" i="43" s="1"/>
  <c r="L115" i="43" s="1"/>
  <c r="M115" i="43" s="1"/>
  <c r="I117" i="43"/>
  <c r="J117" i="43" s="1"/>
  <c r="K117" i="43" s="1"/>
  <c r="L117" i="43" s="1"/>
  <c r="M117" i="43" s="1"/>
  <c r="I118" i="43"/>
  <c r="J118" i="43" s="1"/>
  <c r="K118" i="43" s="1"/>
  <c r="L118" i="43" s="1"/>
  <c r="M118" i="43" s="1"/>
  <c r="D116" i="43"/>
  <c r="E116" i="43" s="1"/>
  <c r="F116" i="43" s="1"/>
  <c r="G116" i="43" s="1"/>
  <c r="H116" i="43" s="1"/>
  <c r="D118" i="43"/>
  <c r="E118" i="43" s="1"/>
  <c r="F118" i="43" s="1"/>
  <c r="I103" i="43"/>
  <c r="F102" i="43"/>
  <c r="B71" i="72"/>
  <c r="P17" i="43"/>
  <c r="G20" i="43" s="1"/>
  <c r="C20" i="43" s="1"/>
  <c r="N17" i="43"/>
  <c r="O17" i="43"/>
  <c r="M17" i="43"/>
  <c r="M11" i="79"/>
  <c r="M11" i="78"/>
  <c r="F11" i="79"/>
  <c r="F11" i="78"/>
  <c r="C53" i="78" s="1"/>
  <c r="F11" i="15"/>
  <c r="C53" i="15" s="1"/>
  <c r="M11" i="15"/>
  <c r="F11" i="67"/>
  <c r="M11" i="67"/>
  <c r="J10" i="67" s="1"/>
  <c r="Q66" i="15"/>
  <c r="Q57" i="15"/>
  <c r="Q60" i="15"/>
  <c r="Q73" i="15"/>
  <c r="F40" i="78"/>
  <c r="M22" i="78"/>
  <c r="M6" i="78"/>
  <c r="M9" i="78"/>
  <c r="F37" i="79"/>
  <c r="F13" i="79"/>
  <c r="F42" i="78"/>
  <c r="J15" i="79"/>
  <c r="M22" i="79"/>
  <c r="M28" i="78"/>
  <c r="F38" i="78"/>
  <c r="J15" i="78"/>
  <c r="M29" i="15"/>
  <c r="F43" i="15"/>
  <c r="M27" i="79"/>
  <c r="M24" i="78"/>
  <c r="M29" i="78"/>
  <c r="M29" i="79"/>
  <c r="F9" i="78"/>
  <c r="F38" i="79"/>
  <c r="F7" i="78"/>
  <c r="F43" i="79"/>
  <c r="M24" i="79"/>
  <c r="F40" i="79"/>
  <c r="M28" i="79"/>
  <c r="M26" i="79"/>
  <c r="C76" i="79"/>
  <c r="F36" i="79"/>
  <c r="M26" i="78"/>
  <c r="M9" i="79"/>
  <c r="F6" i="78"/>
  <c r="F37" i="78"/>
  <c r="M27" i="78"/>
  <c r="L47" i="78"/>
  <c r="M23" i="78"/>
  <c r="F8" i="79"/>
  <c r="F7" i="79"/>
  <c r="F16" i="78"/>
  <c r="M23" i="79"/>
  <c r="C14" i="67"/>
  <c r="F7" i="15"/>
  <c r="F6" i="79"/>
  <c r="M8" i="78"/>
  <c r="L48" i="78"/>
  <c r="F42" i="79"/>
  <c r="F9" i="79"/>
  <c r="F26" i="78"/>
  <c r="M8" i="79"/>
  <c r="C16" i="67"/>
  <c r="C76" i="78"/>
  <c r="F16" i="79"/>
  <c r="F13" i="78"/>
  <c r="F8" i="78"/>
  <c r="F26" i="79"/>
  <c r="L47" i="79"/>
  <c r="M6" i="79"/>
  <c r="F43" i="78"/>
  <c r="F36" i="78"/>
  <c r="L48" i="79"/>
  <c r="C17" i="67"/>
  <c r="K4" i="4" l="1"/>
  <c r="B46" i="48" s="1"/>
  <c r="D117" i="43"/>
  <c r="E117" i="43" s="1"/>
  <c r="F117" i="43" s="1"/>
  <c r="G117" i="43" s="1"/>
  <c r="H117" i="43" s="1"/>
  <c r="D115" i="43"/>
  <c r="E115" i="43" s="1"/>
  <c r="F115" i="43" s="1"/>
  <c r="G115" i="43" s="1"/>
  <c r="H115" i="43" s="1"/>
  <c r="G118" i="43"/>
  <c r="H118" i="43" s="1"/>
  <c r="I116" i="43"/>
  <c r="J116" i="43" s="1"/>
  <c r="K116" i="43" s="1"/>
  <c r="L116" i="43" s="1"/>
  <c r="M116" i="43" s="1"/>
  <c r="B118" i="43"/>
  <c r="C118" i="43" s="1"/>
  <c r="H105" i="43"/>
  <c r="H102" i="43"/>
  <c r="H107" i="43"/>
  <c r="C106" i="43"/>
  <c r="M104" i="43"/>
  <c r="C107" i="43"/>
  <c r="J105" i="43"/>
  <c r="M105" i="43"/>
  <c r="L105" i="43"/>
  <c r="F107" i="43"/>
  <c r="C102" i="43"/>
  <c r="C103" i="43"/>
  <c r="N104" i="43"/>
  <c r="J103" i="43"/>
  <c r="J107" i="43"/>
  <c r="L104" i="43"/>
  <c r="D109" i="43"/>
  <c r="G107" i="43"/>
  <c r="F105" i="43"/>
  <c r="D22" i="43"/>
  <c r="C21" i="43" s="1"/>
  <c r="I107" i="43"/>
  <c r="C104" i="43"/>
  <c r="C109" i="43"/>
  <c r="N106" i="43"/>
  <c r="N107" i="43"/>
  <c r="N105" i="43"/>
  <c r="J109" i="43"/>
  <c r="J102" i="43"/>
  <c r="L102" i="43"/>
  <c r="E59" i="40"/>
  <c r="Q61" i="67"/>
  <c r="D104" i="43"/>
  <c r="D105" i="43"/>
  <c r="G106" i="43"/>
  <c r="G102" i="43"/>
  <c r="I104" i="43"/>
  <c r="I109" i="43"/>
  <c r="K109" i="43"/>
  <c r="K104" i="43"/>
  <c r="M107" i="43"/>
  <c r="M106" i="43"/>
  <c r="M103" i="43"/>
  <c r="E106" i="43"/>
  <c r="E102" i="43"/>
  <c r="F106" i="43"/>
  <c r="F109" i="43"/>
  <c r="F103" i="43"/>
  <c r="L106" i="43"/>
  <c r="L103" i="43"/>
  <c r="L107" i="43"/>
  <c r="E16" i="6"/>
  <c r="E61" i="39"/>
  <c r="E66" i="39" s="1"/>
  <c r="E56" i="40"/>
  <c r="D106" i="43"/>
  <c r="D102" i="43"/>
  <c r="D107" i="43"/>
  <c r="G109" i="43"/>
  <c r="G104" i="43"/>
  <c r="G103" i="43"/>
  <c r="I106" i="43"/>
  <c r="I105" i="43"/>
  <c r="K105" i="43"/>
  <c r="K106" i="43"/>
  <c r="E107" i="43"/>
  <c r="E105" i="43"/>
  <c r="AC6" i="3"/>
  <c r="AZ15" i="3"/>
  <c r="AZ5" i="3" s="1"/>
  <c r="BA5" i="3"/>
  <c r="E27" i="6" s="1"/>
  <c r="F65" i="40"/>
  <c r="G63" i="40"/>
  <c r="T26" i="71"/>
  <c r="D26" i="71"/>
  <c r="C49" i="67"/>
  <c r="F22" i="11"/>
  <c r="F25" i="12"/>
  <c r="F22" i="68"/>
  <c r="F24" i="78"/>
  <c r="C24" i="78" s="1"/>
  <c r="F22" i="69"/>
  <c r="C44" i="69" s="1"/>
  <c r="D41" i="69" s="1"/>
  <c r="F24" i="67"/>
  <c r="C24" i="67" s="1"/>
  <c r="F24" i="15"/>
  <c r="C24" i="15" s="1"/>
  <c r="H67" i="80"/>
  <c r="I65" i="80"/>
  <c r="Q73" i="67"/>
  <c r="J5" i="67"/>
  <c r="J18" i="67" s="1"/>
  <c r="L58" i="79"/>
  <c r="N59" i="79"/>
  <c r="F51" i="79"/>
  <c r="L60" i="79"/>
  <c r="I54" i="79"/>
  <c r="J57" i="79"/>
  <c r="J55" i="79" s="1"/>
  <c r="J58" i="79" s="1"/>
  <c r="Q50" i="79" s="1"/>
  <c r="L57" i="79"/>
  <c r="L56" i="79"/>
  <c r="F64" i="79"/>
  <c r="L58" i="78"/>
  <c r="N59" i="78"/>
  <c r="Q71" i="78"/>
  <c r="F51" i="78"/>
  <c r="C27" i="78"/>
  <c r="F68" i="78"/>
  <c r="F66" i="79"/>
  <c r="F65" i="79"/>
  <c r="F68" i="79"/>
  <c r="C27" i="79"/>
  <c r="Q71" i="79"/>
  <c r="F66" i="78"/>
  <c r="J57" i="78"/>
  <c r="J55" i="78" s="1"/>
  <c r="J58" i="78" s="1"/>
  <c r="Q50" i="78" s="1"/>
  <c r="L60" i="78"/>
  <c r="I54" i="78"/>
  <c r="L56" i="78"/>
  <c r="L57" i="78"/>
  <c r="F65" i="78"/>
  <c r="F64" i="78"/>
  <c r="C15" i="67"/>
  <c r="C18" i="67"/>
  <c r="R50" i="34"/>
  <c r="E49" i="34"/>
  <c r="W7" i="33"/>
  <c r="AC7" i="33"/>
  <c r="V48" i="33" s="1"/>
  <c r="I48" i="33" s="1"/>
  <c r="I42" i="35"/>
  <c r="J42" i="35" s="1"/>
  <c r="AC7" i="21"/>
  <c r="V48" i="21" s="1"/>
  <c r="I48" i="21" s="1"/>
  <c r="W7" i="21"/>
  <c r="T46" i="71"/>
  <c r="D46" i="71"/>
  <c r="E42" i="37"/>
  <c r="R43" i="37"/>
  <c r="D8" i="71"/>
  <c r="G46" i="37"/>
  <c r="H46" i="37" s="1"/>
  <c r="G47" i="37"/>
  <c r="H47" i="37" s="1"/>
  <c r="I53" i="34"/>
  <c r="J53" i="34" s="1"/>
  <c r="I54" i="34"/>
  <c r="J54" i="34" s="1"/>
  <c r="E36" i="36"/>
  <c r="R37" i="36"/>
  <c r="AA7" i="33"/>
  <c r="R48" i="33" s="1"/>
  <c r="S7" i="33"/>
  <c r="G42" i="35"/>
  <c r="H42" i="35" s="1"/>
  <c r="G43" i="35"/>
  <c r="H43" i="35" s="1"/>
  <c r="R49" i="21"/>
  <c r="E48" i="21"/>
  <c r="G53" i="34"/>
  <c r="H53" i="34" s="1"/>
  <c r="G54" i="34"/>
  <c r="H54" i="34" s="1"/>
  <c r="N47" i="71"/>
  <c r="N48" i="71"/>
  <c r="D18" i="71"/>
  <c r="T18" i="71"/>
  <c r="U7" i="33"/>
  <c r="AB7" i="33"/>
  <c r="T48" i="33" s="1"/>
  <c r="G48" i="33" s="1"/>
  <c r="F68" i="39"/>
  <c r="E70" i="39"/>
  <c r="I46" i="37"/>
  <c r="J46" i="37" s="1"/>
  <c r="I47" i="37"/>
  <c r="J47" i="37" s="1"/>
  <c r="D22" i="71"/>
  <c r="T22" i="71"/>
  <c r="D14" i="71"/>
  <c r="M20" i="43" s="1"/>
  <c r="C19" i="43" s="1"/>
  <c r="T14" i="71"/>
  <c r="AA7" i="35"/>
  <c r="R38" i="35" s="1"/>
  <c r="S7" i="35"/>
  <c r="I41" i="36"/>
  <c r="J41" i="36" s="1"/>
  <c r="I40" i="36"/>
  <c r="J40" i="36" s="1"/>
  <c r="G52" i="21"/>
  <c r="H52" i="21" s="1"/>
  <c r="G53" i="21"/>
  <c r="H53" i="21" s="1"/>
  <c r="G40" i="36"/>
  <c r="H40" i="36" s="1"/>
  <c r="G41" i="36"/>
  <c r="H41" i="36" s="1"/>
  <c r="H6" i="3"/>
  <c r="F50" i="78"/>
  <c r="M7" i="78"/>
  <c r="J6" i="78" s="1"/>
  <c r="J10" i="78" s="1"/>
  <c r="J5" i="78" s="1"/>
  <c r="C6" i="78"/>
  <c r="C10" i="78" s="1"/>
  <c r="C5" i="78" s="1"/>
  <c r="C32" i="78" s="1"/>
  <c r="F71" i="78"/>
  <c r="M7" i="15"/>
  <c r="J6" i="15" s="1"/>
  <c r="F50" i="15"/>
  <c r="C49" i="15" s="1"/>
  <c r="C6" i="15"/>
  <c r="C10" i="15" s="1"/>
  <c r="C5" i="15" s="1"/>
  <c r="F71" i="15"/>
  <c r="F50" i="79"/>
  <c r="M7" i="79"/>
  <c r="J6" i="79" s="1"/>
  <c r="J10" i="79" s="1"/>
  <c r="J5" i="79" s="1"/>
  <c r="C6" i="79"/>
  <c r="F71" i="79"/>
  <c r="J10" i="15"/>
  <c r="J5" i="15" s="1"/>
  <c r="J26" i="15" s="1"/>
  <c r="C48" i="15"/>
  <c r="C60" i="15" s="1"/>
  <c r="M7" i="1"/>
  <c r="M6" i="1"/>
  <c r="K16" i="1"/>
  <c r="H16" i="1"/>
  <c r="G16" i="1"/>
  <c r="Q16" i="1"/>
  <c r="C34" i="69"/>
  <c r="C115" i="43"/>
  <c r="D113" i="43" s="1"/>
  <c r="D8" i="53"/>
  <c r="D120" i="9"/>
  <c r="M8" i="1"/>
  <c r="B4" i="72"/>
  <c r="C53" i="67"/>
  <c r="C10" i="67"/>
  <c r="C5" i="67" s="1"/>
  <c r="C10" i="79"/>
  <c r="C53" i="79"/>
  <c r="C16" i="79"/>
  <c r="C16" i="15"/>
  <c r="C16" i="78"/>
  <c r="E6" i="3" l="1"/>
  <c r="S6" i="43"/>
  <c r="T6" i="43" s="1"/>
  <c r="V6" i="43" s="1"/>
  <c r="S5" i="43"/>
  <c r="T5" i="43" s="1"/>
  <c r="V5" i="43" s="1"/>
  <c r="S7" i="43"/>
  <c r="T7" i="43" s="1"/>
  <c r="V7" i="43" s="1"/>
  <c r="C23" i="43"/>
  <c r="S2" i="43"/>
  <c r="T2" i="43" s="1"/>
  <c r="V2" i="43" s="1"/>
  <c r="S3" i="43"/>
  <c r="S4" i="43"/>
  <c r="T4" i="43" s="1"/>
  <c r="V4" i="43" s="1"/>
  <c r="C49" i="79"/>
  <c r="C48" i="79" s="1"/>
  <c r="C60" i="79" s="1"/>
  <c r="K21" i="6"/>
  <c r="E31" i="6"/>
  <c r="K24" i="6"/>
  <c r="M24" i="6" s="1"/>
  <c r="I24" i="6" s="1"/>
  <c r="S24" i="6" s="1"/>
  <c r="K25" i="6"/>
  <c r="M25" i="6" s="1"/>
  <c r="I25" i="6" s="1"/>
  <c r="S25" i="6" s="1"/>
  <c r="K20" i="6"/>
  <c r="K26" i="6"/>
  <c r="M26" i="6" s="1"/>
  <c r="I26" i="6" s="1"/>
  <c r="S26" i="6" s="1"/>
  <c r="K22" i="6"/>
  <c r="M22" i="6" s="1"/>
  <c r="I22" i="6" s="1"/>
  <c r="S22" i="6" s="1"/>
  <c r="K23" i="6"/>
  <c r="M23" i="6" s="1"/>
  <c r="I23" i="6" s="1"/>
  <c r="S23" i="6" s="1"/>
  <c r="K19" i="6"/>
  <c r="AY6" i="3"/>
  <c r="E3" i="6"/>
  <c r="H63" i="40"/>
  <c r="G65" i="40"/>
  <c r="C48" i="67"/>
  <c r="C60" i="67" s="1"/>
  <c r="J26" i="67"/>
  <c r="J29" i="67" s="1"/>
  <c r="C26" i="69"/>
  <c r="D22" i="69" s="1"/>
  <c r="J24" i="67"/>
  <c r="C19" i="67"/>
  <c r="C20" i="67" s="1"/>
  <c r="C26" i="67" s="1"/>
  <c r="J65" i="80"/>
  <c r="I67" i="80"/>
  <c r="C49" i="78"/>
  <c r="C48" i="78" s="1"/>
  <c r="C60" i="78" s="1"/>
  <c r="T3" i="43"/>
  <c r="V3" i="43" s="1"/>
  <c r="C33" i="43"/>
  <c r="G33" i="43" s="1"/>
  <c r="I33" i="43" s="1"/>
  <c r="C35" i="43"/>
  <c r="E35" i="43" s="1"/>
  <c r="C37" i="43"/>
  <c r="G37" i="43" s="1"/>
  <c r="I37" i="43" s="1"/>
  <c r="C39" i="43"/>
  <c r="E39" i="43" s="1"/>
  <c r="T14" i="43"/>
  <c r="V14" i="43" s="1"/>
  <c r="T13" i="43"/>
  <c r="V13" i="43" s="1"/>
  <c r="T12" i="43"/>
  <c r="V12" i="43" s="1"/>
  <c r="T10" i="43"/>
  <c r="V10" i="43" s="1"/>
  <c r="C29" i="43"/>
  <c r="C30" i="43" s="1"/>
  <c r="E30" i="43" s="1"/>
  <c r="C34" i="43"/>
  <c r="E34" i="43" s="1"/>
  <c r="C36" i="43"/>
  <c r="G36" i="43" s="1"/>
  <c r="I36" i="43" s="1"/>
  <c r="C38" i="43"/>
  <c r="G38" i="43" s="1"/>
  <c r="I38" i="43" s="1"/>
  <c r="T11" i="43"/>
  <c r="V11" i="43" s="1"/>
  <c r="T9" i="43"/>
  <c r="V9" i="43" s="1"/>
  <c r="T8" i="43"/>
  <c r="V8" i="43" s="1"/>
  <c r="T16" i="43"/>
  <c r="V16" i="43" s="1"/>
  <c r="T15" i="43"/>
  <c r="V15" i="43" s="1"/>
  <c r="G52" i="33"/>
  <c r="H52" i="33" s="1"/>
  <c r="G53" i="33"/>
  <c r="H53" i="33" s="1"/>
  <c r="C48" i="21"/>
  <c r="C49" i="21"/>
  <c r="R49" i="33"/>
  <c r="E48" i="33"/>
  <c r="E40" i="36"/>
  <c r="F40" i="36" s="1"/>
  <c r="E41" i="36"/>
  <c r="F41" i="36" s="1"/>
  <c r="E47" i="37"/>
  <c r="F47" i="37" s="1"/>
  <c r="E46" i="37"/>
  <c r="F46" i="37" s="1"/>
  <c r="I52" i="21"/>
  <c r="J52" i="21" s="1"/>
  <c r="I53" i="21"/>
  <c r="J53" i="21" s="1"/>
  <c r="C49" i="34"/>
  <c r="C50" i="34"/>
  <c r="Q57" i="78"/>
  <c r="Q66" i="78"/>
  <c r="Q73" i="78"/>
  <c r="Q60" i="78"/>
  <c r="E38" i="35"/>
  <c r="R39" i="35"/>
  <c r="G68" i="39"/>
  <c r="F70" i="39"/>
  <c r="E52" i="21"/>
  <c r="F52" i="21" s="1"/>
  <c r="E53" i="21"/>
  <c r="F53" i="21" s="1"/>
  <c r="C36" i="36"/>
  <c r="C37" i="36"/>
  <c r="B2" i="36" s="1"/>
  <c r="B3" i="36" s="1"/>
  <c r="C43" i="37"/>
  <c r="C42" i="37"/>
  <c r="I52" i="33"/>
  <c r="J52" i="33" s="1"/>
  <c r="I53" i="33"/>
  <c r="J53" i="33" s="1"/>
  <c r="E54" i="34"/>
  <c r="F54" i="34" s="1"/>
  <c r="E53" i="34"/>
  <c r="F53" i="34" s="1"/>
  <c r="Q66" i="79"/>
  <c r="Q57" i="79"/>
  <c r="Q73" i="79"/>
  <c r="Q60" i="79"/>
  <c r="C66" i="15"/>
  <c r="J24" i="15"/>
  <c r="J18" i="15"/>
  <c r="C5" i="79"/>
  <c r="C32" i="79" s="1"/>
  <c r="J24" i="79"/>
  <c r="J26" i="79"/>
  <c r="J18" i="79"/>
  <c r="J18" i="78"/>
  <c r="J26" i="78"/>
  <c r="J24" i="78"/>
  <c r="D121" i="9"/>
  <c r="D7" i="52" s="1"/>
  <c r="D6" i="52"/>
  <c r="K120" i="9"/>
  <c r="A18" i="62" s="1"/>
  <c r="B64" i="72" s="1"/>
  <c r="F27" i="69"/>
  <c r="F27" i="68"/>
  <c r="F27" i="11"/>
  <c r="F28" i="12"/>
  <c r="O7" i="1"/>
  <c r="P7" i="1" s="1"/>
  <c r="O8" i="1"/>
  <c r="P8" i="1" s="1"/>
  <c r="D9" i="53"/>
  <c r="B25" i="72" s="1"/>
  <c r="B24" i="72"/>
  <c r="C35" i="69"/>
  <c r="C38" i="69"/>
  <c r="H10" i="40"/>
  <c r="J10" i="40"/>
  <c r="H10" i="39"/>
  <c r="F10" i="39"/>
  <c r="F10" i="40"/>
  <c r="J10" i="39"/>
  <c r="O6" i="1"/>
  <c r="M16" i="1"/>
  <c r="E61" i="40"/>
  <c r="C33" i="78"/>
  <c r="C38" i="78"/>
  <c r="C32" i="15"/>
  <c r="C33" i="15"/>
  <c r="C38" i="15"/>
  <c r="C32" i="67"/>
  <c r="C38" i="67"/>
  <c r="C66" i="78" l="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66" i="3"/>
  <c r="AY176" i="3"/>
  <c r="AY115" i="3"/>
  <c r="AY188" i="3"/>
  <c r="AY276" i="3"/>
  <c r="AY297" i="3"/>
  <c r="AY225" i="3"/>
  <c r="AY335" i="3"/>
  <c r="AY470" i="3"/>
  <c r="AY409" i="3"/>
  <c r="AY180" i="3"/>
  <c r="AY228" i="3"/>
  <c r="AY358" i="3"/>
  <c r="AY465" i="3"/>
  <c r="AY433" i="3"/>
  <c r="BK6" i="3"/>
  <c r="AY541" i="3"/>
  <c r="AY108" i="3"/>
  <c r="AY45" i="3"/>
  <c r="AY28" i="3"/>
  <c r="AY201" i="3"/>
  <c r="AY146" i="3"/>
  <c r="AY157" i="3"/>
  <c r="AY126" i="3"/>
  <c r="AY117" i="3"/>
  <c r="AY302" i="3"/>
  <c r="AY271" i="3"/>
  <c r="AY239" i="3"/>
  <c r="AY254" i="3"/>
  <c r="AY222" i="3"/>
  <c r="AY211" i="3"/>
  <c r="AY389" i="3"/>
  <c r="AY365" i="3"/>
  <c r="BS6" i="3"/>
  <c r="BI6" i="3"/>
  <c r="AY93" i="3"/>
  <c r="AY57" i="3"/>
  <c r="AY40" i="3"/>
  <c r="AY34" i="3"/>
  <c r="AY98" i="3"/>
  <c r="AY18" i="3"/>
  <c r="AY171" i="3"/>
  <c r="AY90" i="3"/>
  <c r="AY163" i="3"/>
  <c r="AY75" i="3"/>
  <c r="AY237" i="3"/>
  <c r="AY387" i="3"/>
  <c r="AY334" i="3"/>
  <c r="AY444" i="3"/>
  <c r="AY526" i="3"/>
  <c r="AY269" i="3"/>
  <c r="AY390" i="3"/>
  <c r="AY311" i="3"/>
  <c r="AY447" i="3"/>
  <c r="AY535" i="3"/>
  <c r="AY574" i="3"/>
  <c r="AY555" i="3"/>
  <c r="AY85" i="3"/>
  <c r="AY68" i="3"/>
  <c r="AY25" i="3"/>
  <c r="AY178" i="3"/>
  <c r="AY23" i="3"/>
  <c r="AY59" i="3"/>
  <c r="AY58" i="3"/>
  <c r="AY371" i="3"/>
  <c r="AY428" i="3"/>
  <c r="AY245" i="3"/>
  <c r="AY342" i="3"/>
  <c r="AY513" i="3"/>
  <c r="AY553" i="3"/>
  <c r="AY60" i="3"/>
  <c r="AY170" i="3"/>
  <c r="AY141" i="3"/>
  <c r="AY291" i="3"/>
  <c r="AY255" i="3"/>
  <c r="AY238" i="3"/>
  <c r="AY384" i="3"/>
  <c r="AY368" i="3"/>
  <c r="BB6" i="3"/>
  <c r="AY72" i="3"/>
  <c r="AY144" i="3"/>
  <c r="AY152" i="3"/>
  <c r="AY253" i="3"/>
  <c r="AY303" i="3"/>
  <c r="AY529" i="3"/>
  <c r="AY217" i="3"/>
  <c r="AY463" i="3"/>
  <c r="AY544" i="3"/>
  <c r="AY92" i="3"/>
  <c r="AY33" i="3"/>
  <c r="AY138" i="3"/>
  <c r="AY118" i="3"/>
  <c r="AY294" i="3"/>
  <c r="AY231" i="3"/>
  <c r="AY214" i="3"/>
  <c r="AY381" i="3"/>
  <c r="AY554"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186" i="3"/>
  <c r="AY454" i="3"/>
  <c r="AY516" i="3"/>
  <c r="AY508" i="3"/>
  <c r="AY142" i="3"/>
  <c r="AY385" i="3"/>
  <c r="AY461" i="3"/>
  <c r="AY17" i="3"/>
  <c r="AY78" i="3"/>
  <c r="AY264" i="3"/>
  <c r="AY346" i="3"/>
  <c r="AY456" i="3"/>
  <c r="AY558" i="3"/>
  <c r="AY587" i="3"/>
  <c r="AY27" i="3"/>
  <c r="AY119" i="3"/>
  <c r="AY256" i="3"/>
  <c r="AY367" i="3"/>
  <c r="AY306" i="3"/>
  <c r="AY416" i="3"/>
  <c r="AY511" i="3"/>
  <c r="AY51" i="3"/>
  <c r="AY281" i="3"/>
  <c r="AY473" i="3"/>
  <c r="AY372" i="3"/>
  <c r="AY533" i="3"/>
  <c r="AY190" i="3"/>
  <c r="AY125" i="3"/>
  <c r="AY262" i="3"/>
  <c r="AY374" i="3"/>
  <c r="AY73" i="3"/>
  <c r="AY181" i="3"/>
  <c r="AY121" i="3"/>
  <c r="AY258" i="3"/>
  <c r="AY370" i="3"/>
  <c r="AY309" i="3"/>
  <c r="AY483" i="3"/>
  <c r="AY449" i="3"/>
  <c r="AY406" i="3"/>
  <c r="AY503" i="3"/>
  <c r="AY572" i="3"/>
  <c r="AY520" i="3"/>
  <c r="AY543" i="3"/>
  <c r="AY496" i="3"/>
  <c r="AY81" i="3"/>
  <c r="AY21" i="3"/>
  <c r="AY153" i="3"/>
  <c r="AY267" i="3"/>
  <c r="AY82" i="3"/>
  <c r="AY132" i="3"/>
  <c r="AY292" i="3"/>
  <c r="AY220" i="3"/>
  <c r="AY486" i="3"/>
  <c r="AY199" i="3"/>
  <c r="AY355" i="3"/>
  <c r="AY404" i="3"/>
  <c r="BO6" i="3"/>
  <c r="AY53" i="3"/>
  <c r="AY182" i="3"/>
  <c r="AY155" i="3"/>
  <c r="AY268" i="3"/>
  <c r="AY106" i="3"/>
  <c r="AY452" i="3"/>
  <c r="AY77" i="3"/>
  <c r="AY173" i="3"/>
  <c r="AY286" i="3"/>
  <c r="AY227" i="3"/>
  <c r="AY507" i="3"/>
  <c r="AY87" i="3"/>
  <c r="AY111" i="3"/>
  <c r="AY460" i="3"/>
  <c r="AY327" i="3"/>
  <c r="BE6" i="3"/>
  <c r="AY185" i="3"/>
  <c r="AY299" i="3"/>
  <c r="AY246" i="3"/>
  <c r="AY357" i="3"/>
  <c r="AY41"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25" i="3"/>
  <c r="AY527" i="3"/>
  <c r="AY298" i="3"/>
  <c r="AY418" i="3"/>
  <c r="AY167" i="3"/>
  <c r="AY469" i="3"/>
  <c r="AY560" i="3"/>
  <c r="AY148" i="3"/>
  <c r="AY213" i="3"/>
  <c r="AY459" i="3"/>
  <c r="AY586" i="3"/>
  <c r="AY236" i="3"/>
  <c r="AY420" i="3"/>
  <c r="AY165" i="3"/>
  <c r="AY219" i="3"/>
  <c r="AY29" i="3"/>
  <c r="AY275" i="3"/>
  <c r="AY341" i="3"/>
  <c r="AY480" i="3"/>
  <c r="AY419" i="3"/>
  <c r="AY536" i="3"/>
  <c r="AY532" i="3"/>
  <c r="AY64" i="3"/>
  <c r="AY113" i="3"/>
  <c r="AY396" i="3"/>
  <c r="AY337" i="3"/>
  <c r="AY320" i="3"/>
  <c r="AY476" i="3"/>
  <c r="AY434" i="3"/>
  <c r="AY415" i="3"/>
  <c r="AY538" i="3"/>
  <c r="AY565" i="3"/>
  <c r="AY570" i="3"/>
  <c r="AY99" i="3"/>
  <c r="AY46" i="3"/>
  <c r="AY156" i="3"/>
  <c r="AY285" i="3"/>
  <c r="AY232"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07" i="3"/>
  <c r="AY168" i="3"/>
  <c r="AY441" i="3"/>
  <c r="AY310" i="3"/>
  <c r="AY97" i="3"/>
  <c r="AY154" i="3"/>
  <c r="AY283" i="3"/>
  <c r="AY230" i="3"/>
  <c r="AY360" i="3"/>
  <c r="AY56" i="3"/>
  <c r="AY130" i="3"/>
  <c r="AY243" i="3"/>
  <c r="AY393" i="3"/>
  <c r="AY340" i="3"/>
  <c r="AY467" i="3"/>
  <c r="AY422" i="3"/>
  <c r="AY525" i="3"/>
  <c r="AY518" i="3"/>
  <c r="AY556" i="3"/>
  <c r="AY49" i="3"/>
  <c r="AY205" i="3"/>
  <c r="AY235" i="3"/>
  <c r="AY352" i="3"/>
  <c r="AY304" i="3"/>
  <c r="AY450" i="3"/>
  <c r="AY399" i="3"/>
  <c r="AY502" i="3"/>
  <c r="AY531" i="3"/>
  <c r="AY94" i="3"/>
  <c r="AY187" i="3"/>
  <c r="AY280" i="3"/>
  <c r="AY362" i="3"/>
  <c r="AY314" i="3"/>
  <c r="AY424" i="3"/>
  <c r="AY517" i="3"/>
  <c r="BL6" i="3"/>
  <c r="AY86" i="3"/>
  <c r="AY38" i="3"/>
  <c r="AY179" i="3"/>
  <c r="AY128" i="3"/>
  <c r="AY241" i="3"/>
  <c r="AY391" i="3"/>
  <c r="AY338" i="3"/>
  <c r="AY448" i="3"/>
  <c r="AY550" i="3"/>
  <c r="AY504" i="3"/>
  <c r="D3" i="6"/>
  <c r="AY191" i="3"/>
  <c r="AY31" i="3"/>
  <c r="AY147" i="3"/>
  <c r="AY350" i="3"/>
  <c r="AY425" i="3"/>
  <c r="AY244" i="3"/>
  <c r="AY481" i="3"/>
  <c r="AY562" i="3"/>
  <c r="AY89" i="3"/>
  <c r="AY36" i="3"/>
  <c r="AY83" i="3"/>
  <c r="AY131" i="3"/>
  <c r="AY318" i="3"/>
  <c r="AY395" i="3"/>
  <c r="AY569" i="3"/>
  <c r="AY206" i="3"/>
  <c r="AY134" i="3"/>
  <c r="AY270" i="3"/>
  <c r="AY373" i="3"/>
  <c r="AY88" i="3"/>
  <c r="AY95" i="3"/>
  <c r="AY382" i="3"/>
  <c r="AY300" i="3"/>
  <c r="AY401" i="3"/>
  <c r="AY76" i="3"/>
  <c r="AY149" i="3"/>
  <c r="AY263" i="3"/>
  <c r="AY392" i="3"/>
  <c r="BJ6"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403" i="3"/>
  <c r="AY112" i="3"/>
  <c r="AY336" i="3"/>
  <c r="BR6" i="3"/>
  <c r="AY376" i="3"/>
  <c r="AY437" i="3"/>
  <c r="AY55" i="3"/>
  <c r="AY273" i="3"/>
  <c r="AY323" i="3"/>
  <c r="BD6" i="3"/>
  <c r="AY124" i="3"/>
  <c r="AY26" i="3"/>
  <c r="AY61" i="3"/>
  <c r="AY278" i="3"/>
  <c r="BH6" i="3"/>
  <c r="AY161" i="3"/>
  <c r="AY215" i="3"/>
  <c r="AY324" i="3"/>
  <c r="AY438" i="3"/>
  <c r="AY580" i="3"/>
  <c r="AY552" i="3"/>
  <c r="AY523" i="3"/>
  <c r="AY174" i="3"/>
  <c r="AY250" i="3"/>
  <c r="AY361" i="3"/>
  <c r="AY305" i="3"/>
  <c r="AY479" i="3"/>
  <c r="AY445" i="3"/>
  <c r="AY402" i="3"/>
  <c r="AY505" i="3"/>
  <c r="AY524" i="3"/>
  <c r="AY542" i="3"/>
  <c r="AY578" i="3"/>
  <c r="AY63" i="3"/>
  <c r="AY192" i="3"/>
  <c r="AY135" i="3"/>
  <c r="AY249" i="3"/>
  <c r="AY378"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2" i="3"/>
  <c r="AY366" i="3"/>
  <c r="AY260" i="3"/>
  <c r="AY549" i="3"/>
  <c r="AY44" i="3"/>
  <c r="AY133" i="3"/>
  <c r="AY247" i="3"/>
  <c r="AY397" i="3"/>
  <c r="AY109" i="3"/>
  <c r="AY150" i="3"/>
  <c r="AY279" i="3"/>
  <c r="AY226" i="3"/>
  <c r="AY356" i="3"/>
  <c r="AY308" i="3"/>
  <c r="AY464" i="3"/>
  <c r="AY435" i="3"/>
  <c r="BN6" i="3"/>
  <c r="AY559" i="3"/>
  <c r="AY577" i="3"/>
  <c r="AY32" i="3"/>
  <c r="AY122" i="3"/>
  <c r="AY218" i="3"/>
  <c r="AY321" i="3"/>
  <c r="AY492" i="3"/>
  <c r="AY431" i="3"/>
  <c r="AY564" i="3"/>
  <c r="AY509" i="3"/>
  <c r="BA6" i="3"/>
  <c r="AY35" i="3"/>
  <c r="AY127" i="3"/>
  <c r="AY221" i="3"/>
  <c r="AY331" i="3"/>
  <c r="AY466" i="3"/>
  <c r="AY405" i="3"/>
  <c r="AY512" i="3"/>
  <c r="AY70" i="3"/>
  <c r="AY159" i="3"/>
  <c r="AY224" i="3"/>
  <c r="AY490" i="3"/>
  <c r="BC6" i="3"/>
  <c r="AY91" i="3"/>
  <c r="AY184" i="3"/>
  <c r="AY277" i="3"/>
  <c r="AY354" i="3"/>
  <c r="AY429" i="3"/>
  <c r="AY498" i="3"/>
  <c r="D3" i="21"/>
  <c r="B2" i="21" s="1"/>
  <c r="B3" i="21" s="1"/>
  <c r="D37" i="11"/>
  <c r="D3" i="34"/>
  <c r="B2" i="34" s="1"/>
  <c r="B3" i="34" s="1"/>
  <c r="C17" i="4"/>
  <c r="B4" i="52" s="1"/>
  <c r="B43" i="72" s="1"/>
  <c r="D3" i="33"/>
  <c r="M18" i="9"/>
  <c r="B118" i="9" s="1"/>
  <c r="B14" i="74" s="1"/>
  <c r="D14" i="12"/>
  <c r="D17" i="12" s="1"/>
  <c r="C17" i="12" s="1"/>
  <c r="L18" i="9"/>
  <c r="D19" i="11"/>
  <c r="C19" i="11" s="1"/>
  <c r="C20" i="11" s="1"/>
  <c r="D3" i="37"/>
  <c r="B2" i="37" s="1"/>
  <c r="B3" i="37" s="1"/>
  <c r="E6" i="6"/>
  <c r="M19" i="6"/>
  <c r="K27" i="6"/>
  <c r="S6" i="1"/>
  <c r="M20" i="6"/>
  <c r="I20" i="6" s="1"/>
  <c r="S7" i="1"/>
  <c r="M21" i="6"/>
  <c r="I21" i="6" s="1"/>
  <c r="S8" i="1"/>
  <c r="C66" i="67"/>
  <c r="I63" i="40"/>
  <c r="H65" i="40"/>
  <c r="E33" i="43"/>
  <c r="G34" i="43"/>
  <c r="I34" i="43" s="1"/>
  <c r="E37" i="43"/>
  <c r="G35" i="43"/>
  <c r="I35" i="43" s="1"/>
  <c r="C23" i="67"/>
  <c r="C29" i="67" s="1"/>
  <c r="J19" i="67" s="1"/>
  <c r="J17" i="67" s="1"/>
  <c r="E38" i="43"/>
  <c r="E29" i="43"/>
  <c r="E36" i="43"/>
  <c r="J67" i="80"/>
  <c r="K65" i="80"/>
  <c r="H68" i="39"/>
  <c r="G70" i="39"/>
  <c r="E43" i="35"/>
  <c r="F43" i="35" s="1"/>
  <c r="E42" i="35"/>
  <c r="F42" i="35" s="1"/>
  <c r="I43" i="35"/>
  <c r="J43" i="35" s="1"/>
  <c r="E53" i="33"/>
  <c r="F53" i="33" s="1"/>
  <c r="E52" i="33"/>
  <c r="F52" i="33" s="1"/>
  <c r="C39" i="35"/>
  <c r="B2" i="35" s="1"/>
  <c r="B3" i="35" s="1"/>
  <c r="C38" i="35"/>
  <c r="C48" i="33"/>
  <c r="C49" i="33"/>
  <c r="C33" i="79"/>
  <c r="O16" i="1"/>
  <c r="P6" i="1"/>
  <c r="P16" i="1" s="1"/>
  <c r="C11" i="12" s="1"/>
  <c r="C15" i="12" s="1"/>
  <c r="C66" i="79"/>
  <c r="C38" i="79"/>
  <c r="B1" i="74"/>
  <c r="AA10" i="40"/>
  <c r="S10" i="40"/>
  <c r="AB10" i="39"/>
  <c r="U10" i="39"/>
  <c r="U10" i="40"/>
  <c r="AB10" i="40"/>
  <c r="C47" i="11"/>
  <c r="D45" i="11" s="1"/>
  <c r="C29" i="69"/>
  <c r="D27" i="69" s="1"/>
  <c r="C47" i="69"/>
  <c r="D45" i="69" s="1"/>
  <c r="N16" i="1"/>
  <c r="L16" i="1"/>
  <c r="AC10" i="39"/>
  <c r="W10" i="39"/>
  <c r="S10" i="39"/>
  <c r="AA10" i="39"/>
  <c r="W10" i="40"/>
  <c r="AC10" i="40"/>
  <c r="C47" i="68"/>
  <c r="D45" i="68" s="1"/>
  <c r="C17" i="15"/>
  <c r="C17" i="78"/>
  <c r="C17" i="79"/>
  <c r="B21" i="1" l="1"/>
  <c r="C29" i="11" s="1"/>
  <c r="D27" i="11" s="1"/>
  <c r="B2" i="33"/>
  <c r="B3" i="33" s="1"/>
  <c r="C29" i="68"/>
  <c r="D27" i="68" s="1"/>
  <c r="Q21" i="1"/>
  <c r="Q22" i="1" s="1"/>
  <c r="S21" i="6"/>
  <c r="N21" i="1"/>
  <c r="N22" i="1" s="1"/>
  <c r="O20" i="1" s="1"/>
  <c r="S20" i="6"/>
  <c r="D10" i="68"/>
  <c r="D10" i="11"/>
  <c r="C10" i="11" s="1"/>
  <c r="D20" i="12"/>
  <c r="C20" i="12" s="1"/>
  <c r="C18" i="12" s="1"/>
  <c r="D10" i="69"/>
  <c r="E8" i="70"/>
  <c r="AR8" i="1"/>
  <c r="AQ8" i="1"/>
  <c r="T8" i="1"/>
  <c r="AQ7" i="1"/>
  <c r="T7" i="1"/>
  <c r="AR7" i="1"/>
  <c r="E7" i="70"/>
  <c r="AQ6" i="1"/>
  <c r="T6" i="1"/>
  <c r="AR6" i="1"/>
  <c r="S16" i="1"/>
  <c r="E6" i="70"/>
  <c r="I19" i="6"/>
  <c r="M27" i="6"/>
  <c r="M19" i="9"/>
  <c r="C118" i="9" s="1"/>
  <c r="C14" i="74" s="1"/>
  <c r="D26" i="6"/>
  <c r="D8" i="6"/>
  <c r="D14" i="6"/>
  <c r="D9" i="6"/>
  <c r="L19" i="9"/>
  <c r="H25" i="6"/>
  <c r="H21" i="6"/>
  <c r="H20" i="6"/>
  <c r="D21" i="6"/>
  <c r="R21" i="6" s="1"/>
  <c r="R8" i="1" s="1"/>
  <c r="D12" i="6"/>
  <c r="D25" i="6"/>
  <c r="D24" i="6"/>
  <c r="D11" i="6"/>
  <c r="H26" i="6"/>
  <c r="D19" i="6"/>
  <c r="C18" i="4"/>
  <c r="D23" i="6"/>
  <c r="D6" i="6"/>
  <c r="D10" i="6"/>
  <c r="D29" i="6"/>
  <c r="H22" i="6"/>
  <c r="H24" i="6"/>
  <c r="D15" i="6"/>
  <c r="D20" i="6"/>
  <c r="R20" i="6" s="1"/>
  <c r="R7" i="1" s="1"/>
  <c r="D13" i="6"/>
  <c r="H23" i="6"/>
  <c r="D22" i="6"/>
  <c r="R22" i="6" s="1"/>
  <c r="D5" i="6"/>
  <c r="D28" i="6"/>
  <c r="B24" i="1"/>
  <c r="F11" i="12" s="1"/>
  <c r="C14" i="12" s="1"/>
  <c r="C24" i="11"/>
  <c r="C24" i="68"/>
  <c r="I65" i="40"/>
  <c r="J63" i="40"/>
  <c r="O21" i="1"/>
  <c r="Q49" i="67"/>
  <c r="C57" i="67"/>
  <c r="C64" i="67" s="1"/>
  <c r="J14" i="67"/>
  <c r="J22" i="67" s="1"/>
  <c r="C36" i="67"/>
  <c r="J59" i="67"/>
  <c r="J60" i="67" s="1"/>
  <c r="L46" i="67" s="1"/>
  <c r="C13" i="67"/>
  <c r="Q70" i="67" s="1"/>
  <c r="C33" i="67"/>
  <c r="C31" i="67" s="1"/>
  <c r="C27" i="43"/>
  <c r="C26" i="43"/>
  <c r="L65" i="80"/>
  <c r="K67" i="80"/>
  <c r="H70" i="39"/>
  <c r="I68" i="39"/>
  <c r="C12" i="12"/>
  <c r="C8" i="74"/>
  <c r="C7" i="74"/>
  <c r="F34" i="11"/>
  <c r="C14" i="79"/>
  <c r="C14" i="78"/>
  <c r="C14" i="15"/>
  <c r="F35" i="78"/>
  <c r="M21" i="78"/>
  <c r="M21" i="79"/>
  <c r="F35" i="79"/>
  <c r="E6" i="76"/>
  <c r="C44" i="11" l="1"/>
  <c r="D41" i="11" s="1"/>
  <c r="C44" i="68"/>
  <c r="D41" i="68" s="1"/>
  <c r="B23" i="1"/>
  <c r="C28" i="11"/>
  <c r="C27" i="11" s="1"/>
  <c r="F34" i="68"/>
  <c r="C36" i="68" s="1"/>
  <c r="D30" i="6"/>
  <c r="R25" i="6"/>
  <c r="E2" i="70"/>
  <c r="R23" i="6"/>
  <c r="R26" i="6"/>
  <c r="C34" i="79"/>
  <c r="C31" i="79" s="1"/>
  <c r="F63" i="79"/>
  <c r="C62" i="79" s="1"/>
  <c r="J20" i="79"/>
  <c r="J20" i="78"/>
  <c r="C34" i="78"/>
  <c r="C31" i="78" s="1"/>
  <c r="F63" i="78"/>
  <c r="C62" i="78" s="1"/>
  <c r="C18" i="15"/>
  <c r="C15" i="15"/>
  <c r="C15" i="78"/>
  <c r="C18" i="78"/>
  <c r="C15" i="79"/>
  <c r="C18" i="79"/>
  <c r="D27" i="6"/>
  <c r="D19" i="69"/>
  <c r="C10" i="69"/>
  <c r="C8" i="69" s="1"/>
  <c r="C5" i="69" s="1"/>
  <c r="C23" i="69" s="1"/>
  <c r="C4" i="52"/>
  <c r="B45" i="72" s="1"/>
  <c r="A7" i="51"/>
  <c r="B7" i="72" s="1"/>
  <c r="A10" i="51"/>
  <c r="B9" i="72" s="1"/>
  <c r="R24" i="6"/>
  <c r="D16" i="6"/>
  <c r="K21" i="1"/>
  <c r="K22" i="1" s="1"/>
  <c r="L20" i="1" s="1"/>
  <c r="S19" i="6"/>
  <c r="S27" i="6" s="1"/>
  <c r="H19" i="6"/>
  <c r="H27" i="6" s="1"/>
  <c r="I27" i="6"/>
  <c r="T16" i="1"/>
  <c r="D19" i="68"/>
  <c r="D37" i="68" s="1"/>
  <c r="C10" i="68"/>
  <c r="J13" i="67"/>
  <c r="J23" i="67" s="1"/>
  <c r="J16" i="67" s="1"/>
  <c r="J25" i="67" s="1"/>
  <c r="F50" i="11"/>
  <c r="F50" i="69"/>
  <c r="F50" i="68"/>
  <c r="J53" i="15"/>
  <c r="M59" i="15"/>
  <c r="L59" i="15" s="1"/>
  <c r="M59" i="67"/>
  <c r="J53" i="79"/>
  <c r="J53" i="78"/>
  <c r="M59" i="79"/>
  <c r="L59" i="79" s="1"/>
  <c r="M59" i="78"/>
  <c r="L59" i="78" s="1"/>
  <c r="C26" i="12"/>
  <c r="D25" i="12" s="1"/>
  <c r="C29" i="12"/>
  <c r="D28" i="12" s="1"/>
  <c r="C26" i="68"/>
  <c r="D22" i="68" s="1"/>
  <c r="C26" i="11"/>
  <c r="D22" i="11" s="1"/>
  <c r="C23" i="11"/>
  <c r="C25" i="11"/>
  <c r="J65" i="40"/>
  <c r="K63" i="40"/>
  <c r="L21" i="1"/>
  <c r="K23" i="1" s="1"/>
  <c r="C16" i="12"/>
  <c r="C21" i="12" s="1"/>
  <c r="C22" i="12" s="1"/>
  <c r="Q48" i="67"/>
  <c r="C37" i="67"/>
  <c r="C30" i="67" s="1"/>
  <c r="C39" i="67" s="1"/>
  <c r="C61" i="67"/>
  <c r="C59" i="67" s="1"/>
  <c r="C75" i="67"/>
  <c r="C56" i="67"/>
  <c r="C65" i="67" s="1"/>
  <c r="E2" i="76"/>
  <c r="B2" i="43"/>
  <c r="L67" i="80"/>
  <c r="M65" i="80"/>
  <c r="J68" i="39"/>
  <c r="I70" i="39"/>
  <c r="C36" i="11"/>
  <c r="C34" i="11"/>
  <c r="C37" i="11"/>
  <c r="L51" i="67"/>
  <c r="B6" i="76"/>
  <c r="C34" i="68" l="1"/>
  <c r="C35" i="68" s="1"/>
  <c r="C37" i="68"/>
  <c r="D31" i="6"/>
  <c r="I6" i="6" s="1"/>
  <c r="C19" i="78"/>
  <c r="C20" i="78" s="1"/>
  <c r="C23" i="78" s="1"/>
  <c r="C19" i="79"/>
  <c r="C20" i="79" s="1"/>
  <c r="C23" i="79" s="1"/>
  <c r="C80" i="67"/>
  <c r="C79" i="67" s="1"/>
  <c r="C19" i="15"/>
  <c r="C20" i="15" s="1"/>
  <c r="C23" i="15" s="1"/>
  <c r="D37" i="69"/>
  <c r="C37" i="69" s="1"/>
  <c r="C33" i="69" s="1"/>
  <c r="C19" i="69"/>
  <c r="I5" i="6"/>
  <c r="R19" i="6"/>
  <c r="Q61" i="78"/>
  <c r="Q74" i="78"/>
  <c r="Q52" i="78"/>
  <c r="F1" i="78"/>
  <c r="F1" i="15"/>
  <c r="Q52" i="15"/>
  <c r="C22" i="11"/>
  <c r="C31" i="11" s="1"/>
  <c r="Q61" i="79"/>
  <c r="Q74" i="79"/>
  <c r="Q52" i="79"/>
  <c r="F1" i="79"/>
  <c r="Q74" i="15"/>
  <c r="Q61" i="15"/>
  <c r="K65" i="40"/>
  <c r="L63" i="40"/>
  <c r="C40" i="67"/>
  <c r="Q56" i="67" s="1"/>
  <c r="Q69" i="67"/>
  <c r="Q68" i="67" s="1"/>
  <c r="C58" i="67"/>
  <c r="C67" i="67" s="1"/>
  <c r="C68" i="67" s="1"/>
  <c r="C71" i="67" s="1"/>
  <c r="B2" i="76"/>
  <c r="B3" i="76" s="1"/>
  <c r="B3" i="43"/>
  <c r="N65" i="80"/>
  <c r="N67" i="80" s="1"/>
  <c r="M67" i="80"/>
  <c r="K68" i="39"/>
  <c r="J70" i="39"/>
  <c r="J59" i="78"/>
  <c r="J60" i="78" s="1"/>
  <c r="J59" i="79"/>
  <c r="J60" i="79" s="1"/>
  <c r="J59" i="15"/>
  <c r="J60" i="15" s="1"/>
  <c r="C38" i="11"/>
  <c r="C35" i="11"/>
  <c r="Q67" i="67"/>
  <c r="L57" i="67"/>
  <c r="L60" i="67" s="1"/>
  <c r="AE6" i="1"/>
  <c r="AE7" i="1"/>
  <c r="AE8" i="1"/>
  <c r="C38" i="68" l="1"/>
  <c r="C33" i="68" s="1"/>
  <c r="C39" i="68" s="1"/>
  <c r="C43" i="68" s="1"/>
  <c r="C26" i="78"/>
  <c r="C29" i="78" s="1"/>
  <c r="C13" i="78" s="1"/>
  <c r="C75" i="78" s="1"/>
  <c r="C26" i="79"/>
  <c r="C29" i="79" s="1"/>
  <c r="C13" i="79" s="1"/>
  <c r="C26" i="15"/>
  <c r="C29" i="15" s="1"/>
  <c r="Q49" i="15" s="1"/>
  <c r="R6" i="1"/>
  <c r="R27" i="6"/>
  <c r="C24" i="69"/>
  <c r="C20" i="69"/>
  <c r="H11" i="40"/>
  <c r="F11" i="40"/>
  <c r="J11" i="40"/>
  <c r="C39" i="69"/>
  <c r="C42" i="69"/>
  <c r="L65" i="40"/>
  <c r="M63" i="40"/>
  <c r="Q65" i="67"/>
  <c r="C43" i="67"/>
  <c r="Q47" i="67"/>
  <c r="Q53" i="67" s="1"/>
  <c r="C45" i="67"/>
  <c r="C46" i="67" s="1"/>
  <c r="C83" i="67"/>
  <c r="C82" i="67" s="1"/>
  <c r="D2" i="67"/>
  <c r="B2" i="67" s="1"/>
  <c r="H9" i="80"/>
  <c r="J9" i="80"/>
  <c r="F9" i="80"/>
  <c r="L68" i="39"/>
  <c r="K70" i="39"/>
  <c r="C33" i="11"/>
  <c r="C39" i="11" s="1"/>
  <c r="C43" i="11" s="1"/>
  <c r="L46" i="79"/>
  <c r="Q48" i="79"/>
  <c r="Q48" i="78"/>
  <c r="L46" i="78"/>
  <c r="L46" i="15"/>
  <c r="Q48" i="15"/>
  <c r="Q66" i="67"/>
  <c r="Q57" i="67"/>
  <c r="Q62" i="67" s="1"/>
  <c r="F35" i="15"/>
  <c r="M21" i="15"/>
  <c r="F41" i="78"/>
  <c r="F41" i="79"/>
  <c r="F41" i="15"/>
  <c r="C57" i="78" l="1"/>
  <c r="C64" i="78" s="1"/>
  <c r="J19" i="78"/>
  <c r="J17" i="78" s="1"/>
  <c r="Q49" i="78"/>
  <c r="C36" i="78"/>
  <c r="J14" i="78"/>
  <c r="C37" i="78"/>
  <c r="C30" i="78" s="1"/>
  <c r="C39" i="78" s="1"/>
  <c r="C80" i="78" s="1"/>
  <c r="C79" i="78" s="1"/>
  <c r="C56" i="78"/>
  <c r="C65" i="78" s="1"/>
  <c r="C13" i="15"/>
  <c r="Q70" i="15" s="1"/>
  <c r="Q70" i="78"/>
  <c r="J19" i="15"/>
  <c r="C61" i="78"/>
  <c r="C59" i="78" s="1"/>
  <c r="C58" i="78" s="1"/>
  <c r="C67" i="78" s="1"/>
  <c r="Q75" i="67"/>
  <c r="C37" i="79"/>
  <c r="C75" i="79"/>
  <c r="C56" i="79"/>
  <c r="C65" i="79" s="1"/>
  <c r="C36" i="15"/>
  <c r="C57" i="15"/>
  <c r="J14" i="15"/>
  <c r="C57" i="79"/>
  <c r="C36" i="79"/>
  <c r="Q49" i="79"/>
  <c r="J14" i="79"/>
  <c r="J19" i="79"/>
  <c r="J17" i="79" s="1"/>
  <c r="J20" i="15"/>
  <c r="J17" i="15" s="1"/>
  <c r="C34" i="15"/>
  <c r="C31" i="15" s="1"/>
  <c r="F63" i="15"/>
  <c r="C62" i="15" s="1"/>
  <c r="C43" i="69"/>
  <c r="C41" i="69" s="1"/>
  <c r="C46" i="69"/>
  <c r="C45" i="69" s="1"/>
  <c r="S11" i="40"/>
  <c r="AA11" i="40"/>
  <c r="C25" i="69"/>
  <c r="C22" i="69" s="1"/>
  <c r="C28" i="69"/>
  <c r="C27" i="69" s="1"/>
  <c r="Q70" i="79"/>
  <c r="C56" i="15"/>
  <c r="C65" i="15" s="1"/>
  <c r="AC11" i="40"/>
  <c r="W11" i="40"/>
  <c r="U11" i="40"/>
  <c r="AB11" i="40"/>
  <c r="R16" i="1"/>
  <c r="J29" i="15"/>
  <c r="F69" i="15"/>
  <c r="J29" i="79"/>
  <c r="F69" i="79"/>
  <c r="F69" i="78"/>
  <c r="J29" i="78"/>
  <c r="N63" i="40"/>
  <c r="M65" i="40"/>
  <c r="B3" i="67"/>
  <c r="W9" i="80"/>
  <c r="AC9" i="80"/>
  <c r="S9" i="80"/>
  <c r="AA9" i="80"/>
  <c r="AB9" i="80"/>
  <c r="U9" i="80"/>
  <c r="M68" i="39"/>
  <c r="L70" i="39"/>
  <c r="C42" i="11"/>
  <c r="C41" i="11" s="1"/>
  <c r="C42" i="68"/>
  <c r="C41" i="68" s="1"/>
  <c r="C46" i="68"/>
  <c r="C45" i="68" s="1"/>
  <c r="C46" i="11"/>
  <c r="C45" i="11" s="1"/>
  <c r="L51" i="78"/>
  <c r="Q69" i="78" l="1"/>
  <c r="Q68" i="78" s="1"/>
  <c r="J22" i="78"/>
  <c r="J13" i="78"/>
  <c r="J23" i="78" s="1"/>
  <c r="C40" i="78"/>
  <c r="Q56" i="78" s="1"/>
  <c r="Q62" i="78" s="1"/>
  <c r="Q67" i="78"/>
  <c r="C75" i="15"/>
  <c r="C37" i="15"/>
  <c r="C30" i="15" s="1"/>
  <c r="C39" i="15" s="1"/>
  <c r="C40" i="15" s="1"/>
  <c r="C30" i="79"/>
  <c r="C39" i="79" s="1"/>
  <c r="Q69" i="79" s="1"/>
  <c r="Q68" i="79" s="1"/>
  <c r="C31" i="69"/>
  <c r="J13" i="79"/>
  <c r="J23" i="79" s="1"/>
  <c r="J22" i="79"/>
  <c r="J13" i="15"/>
  <c r="J23" i="15" s="1"/>
  <c r="J22" i="15"/>
  <c r="C61" i="79"/>
  <c r="C59" i="79" s="1"/>
  <c r="C64" i="79"/>
  <c r="C64" i="15"/>
  <c r="C61" i="15"/>
  <c r="C59" i="15" s="1"/>
  <c r="C49" i="69"/>
  <c r="C51" i="69" s="1"/>
  <c r="C68" i="78"/>
  <c r="C71" i="78" s="1"/>
  <c r="O63" i="40"/>
  <c r="O65" i="40" s="1"/>
  <c r="N65" i="40"/>
  <c r="N68" i="39"/>
  <c r="M70" i="39"/>
  <c r="C49" i="11"/>
  <c r="C51" i="11" s="1"/>
  <c r="C52" i="11" s="1"/>
  <c r="B2" i="11" s="1"/>
  <c r="B3" i="11" s="1"/>
  <c r="C49" i="68"/>
  <c r="C51" i="68" s="1"/>
  <c r="L51" i="79"/>
  <c r="L51" i="15"/>
  <c r="B2" i="78" l="1"/>
  <c r="Q47" i="78"/>
  <c r="Q53" i="78" s="1"/>
  <c r="C43" i="78"/>
  <c r="J16" i="78"/>
  <c r="J25" i="78" s="1"/>
  <c r="C83" i="78"/>
  <c r="C82" i="78" s="1"/>
  <c r="Q65" i="78"/>
  <c r="Q75" i="78" s="1"/>
  <c r="Q47" i="15"/>
  <c r="Q53" i="15" s="1"/>
  <c r="Q65" i="15"/>
  <c r="Q75" i="15" s="1"/>
  <c r="C43" i="15"/>
  <c r="C80" i="15"/>
  <c r="C79" i="15" s="1"/>
  <c r="C83" i="15"/>
  <c r="C82" i="15" s="1"/>
  <c r="Q69" i="15"/>
  <c r="Q68" i="15" s="1"/>
  <c r="C58" i="79"/>
  <c r="C67" i="79" s="1"/>
  <c r="C68" i="79" s="1"/>
  <c r="C71" i="79" s="1"/>
  <c r="C80" i="79"/>
  <c r="C79" i="79" s="1"/>
  <c r="C40" i="79"/>
  <c r="Q67" i="79"/>
  <c r="Q67" i="15"/>
  <c r="Q56" i="15"/>
  <c r="Q62" i="15" s="1"/>
  <c r="B2" i="15"/>
  <c r="B3" i="15" s="1"/>
  <c r="C6" i="12" s="1"/>
  <c r="J16" i="15"/>
  <c r="J25" i="15" s="1"/>
  <c r="J16" i="79"/>
  <c r="J25" i="79" s="1"/>
  <c r="C58" i="15"/>
  <c r="C67" i="15" s="1"/>
  <c r="C68" i="15" s="1"/>
  <c r="C52" i="69"/>
  <c r="B2" i="69" s="1"/>
  <c r="B3" i="69" s="1"/>
  <c r="C46" i="78"/>
  <c r="H7" i="40"/>
  <c r="F7" i="40"/>
  <c r="J7" i="40"/>
  <c r="N70" i="39"/>
  <c r="O68" i="39"/>
  <c r="O70" i="39" s="1"/>
  <c r="C56" i="11"/>
  <c r="C57" i="11" s="1"/>
  <c r="B3" i="78"/>
  <c r="D6" i="12" s="1"/>
  <c r="AO7" i="1"/>
  <c r="AO6" i="1"/>
  <c r="C46" i="79" l="1"/>
  <c r="B7" i="70"/>
  <c r="D8" i="12"/>
  <c r="Q65" i="79"/>
  <c r="Q75" i="79" s="1"/>
  <c r="B2" i="79"/>
  <c r="C83" i="79"/>
  <c r="C82" i="79" s="1"/>
  <c r="C43" i="79"/>
  <c r="Q56" i="79"/>
  <c r="Q62" i="79" s="1"/>
  <c r="Q47" i="79"/>
  <c r="Q53" i="79" s="1"/>
  <c r="B6" i="70"/>
  <c r="C8" i="12"/>
  <c r="C71" i="15"/>
  <c r="C46" i="15"/>
  <c r="C57" i="69"/>
  <c r="C56" i="69" s="1"/>
  <c r="AA7" i="40"/>
  <c r="R42" i="40" s="1"/>
  <c r="S7" i="40"/>
  <c r="AC7" i="40"/>
  <c r="V42" i="40" s="1"/>
  <c r="I42" i="40" s="1"/>
  <c r="I46" i="40" s="1"/>
  <c r="J46" i="40" s="1"/>
  <c r="W7" i="40"/>
  <c r="AB7" i="40"/>
  <c r="T42" i="40" s="1"/>
  <c r="G42" i="40" s="1"/>
  <c r="U7" i="40"/>
  <c r="J7" i="39"/>
  <c r="F7" i="39"/>
  <c r="H7" i="39"/>
  <c r="AO8" i="1"/>
  <c r="B8" i="70" l="1"/>
  <c r="B2" i="70" s="1"/>
  <c r="B3" i="70" s="1"/>
  <c r="E8" i="12"/>
  <c r="C4" i="12" s="1"/>
  <c r="B3" i="79"/>
  <c r="E6" i="12" s="1"/>
  <c r="G46" i="40"/>
  <c r="H46" i="40" s="1"/>
  <c r="G47" i="40"/>
  <c r="H47" i="40" s="1"/>
  <c r="R43" i="40"/>
  <c r="E42" i="40"/>
  <c r="AB7" i="39"/>
  <c r="T47" i="39" s="1"/>
  <c r="G47" i="39" s="1"/>
  <c r="U7" i="39"/>
  <c r="S7" i="39"/>
  <c r="AA7" i="39"/>
  <c r="R47" i="39" s="1"/>
  <c r="W7" i="39"/>
  <c r="AC7" i="39"/>
  <c r="V47" i="39" s="1"/>
  <c r="I47" i="39" s="1"/>
  <c r="C31" i="12" l="1"/>
  <c r="C23" i="12"/>
  <c r="C30" i="12" s="1"/>
  <c r="C28" i="12" s="1"/>
  <c r="E47" i="40"/>
  <c r="F47" i="40" s="1"/>
  <c r="I47" i="40"/>
  <c r="J47" i="40" s="1"/>
  <c r="E46" i="40"/>
  <c r="F46" i="40" s="1"/>
  <c r="C43" i="40"/>
  <c r="C42" i="40"/>
  <c r="I51" i="39"/>
  <c r="J51" i="39" s="1"/>
  <c r="R48" i="39"/>
  <c r="E47" i="39"/>
  <c r="G51" i="39"/>
  <c r="H51" i="39" s="1"/>
  <c r="G52" i="39"/>
  <c r="H52" i="39" s="1"/>
  <c r="C27" i="12" l="1"/>
  <c r="C25" i="12" s="1"/>
  <c r="C32" i="12" s="1"/>
  <c r="B2" i="12" s="1"/>
  <c r="B60" i="40"/>
  <c r="F60" i="40" s="1"/>
  <c r="B52" i="40"/>
  <c r="F52" i="40" s="1"/>
  <c r="B55" i="40"/>
  <c r="F55" i="40" s="1"/>
  <c r="B59" i="40"/>
  <c r="F59" i="40" s="1"/>
  <c r="B54" i="40"/>
  <c r="F54" i="40" s="1"/>
  <c r="B58" i="40"/>
  <c r="F58" i="40" s="1"/>
  <c r="B51" i="40"/>
  <c r="F51" i="40" s="1"/>
  <c r="B57" i="40"/>
  <c r="F57" i="40" s="1"/>
  <c r="B56" i="40"/>
  <c r="F56" i="40" s="1"/>
  <c r="B53" i="40"/>
  <c r="F53" i="40" s="1"/>
  <c r="E52" i="39"/>
  <c r="F52" i="39" s="1"/>
  <c r="E51" i="39"/>
  <c r="F51" i="39" s="1"/>
  <c r="C48" i="39"/>
  <c r="C47" i="39"/>
  <c r="I52" i="39"/>
  <c r="J52" i="39" s="1"/>
  <c r="D19" i="9"/>
  <c r="D21" i="9" l="1"/>
  <c r="D102" i="9"/>
  <c r="B3" i="12"/>
  <c r="F61" i="40"/>
  <c r="B2"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20" i="9"/>
  <c r="D103" i="9" l="1"/>
  <c r="B3" i="40"/>
  <c r="C6" i="68"/>
  <c r="C7" i="68" s="1"/>
  <c r="C5" i="68" s="1"/>
  <c r="C20" i="68" l="1"/>
  <c r="C23" i="68"/>
  <c r="C25" i="68" l="1"/>
  <c r="C22" i="68" s="1"/>
  <c r="C28" i="68"/>
  <c r="C27" i="68" s="1"/>
  <c r="C31" i="68" l="1"/>
  <c r="C52" i="68" s="1"/>
  <c r="C57" i="68" s="1"/>
  <c r="C56" i="68" s="1"/>
  <c r="B2" i="68" l="1"/>
  <c r="C19" i="9"/>
  <c r="D22" i="9" l="1"/>
  <c r="G19" i="9"/>
  <c r="G21" i="9" s="1"/>
  <c r="C21" i="9"/>
  <c r="C102" i="9"/>
  <c r="B3" i="68"/>
  <c r="D34" i="9"/>
  <c r="C20" i="9"/>
  <c r="D35" i="9"/>
  <c r="C32" i="9" l="1"/>
  <c r="H118" i="9" s="1"/>
  <c r="H119" i="9" s="1"/>
  <c r="H5" i="52" s="1"/>
  <c r="G20" i="9"/>
  <c r="C103" i="9"/>
  <c r="D14" i="74" l="1"/>
  <c r="F14" i="74" s="1"/>
  <c r="I118" i="9"/>
  <c r="C105" i="9" s="1"/>
  <c r="C35" i="9"/>
  <c r="C34" i="9" s="1"/>
  <c r="D118" i="9" s="1"/>
  <c r="C104" i="9"/>
  <c r="H4" i="52"/>
  <c r="H101" i="9"/>
  <c r="D45" i="9" s="1"/>
  <c r="I4" i="52" l="1"/>
  <c r="H102" i="9"/>
  <c r="D7" i="53" s="1"/>
  <c r="B21" i="72" s="1"/>
  <c r="E14" i="74"/>
  <c r="F118" i="9"/>
  <c r="C93" i="9"/>
  <c r="C86" i="9" s="1"/>
  <c r="C64" i="9"/>
  <c r="C63" i="9" s="1"/>
  <c r="C67" i="9" s="1"/>
  <c r="C68" i="9" s="1"/>
  <c r="D54" i="9" s="1"/>
  <c r="D52" i="9"/>
  <c r="D4" i="52"/>
  <c r="B47" i="72" s="1"/>
  <c r="D119" i="9"/>
  <c r="D5" i="52" s="1"/>
  <c r="B49" i="72" s="1"/>
  <c r="D53" i="9"/>
  <c r="H107" i="9"/>
  <c r="M48" i="9"/>
  <c r="D5" i="53"/>
  <c r="D55" i="9"/>
  <c r="M53" i="9" s="1"/>
  <c r="C72" i="9"/>
  <c r="C78" i="9"/>
  <c r="C73" i="9" s="1"/>
  <c r="C85" i="9"/>
  <c r="C95" i="9" l="1"/>
  <c r="C96" i="9" s="1"/>
  <c r="E96" i="9" s="1"/>
  <c r="E97" i="9" s="1"/>
  <c r="F4" i="52"/>
  <c r="B51" i="72" s="1"/>
  <c r="F119" i="9"/>
  <c r="F5" i="52" s="1"/>
  <c r="B53" i="72" s="1"/>
  <c r="G118" i="9"/>
  <c r="C79" i="9"/>
  <c r="C80" i="9" s="1"/>
  <c r="E80" i="9" s="1"/>
  <c r="E81" i="9" s="1"/>
  <c r="D6" i="53"/>
  <c r="B22" i="72" s="1"/>
  <c r="B20" i="72"/>
  <c r="M49" i="9"/>
  <c r="D122" i="9"/>
  <c r="H108" i="9"/>
  <c r="D15" i="53" s="1"/>
  <c r="B31" i="72" s="1"/>
  <c r="D13" i="53"/>
  <c r="C97" i="9" l="1"/>
  <c r="D58" i="9" s="1"/>
  <c r="D56" i="9" s="1"/>
  <c r="M54" i="9" s="1"/>
  <c r="N57" i="9" s="1"/>
  <c r="N58" i="9" s="1"/>
  <c r="G4" i="52"/>
  <c r="B52" i="72" s="1"/>
  <c r="E118" i="9"/>
  <c r="E4" i="52" s="1"/>
  <c r="B48" i="72" s="1"/>
  <c r="C81" i="9"/>
  <c r="L65" i="9"/>
  <c r="M65" i="9" s="1"/>
  <c r="L66" i="9"/>
  <c r="M66" i="9" s="1"/>
  <c r="L68" i="9"/>
  <c r="M68" i="9" s="1"/>
  <c r="L64" i="9"/>
  <c r="M64" i="9" s="1"/>
  <c r="L67" i="9"/>
  <c r="M67" i="9" s="1"/>
  <c r="L63" i="9"/>
  <c r="M63" i="9" s="1"/>
  <c r="B30" i="72"/>
  <c r="D14" i="53"/>
  <c r="B32" i="72" s="1"/>
  <c r="D8" i="52"/>
  <c r="D123" i="9"/>
  <c r="D9" i="52" s="1"/>
  <c r="G14" i="74"/>
  <c r="N59" i="9" l="1"/>
  <c r="N61" i="9" s="1"/>
  <c r="P57" i="9"/>
  <c r="M69" i="9"/>
  <c r="N69" i="9" s="1"/>
  <c r="B2" i="74"/>
  <c r="N60" i="9" l="1"/>
  <c r="D7" i="74"/>
  <c r="D8" i="74"/>
  <c r="C13" i="80" l="1"/>
  <c r="H13" i="80" l="1"/>
  <c r="F13" i="80"/>
  <c r="J13" i="80"/>
  <c r="AC13" i="80" l="1"/>
  <c r="V44" i="80" s="1"/>
  <c r="I44" i="80" s="1"/>
  <c r="W13" i="80"/>
  <c r="AB13" i="80"/>
  <c r="T44" i="80" s="1"/>
  <c r="G44" i="80" s="1"/>
  <c r="U13" i="80"/>
  <c r="AA13" i="80"/>
  <c r="R44" i="80" s="1"/>
  <c r="S13" i="80"/>
  <c r="R45" i="80" l="1"/>
  <c r="E44" i="80"/>
  <c r="G48" i="80"/>
  <c r="H48" i="80" s="1"/>
  <c r="G49" i="80"/>
  <c r="H49" i="80" s="1"/>
  <c r="I48" i="80"/>
  <c r="J48" i="80" s="1"/>
  <c r="I49" i="80"/>
  <c r="J49" i="80" s="1"/>
  <c r="E49" i="80" l="1"/>
  <c r="F49" i="80" s="1"/>
  <c r="E48" i="80"/>
  <c r="F48" i="80" s="1"/>
  <c r="C45" i="80"/>
  <c r="C44" i="80"/>
  <c r="B55" i="80" l="1"/>
  <c r="F55" i="80" s="1"/>
  <c r="B61" i="80"/>
  <c r="F61" i="80" s="1"/>
  <c r="B62" i="80"/>
  <c r="F62" i="80" s="1"/>
  <c r="B58" i="80"/>
  <c r="F58" i="80" s="1"/>
  <c r="B54" i="80"/>
  <c r="F54" i="80" s="1"/>
  <c r="B57" i="80"/>
  <c r="F57" i="80" s="1"/>
  <c r="B53" i="80"/>
  <c r="F53" i="80" s="1"/>
  <c r="B59" i="80"/>
  <c r="F59" i="80" s="1"/>
  <c r="B60" i="80"/>
  <c r="F60" i="80" s="1"/>
  <c r="B56" i="80"/>
  <c r="F56" i="80" s="1"/>
  <c r="F63" i="80" l="1"/>
  <c r="B2" i="80" s="1"/>
  <c r="B4" i="80" s="1"/>
  <c r="B3" i="80" l="1"/>
  <c r="B5" i="80"/>
  <c r="E15" i="74"/>
  <c r="F15" i="74"/>
  <c r="B5" i="74"/>
  <c r="B6" i="74" l="1"/>
  <c r="D5" i="74"/>
  <c r="C5" i="74"/>
  <c r="D6" i="74" l="1"/>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<sst xmlns="http://schemas.openxmlformats.org/spreadsheetml/2006/main" count="9290" uniqueCount="3501">
  <si>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</si>
  <si>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</si>
  <si>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</si>
  <si>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</si>
  <si>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</si>
  <si>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</si>
  <si>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</si>
  <si>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</si>
  <si>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</si>
  <si>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</si>
  <si>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</si>
  <si>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</si>
  <si>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</si>
  <si>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</si>
  <si>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</si>
  <si>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</si>
  <si>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</si>
  <si>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</si>
  <si>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</si>
  <si>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</si>
  <si>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</si>
  <si>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</si>
  <si>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</si>
  <si>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</si>
  <si>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</si>
  <si>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</si>
  <si>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</si>
  <si>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</si>
  <si>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</si>
  <si>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</si>
  <si>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</si>
  <si>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</si>
  <si>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</si>
  <si>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</si>
  <si>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</si>
  <si>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</si>
  <si>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</si>
  <si>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</si>
  <si>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</si>
  <si>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</si>
  <si>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</si>
  <si>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</si>
  <si>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</si>
  <si>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</si>
  <si>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</si>
  <si>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</si>
  <si>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</si>
  <si>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</si>
  <si>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</si>
  <si>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</si>
  <si>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</si>
  <si>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</si>
  <si>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</si>
  <si>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</si>
  <si>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</si>
  <si>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</si>
  <si>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</si>
  <si>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</si>
  <si>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</si>
  <si>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</si>
  <si>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</si>
  <si>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</si>
  <si>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</si>
  <si>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</si>
  <si>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</si>
  <si>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</si>
  <si>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</si>
  <si>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</si>
  <si>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</si>
  <si>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</si>
  <si>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</si>
  <si>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</si>
  <si>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</si>
  <si>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</si>
  <si>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</si>
  <si>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</si>
  <si>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</si>
  <si>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</si>
  <si>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</si>
  <si>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</si>
  <si>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</si>
  <si>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</si>
  <si>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</si>
  <si>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</si>
  <si>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</si>
  <si>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</si>
  <si>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</si>
  <si>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</si>
  <si>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</si>
  <si>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</si>
  <si>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</si>
  <si>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</si>
  <si>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</si>
  <si>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</si>
  <si>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</si>
  <si>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</si>
  <si>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</si>
  <si>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</si>
  <si>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</si>
  <si>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</si>
  <si>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</si>
  <si>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</si>
  <si>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</si>
  <si>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</si>
  <si>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</si>
  <si>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</si>
  <si>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</si>
  <si>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</si>
  <si>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</si>
  <si>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</si>
  <si>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</si>
  <si>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</si>
  <si>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</si>
  <si>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</si>
  <si>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</si>
  <si>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</si>
  <si>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</si>
  <si>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</si>
  <si>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</si>
  <si>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</si>
  <si>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</si>
  <si>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</si>
  <si>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</si>
  <si>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</si>
  <si>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</si>
  <si>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</si>
  <si>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</si>
  <si>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</si>
  <si>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</si>
  <si>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</si>
  <si>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</si>
  <si>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</si>
  <si>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</si>
  <si>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</si>
  <si>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</si>
  <si>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</si>
  <si>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</si>
  <si>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</si>
  <si>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</si>
  <si>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</si>
  <si>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</si>
  <si>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</si>
  <si>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</si>
  <si>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</si>
  <si>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</si>
  <si>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</si>
  <si>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</si>
  <si>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</si>
  <si>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</si>
  <si>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</si>
  <si>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</si>
  <si>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</si>
  <si>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</si>
  <si>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</si>
  <si>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</si>
  <si>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</si>
  <si>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</si>
  <si>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</si>
  <si>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</si>
  <si>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</si>
  <si>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</si>
  <si>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</si>
  <si>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</si>
  <si>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</si>
  <si>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</si>
  <si>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</si>
  <si>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</si>
  <si>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</si>
  <si>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</si>
  <si>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</si>
  <si>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</si>
  <si>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</si>
  <si>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</si>
  <si>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</si>
  <si>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</si>
  <si>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</si>
  <si>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</si>
  <si>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</si>
  <si>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</si>
  <si>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</si>
  <si>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</si>
  <si>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</si>
  <si>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</si>
  <si>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</si>
  <si>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</si>
  <si>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</si>
  <si>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</si>
  <si>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</si>
  <si>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</si>
  <si>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</si>
  <si>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</si>
  <si>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</si>
  <si>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</si>
  <si>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</si>
  <si>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</si>
  <si>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</si>
  <si>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</si>
  <si>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</si>
  <si>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</si>
  <si>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</si>
  <si>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</si>
  <si>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</si>
  <si>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</si>
  <si>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</si>
  <si>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</si>
  <si>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</si>
  <si>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</si>
  <si>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</si>
  <si>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</si>
  <si>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</si>
  <si>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</si>
  <si>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</si>
  <si>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</si>
  <si>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</si>
  <si>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</si>
  <si>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</si>
  <si>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</si>
  <si>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</si>
  <si>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</si>
  <si>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</si>
  <si>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</si>
  <si>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</si>
  <si>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</si>
  <si>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</si>
  <si>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</si>
  <si>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</si>
  <si>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</si>
  <si>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</si>
  <si>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</si>
  <si>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</si>
  <si>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</si>
  <si>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</si>
  <si>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</si>
  <si>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</si>
  <si>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</si>
  <si>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</si>
  <si>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</si>
  <si>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</si>
  <si>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</si>
  <si>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</si>
  <si>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</si>
  <si>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</si>
  <si>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</si>
  <si>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</si>
  <si>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</si>
  <si>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</si>
  <si>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</si>
  <si>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</si>
  <si>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</si>
  <si>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</si>
  <si>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</si>
  <si>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</si>
  <si>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</si>
  <si>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</si>
  <si>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</si>
  <si>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</si>
  <si>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</si>
  <si>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</si>
  <si>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</si>
  <si>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</si>
  <si>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</si>
  <si>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</si>
  <si>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</si>
  <si>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</si>
  <si>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</si>
  <si>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</si>
  <si>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</si>
  <si>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</si>
  <si>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</si>
  <si>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</si>
  <si>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</si>
  <si>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</si>
  <si>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</si>
  <si>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</si>
  <si>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</si>
  <si>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</si>
  <si>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</si>
  <si>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</si>
  <si>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</si>
  <si>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</si>
  <si>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</si>
  <si>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</si>
  <si>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</si>
  <si>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</si>
  <si>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</si>
  <si>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</si>
  <si>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</si>
  <si>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</si>
  <si>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</si>
  <si>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</si>
  <si>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</si>
  <si>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</si>
  <si>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</si>
  <si>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</si>
  <si>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</si>
  <si>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</si>
  <si>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</si>
  <si>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</si>
  <si>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</si>
  <si>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</si>
  <si>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</si>
  <si>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</si>
  <si>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</si>
  <si>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</si>
  <si>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</si>
  <si>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</si>
  <si>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</si>
  <si>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</si>
  <si>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</si>
  <si>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</si>
  <si>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</si>
  <si>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</si>
  <si>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</si>
  <si>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</si>
  <si>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</si>
  <si>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</si>
  <si>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</si>
  <si>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</si>
  <si>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</si>
  <si>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</si>
  <si>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</si>
  <si>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</si>
  <si>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</si>
  <si>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</si>
  <si>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</si>
  <si>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</si>
  <si>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</si>
  <si>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</si>
  <si>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</si>
  <si>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</si>
  <si>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</si>
  <si>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</si>
  <si>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</si>
  <si>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</si>
  <si>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</si>
  <si>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</si>
  <si>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</si>
  <si>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</si>
  <si>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</si>
  <si>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</si>
  <si>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</si>
  <si>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</si>
  <si>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</si>
  <si>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</si>
  <si>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</si>
  <si>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</si>
  <si>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</si>
  <si>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</si>
  <si>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</si>
  <si>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</si>
  <si>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</si>
  <si>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</si>
  <si>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</si>
  <si>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</si>
  <si>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</si>
  <si>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</si>
  <si>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</si>
  <si>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</si>
  <si>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</si>
  <si>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</si>
  <si>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</si>
  <si>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</si>
  <si>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</si>
  <si>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</si>
  <si>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</si>
  <si>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</si>
  <si>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</si>
  <si>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</si>
  <si>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</si>
  <si>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</si>
  <si>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</si>
  <si>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</si>
  <si>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</si>
  <si>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</si>
  <si>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</si>
  <si>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</si>
  <si>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</si>
  <si>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</si>
  <si>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</si>
  <si>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</si>
  <si>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</si>
  <si>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</si>
  <si>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</si>
  <si>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</si>
  <si>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</si>
  <si>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</si>
  <si>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</si>
  <si>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</si>
  <si>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</si>
  <si>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</si>
  <si>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</si>
  <si>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</si>
  <si>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</si>
  <si>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</si>
  <si>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</si>
  <si>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</si>
  <si>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</si>
  <si>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</si>
  <si>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</si>
  <si>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</si>
  <si>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</si>
  <si>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</si>
  <si>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</si>
  <si>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</si>
  <si>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</si>
  <si>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</si>
  <si>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</si>
  <si>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</si>
  <si>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</si>
  <si>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</si>
  <si>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</si>
  <si>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</si>
  <si>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</si>
  <si>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</si>
  <si>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</si>
  <si>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</si>
  <si>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</si>
  <si>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</si>
  <si>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</si>
  <si>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</si>
  <si>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</si>
  <si>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</si>
  <si>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</si>
  <si>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</si>
  <si>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</si>
  <si>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</si>
  <si>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</si>
  <si>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</si>
  <si>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</si>
  <si>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</si>
  <si>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</si>
  <si>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</si>
  <si>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</si>
  <si>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</si>
  <si>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</si>
  <si>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</si>
  <si>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</si>
  <si>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</si>
  <si>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</si>
  <si>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</si>
  <si>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</si>
  <si>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</si>
  <si>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</si>
  <si>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</si>
  <si>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</si>
  <si>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</si>
  <si>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</si>
  <si>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</si>
  <si>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</si>
  <si>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</si>
  <si>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</si>
  <si>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</si>
  <si>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</si>
  <si>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</si>
  <si>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</si>
  <si>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</si>
  <si>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</si>
  <si>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</si>
  <si>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</si>
  <si>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</si>
  <si>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</si>
  <si>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</si>
  <si>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</si>
  <si>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</si>
  <si>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</si>
  <si>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</si>
  <si>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</si>
  <si>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</si>
  <si>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</si>
  <si>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</si>
  <si>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</si>
  <si>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</si>
  <si>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</si>
  <si>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</si>
  <si>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</si>
  <si>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</si>
  <si>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</si>
  <si>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</si>
  <si>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</si>
  <si>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</si>
  <si>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</si>
  <si>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</si>
  <si>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</si>
  <si>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</si>
  <si>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</si>
  <si>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</si>
  <si>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</si>
  <si>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</si>
  <si>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</si>
  <si>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</si>
  <si>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</si>
  <si>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</si>
  <si>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</si>
  <si>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</si>
  <si>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</si>
  <si>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</si>
  <si>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</si>
  <si>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</si>
  <si>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</si>
  <si>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</si>
  <si>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</si>
  <si>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</si>
  <si>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</si>
  <si>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</si>
  <si>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</si>
  <si>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</si>
  <si>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</si>
  <si>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</si>
  <si>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</si>
  <si>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</si>
  <si>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</si>
  <si>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</si>
  <si>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</si>
  <si>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</si>
  <si>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</si>
  <si>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</si>
  <si>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</si>
  <si>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</si>
  <si>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</si>
  <si>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</si>
  <si>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</si>
  <si>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</si>
  <si>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</si>
  <si>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</si>
  <si>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</si>
  <si>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</si>
  <si>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</si>
  <si>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</si>
  <si>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</si>
  <si>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</si>
  <si>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</si>
  <si>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</si>
  <si>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</si>
  <si>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</si>
  <si>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</si>
  <si>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</si>
  <si>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</si>
  <si>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</si>
  <si>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</si>
  <si>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</si>
  <si>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</si>
  <si>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</si>
  <si>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</si>
  <si>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</si>
  <si>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</si>
  <si>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</si>
  <si>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</si>
  <si>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</si>
  <si>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</si>
  <si>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</si>
  <si>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</si>
  <si>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</si>
  <si>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</si>
  <si>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</si>
  <si>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</si>
  <si>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</si>
  <si>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</si>
  <si>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</si>
  <si>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</si>
  <si>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</si>
  <si>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</si>
  <si>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</si>
  <si>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</si>
  <si>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</si>
  <si>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</si>
  <si>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</si>
  <si>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</si>
  <si>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</si>
  <si>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</si>
  <si>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</si>
  <si>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</si>
  <si>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</si>
  <si>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</si>
  <si>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</si>
  <si>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</si>
  <si>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</si>
  <si>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</si>
  <si>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</si>
  <si>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</si>
  <si>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</si>
  <si>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</si>
  <si>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</si>
  <si>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</si>
  <si>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</si>
  <si>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</si>
  <si>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</si>
  <si>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</si>
  <si>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</si>
  <si>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</si>
  <si>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</si>
  <si>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</si>
  <si>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</si>
  <si>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</si>
  <si>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</si>
  <si>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</si>
  <si>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</si>
  <si>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</si>
  <si>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</si>
  <si>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</si>
  <si>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</si>
  <si>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</si>
  <si>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</si>
  <si>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</si>
  <si>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</si>
  <si>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</si>
  <si>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</si>
  <si>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</si>
  <si>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</si>
  <si>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</si>
  <si>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</si>
  <si>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</si>
  <si>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</si>
  <si>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</si>
  <si>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</si>
  <si>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</si>
  <si>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</si>
  <si>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</si>
  <si>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</si>
  <si>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</si>
  <si>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</si>
  <si>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</si>
  <si>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</si>
  <si>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</si>
  <si>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</si>
  <si>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</si>
  <si>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</si>
  <si>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</si>
  <si>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</si>
  <si>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</si>
  <si>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</si>
  <si>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</si>
  <si>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</si>
  <si>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</si>
  <si>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</si>
  <si>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</si>
  <si>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</si>
  <si>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</si>
  <si>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</si>
  <si>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</si>
  <si>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</si>
  <si>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</si>
  <si>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</si>
  <si>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</si>
  <si>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</si>
  <si>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</si>
  <si>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</si>
  <si>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</si>
  <si>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</si>
  <si>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</si>
  <si>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</si>
  <si>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</si>
  <si>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</si>
  <si>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</si>
  <si>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</si>
  <si>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</si>
  <si>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</si>
  <si>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</si>
  <si>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</si>
  <si>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</si>
  <si>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</si>
  <si>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</si>
  <si>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</si>
  <si>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</si>
  <si>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</si>
  <si>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</si>
  <si>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</si>
  <si>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</si>
  <si>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</si>
  <si>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</si>
  <si>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</si>
  <si>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</si>
  <si>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</si>
  <si>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</si>
  <si>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</si>
  <si>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</si>
  <si>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</si>
  <si>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</si>
  <si>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</si>
  <si>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</si>
  <si>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</si>
  <si>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</si>
  <si>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</si>
  <si>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</si>
  <si>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</si>
  <si>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</si>
  <si>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</si>
  <si>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</si>
  <si>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</si>
  <si>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</si>
  <si>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</si>
  <si>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</si>
  <si>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</si>
  <si>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</si>
  <si>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</si>
  <si>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</si>
  <si>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</si>
  <si>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</si>
  <si>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</si>
  <si>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</si>
  <si>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</si>
  <si>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</si>
  <si>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</si>
  <si>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</si>
  <si>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</si>
  <si>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</si>
  <si>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</si>
  <si>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</si>
  <si>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</si>
  <si>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</si>
  <si>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</si>
  <si>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</si>
  <si>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</si>
  <si>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</si>
  <si>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</si>
  <si>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</si>
  <si>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</si>
  <si>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</si>
  <si>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</si>
  <si>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</si>
  <si>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</si>
  <si>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</si>
  <si>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</si>
  <si>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</si>
  <si>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</si>
  <si>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</si>
  <si>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</si>
  <si>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</si>
  <si>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</si>
  <si>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</si>
  <si>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</si>
  <si>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</si>
  <si>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</si>
  <si>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</si>
  <si>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</si>
  <si>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</si>
  <si>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</si>
  <si>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</si>
  <si>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</si>
  <si>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</si>
  <si>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</si>
  <si>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</si>
  <si>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</si>
  <si>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</si>
  <si>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</si>
  <si>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</si>
  <si>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</si>
  <si>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</si>
  <si>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</si>
  <si>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</si>
  <si>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</si>
  <si>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</si>
  <si>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</si>
  <si>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</si>
  <si>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</si>
  <si>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</si>
  <si>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</si>
  <si>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</si>
  <si>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</si>
  <si>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</si>
  <si>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</si>
  <si>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</si>
  <si>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</si>
  <si>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</si>
  <si>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</si>
  <si>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</si>
  <si>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</si>
  <si>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</si>
  <si>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</si>
  <si>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</si>
  <si>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</si>
  <si>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</si>
  <si>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</si>
  <si>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</si>
  <si>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</si>
  <si>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</si>
  <si>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</si>
  <si>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</si>
  <si>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</si>
  <si>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</si>
  <si>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</si>
  <si>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</si>
  <si>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</si>
  <si>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</si>
  <si>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</si>
  <si>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</si>
  <si>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</si>
  <si>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</si>
  <si>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</si>
  <si>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</si>
  <si>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</si>
  <si>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</si>
  <si>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</si>
  <si>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</si>
  <si>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</si>
  <si>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</si>
  <si>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</si>
  <si>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</si>
  <si>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</si>
  <si>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</si>
  <si>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</si>
  <si>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</si>
  <si>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</si>
  <si>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</si>
  <si>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</si>
  <si>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</si>
  <si>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</si>
  <si>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</si>
  <si>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</si>
  <si>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</si>
  <si>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</si>
  <si>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</si>
  <si>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</si>
  <si>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</si>
  <si>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</si>
  <si>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</si>
  <si>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</si>
  <si>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</si>
  <si>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</si>
  <si>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</si>
  <si>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</si>
  <si>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</si>
  <si>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</si>
  <si>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</si>
  <si>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</si>
  <si>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</si>
  <si>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</si>
  <si>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</si>
  <si>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</si>
  <si>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</si>
  <si>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</si>
  <si>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</si>
  <si>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</si>
  <si>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</si>
  <si>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</si>
  <si>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</si>
  <si>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</si>
  <si>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</si>
  <si>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</si>
  <si>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</si>
  <si>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</si>
  <si>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</si>
  <si>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</si>
  <si>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</si>
  <si>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</si>
  <si>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</si>
  <si>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</si>
  <si>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</si>
  <si>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</si>
  <si>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</si>
  <si>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</si>
  <si>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</si>
  <si>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</si>
  <si>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</si>
  <si>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</si>
  <si>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</si>
  <si>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</si>
  <si>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</si>
  <si>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</si>
  <si>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</si>
  <si>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</si>
  <si>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</si>
  <si>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</si>
  <si>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</si>
  <si>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</si>
  <si>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</si>
  <si>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</si>
  <si>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</si>
  <si>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</si>
  <si>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</si>
  <si>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</si>
  <si>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</si>
  <si>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</si>
  <si>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</si>
  <si>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</si>
  <si>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</si>
  <si>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</si>
  <si>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</si>
  <si>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</si>
  <si>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</si>
  <si>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</si>
  <si>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</si>
  <si>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</si>
  <si>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</si>
  <si>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</si>
  <si>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</si>
  <si>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</si>
  <si>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</si>
  <si>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</si>
  <si>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</si>
  <si>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</si>
  <si>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</si>
  <si>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</si>
  <si>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</si>
  <si>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</si>
  <si>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</si>
  <si>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</si>
  <si>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</si>
  <si>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</si>
  <si>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</si>
  <si>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</si>
  <si>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</si>
  <si>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</si>
  <si>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</si>
  <si>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</si>
  <si>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</si>
  <si>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</si>
  <si>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</si>
  <si>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</si>
  <si>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</si>
  <si>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</si>
  <si>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</si>
  <si>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</si>
  <si>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</si>
  <si>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</si>
  <si>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</si>
  <si>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</si>
  <si>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</si>
  <si>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</si>
  <si>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</si>
  <si>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</si>
  <si>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</si>
  <si>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</si>
  <si>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</si>
  <si>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</si>
  <si>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</si>
  <si>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</si>
  <si>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</si>
  <si>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</si>
  <si>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</si>
  <si>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</si>
  <si>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</si>
  <si>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</si>
  <si>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</si>
  <si>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</si>
  <si>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</si>
  <si>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</si>
  <si>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</si>
  <si>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</si>
  <si>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</si>
  <si>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</si>
  <si>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</si>
  <si>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</si>
  <si>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</si>
  <si>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</si>
  <si>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</si>
  <si>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</si>
  <si>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</si>
  <si>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</si>
  <si>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</si>
  <si>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</si>
  <si>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</si>
  <si>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</si>
  <si>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</si>
  <si>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</si>
  <si>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</si>
  <si>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</si>
  <si>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</si>
  <si>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</si>
  <si>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</si>
  <si>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</si>
  <si>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</si>
  <si>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</si>
  <si>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</si>
  <si>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</si>
  <si>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</si>
  <si>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</si>
  <si>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</si>
  <si>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</si>
  <si>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</si>
  <si>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</si>
  <si>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</si>
  <si>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</si>
  <si>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</si>
  <si>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</si>
  <si>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</si>
  <si>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</si>
  <si>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</si>
  <si>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</si>
  <si>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</si>
  <si>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</si>
  <si>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</si>
  <si>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</si>
  <si>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</si>
  <si>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</si>
  <si>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</si>
  <si>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</si>
  <si>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</si>
  <si>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</si>
  <si>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</si>
  <si>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</si>
  <si>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</si>
  <si>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</si>
  <si>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</si>
  <si>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</si>
  <si>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</si>
  <si>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</si>
  <si>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</si>
  <si>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</si>
  <si>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</si>
  <si>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</si>
  <si>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</si>
  <si>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</si>
  <si>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</si>
  <si>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</si>
  <si>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</si>
  <si>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</si>
  <si>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</si>
  <si>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</si>
  <si>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</si>
  <si>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</si>
  <si>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</si>
  <si>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</si>
  <si>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</si>
  <si>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</si>
  <si>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</si>
  <si>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</si>
  <si>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</si>
  <si>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</si>
  <si>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</si>
  <si>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</si>
  <si>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</si>
  <si>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</si>
  <si>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</si>
  <si>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</si>
  <si>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</si>
  <si>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</si>
  <si>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</si>
  <si>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</si>
  <si>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</si>
  <si>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</si>
  <si>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</si>
  <si>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</si>
  <si>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</si>
  <si>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</si>
  <si>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</si>
  <si>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</si>
  <si>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</si>
  <si>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</si>
  <si>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</si>
  <si>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</si>
  <si>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</si>
  <si>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</si>
  <si>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</si>
  <si>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</si>
  <si>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</si>
  <si>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</si>
  <si>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</si>
  <si>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</si>
  <si>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</si>
  <si>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</si>
  <si>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</si>
  <si>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</si>
  <si>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</si>
  <si>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</si>
  <si>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</si>
  <si>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</si>
  <si>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</si>
  <si>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</si>
  <si>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</si>
  <si>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</si>
  <si>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</si>
  <si>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</si>
  <si>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</si>
  <si>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</si>
  <si>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</si>
  <si>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</si>
  <si>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</si>
  <si>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</si>
  <si>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</si>
  <si>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</si>
  <si>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</si>
  <si>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</si>
  <si>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</si>
  <si>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</si>
  <si>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</si>
  <si>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</si>
  <si>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</si>
  <si>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</si>
  <si>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</si>
  <si>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</si>
  <si>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</si>
  <si>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</si>
  <si>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</si>
  <si>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</si>
  <si>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</si>
  <si>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</si>
  <si>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</si>
  <si>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</si>
  <si>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</si>
  <si>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</si>
  <si>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</si>
  <si>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</si>
  <si>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</si>
  <si>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</si>
  <si>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</si>
  <si>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</si>
  <si>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</si>
  <si>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</si>
  <si>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</si>
  <si>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</si>
  <si>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</si>
  <si>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</si>
  <si>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</si>
  <si>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</si>
  <si>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</si>
  <si>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</si>
  <si>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</si>
  <si>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</si>
  <si>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</si>
  <si>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</si>
  <si>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</si>
  <si>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</si>
  <si>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</si>
  <si>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</si>
  <si>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</si>
  <si>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</si>
  <si>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</si>
  <si>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</si>
  <si>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</si>
  <si>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</si>
  <si>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</si>
  <si>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</si>
  <si>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</si>
  <si>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</si>
  <si>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</si>
  <si>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</si>
  <si>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</si>
  <si>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</si>
  <si>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</si>
  <si>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</si>
  <si>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</si>
  <si>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</si>
  <si>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</si>
  <si>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</si>
  <si>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</si>
  <si>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</si>
  <si>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</si>
  <si>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</si>
  <si>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</si>
  <si>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</si>
  <si>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</si>
  <si>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</si>
  <si>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</si>
  <si>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</si>
  <si>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</si>
  <si>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</si>
  <si>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</si>
  <si>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</si>
  <si>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</si>
  <si>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</si>
  <si>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</si>
  <si>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</si>
  <si>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</si>
  <si>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</si>
  <si>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</si>
  <si>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</si>
  <si>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</si>
  <si>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</si>
  <si>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</si>
  <si>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</si>
  <si>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</si>
  <si>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</si>
  <si>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</si>
  <si>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</si>
  <si>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</si>
  <si>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</si>
  <si>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</si>
  <si>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</si>
  <si>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</si>
  <si>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</si>
  <si>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</si>
  <si>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</si>
  <si>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</si>
  <si>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</si>
  <si>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</si>
  <si>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</si>
  <si>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</si>
  <si>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</si>
  <si>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</si>
  <si>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</si>
  <si>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</si>
  <si>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</si>
  <si>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</si>
  <si>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</si>
  <si>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</si>
  <si>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</si>
  <si>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</si>
  <si>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</si>
  <si>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</si>
  <si>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</si>
  <si>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</si>
  <si>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</si>
  <si>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</si>
  <si>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</si>
  <si>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</si>
  <si>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</si>
  <si>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</si>
  <si>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</si>
  <si>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</si>
  <si>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</si>
  <si>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</si>
  <si>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</si>
  <si>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</si>
  <si>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</si>
  <si>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</si>
  <si>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</si>
  <si>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</si>
  <si>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</si>
  <si>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</si>
  <si>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</si>
  <si>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</si>
  <si>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</si>
  <si>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</si>
  <si>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</si>
  <si>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</si>
  <si>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</si>
  <si>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</si>
  <si>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</si>
  <si>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</si>
  <si>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</si>
  <si>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</si>
  <si>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</si>
  <si>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</si>
  <si>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</si>
  <si>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</si>
  <si>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</si>
  <si>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</si>
  <si>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</si>
  <si>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</si>
  <si>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</si>
  <si>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</si>
  <si>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</si>
  <si>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</si>
  <si>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</si>
  <si>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</si>
  <si>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</si>
  <si>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</si>
  <si>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</si>
  <si>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</si>
  <si>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</si>
  <si>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</si>
  <si>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</si>
  <si>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</si>
  <si>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</si>
  <si>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</si>
  <si>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</si>
  <si>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</si>
  <si>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</si>
  <si>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</si>
  <si>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</si>
  <si>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</si>
  <si>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</si>
  <si>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</si>
  <si>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</si>
  <si>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</si>
  <si>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</si>
  <si>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</si>
  <si>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</si>
  <si>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</si>
  <si>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</si>
  <si>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</si>
  <si>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</si>
  <si>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</si>
  <si>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</si>
  <si>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</si>
  <si>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</si>
  <si>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</si>
  <si>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</si>
  <si>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</si>
  <si>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</si>
  <si>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</si>
  <si>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</si>
  <si>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</si>
  <si>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</si>
  <si>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</si>
  <si>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</si>
  <si>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</si>
  <si>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</si>
  <si>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</si>
  <si>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</si>
  <si>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</si>
  <si>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</si>
  <si>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</si>
  <si>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</si>
  <si>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</si>
  <si>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</si>
  <si>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</si>
  <si>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</si>
  <si>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</si>
  <si>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</si>
  <si>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</si>
  <si>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</si>
  <si>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</si>
  <si>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</si>
  <si>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</si>
  <si>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</si>
  <si>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</si>
  <si>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</si>
  <si>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</si>
  <si>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</si>
  <si>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</si>
  <si>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</si>
  <si>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</si>
  <si>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</si>
  <si>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</si>
  <si>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</si>
  <si>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</si>
  <si>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</si>
  <si>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</si>
  <si>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</si>
  <si>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</si>
  <si>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</si>
  <si>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</si>
  <si>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</si>
  <si>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</si>
  <si>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</si>
  <si>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</si>
  <si>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</si>
  <si>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</si>
  <si>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</si>
  <si>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</si>
  <si>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</si>
  <si>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</si>
  <si>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</si>
  <si>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</si>
  <si>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</si>
  <si>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</si>
  <si>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</si>
  <si>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</si>
  <si>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</si>
  <si>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</si>
  <si>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</si>
  <si>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</si>
  <si>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</si>
  <si>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</si>
  <si>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</si>
  <si>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</si>
  <si>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</si>
  <si>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</si>
  <si>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</si>
  <si>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</si>
  <si>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</si>
  <si>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</si>
  <si>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</si>
  <si>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</si>
  <si>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</si>
  <si>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</si>
  <si>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</si>
  <si>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</si>
  <si>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</si>
  <si>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</si>
  <si>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</si>
  <si>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</si>
  <si>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</si>
  <si>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</si>
  <si>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</si>
  <si>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</si>
  <si>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</si>
  <si>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</si>
  <si>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</si>
  <si>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</si>
  <si>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</si>
  <si>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</si>
  <si>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</si>
  <si>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</si>
  <si>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</si>
  <si>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</si>
  <si>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</si>
  <si>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</si>
  <si>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</si>
  <si>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</si>
  <si>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</si>
  <si>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</si>
  <si>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</si>
  <si>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</si>
  <si>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</si>
  <si>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</si>
  <si>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</si>
  <si>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</si>
  <si>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</si>
  <si>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</si>
  <si>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</si>
  <si>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</si>
  <si>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</si>
  <si>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</si>
  <si>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</si>
  <si>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</si>
  <si>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</si>
  <si>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</si>
  <si>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</si>
  <si>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</si>
  <si>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</si>
  <si>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</si>
  <si>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</si>
  <si>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</si>
  <si>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</si>
  <si>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</si>
  <si>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</si>
  <si>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</si>
  <si>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</si>
  <si>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</si>
  <si>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</si>
  <si>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</si>
  <si>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</si>
  <si>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</si>
  <si>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</si>
  <si>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</si>
  <si>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</si>
  <si>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</si>
  <si>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</si>
  <si>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</si>
  <si>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</si>
  <si>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</si>
  <si>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</si>
  <si>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</si>
  <si>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</si>
  <si>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</si>
  <si>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</si>
  <si>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</si>
  <si>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</si>
  <si>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</si>
  <si>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</si>
  <si>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</si>
  <si>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</si>
  <si>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</si>
  <si>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</si>
  <si>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</si>
  <si>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</si>
  <si>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</si>
  <si>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</si>
  <si>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</si>
  <si>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</si>
  <si>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</si>
  <si>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</si>
  <si>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</si>
  <si>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</si>
  <si>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</si>
  <si>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</si>
  <si>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</si>
  <si>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</si>
  <si>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</si>
  <si>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</si>
  <si>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</si>
  <si>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</si>
  <si>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</si>
  <si>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</si>
  <si>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</si>
  <si>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</si>
  <si>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</si>
  <si>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</si>
  <si>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</si>
  <si>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</si>
  <si>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</si>
  <si>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</si>
  <si>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</si>
  <si>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</si>
  <si>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</si>
  <si>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</si>
  <si>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</si>
  <si>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</si>
  <si>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</si>
  <si>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</si>
  <si>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</si>
  <si>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</si>
  <si>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</si>
  <si>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</si>
  <si>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</si>
  <si>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</si>
  <si>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</si>
  <si>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</si>
  <si>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</si>
  <si>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</si>
  <si>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</si>
  <si>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</si>
  <si>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</si>
  <si>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</si>
  <si>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</si>
  <si>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</si>
  <si>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</si>
  <si>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</si>
  <si>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</si>
  <si>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</si>
  <si>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</si>
  <si>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</si>
  <si>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</si>
  <si>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</si>
  <si>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</si>
  <si>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</si>
  <si>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</si>
  <si>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</si>
  <si>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</si>
  <si>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</si>
  <si>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</si>
  <si>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</si>
  <si>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</si>
  <si>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</si>
  <si>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</si>
  <si>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</si>
  <si>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</si>
  <si>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</si>
  <si>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</si>
  <si>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</si>
  <si>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</si>
  <si>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</si>
  <si>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</si>
  <si>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</si>
  <si>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</si>
  <si>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</si>
  <si>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</si>
  <si>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</si>
  <si>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</si>
  <si>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</si>
  <si>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</si>
  <si>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</si>
  <si>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</si>
  <si>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</si>
  <si>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</si>
  <si>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</si>
  <si>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</si>
  <si>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</si>
  <si>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</si>
  <si>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</si>
  <si>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</si>
  <si>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</si>
  <si>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</si>
  <si>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</si>
  <si>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</si>
  <si>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</si>
  <si>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</si>
  <si>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</si>
  <si>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</si>
  <si>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</si>
  <si>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</si>
  <si>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</si>
  <si>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</si>
  <si>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</si>
  <si>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</si>
  <si>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</si>
  <si>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</si>
  <si>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</si>
  <si>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</si>
  <si>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</si>
  <si>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</si>
  <si>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</si>
  <si>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</si>
  <si>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</si>
  <si>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</si>
  <si>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</si>
  <si>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</si>
  <si>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</si>
  <si>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</si>
  <si>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</si>
  <si>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</si>
  <si>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</si>
  <si>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</si>
  <si>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</si>
  <si>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</si>
  <si>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</si>
  <si>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</si>
  <si>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</si>
  <si>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</si>
  <si>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</si>
  <si>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</si>
  <si>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</si>
  <si>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</si>
  <si>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</si>
  <si>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</si>
  <si>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</si>
  <si>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</si>
  <si>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</si>
  <si>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</si>
  <si>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</si>
  <si>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</si>
  <si>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</si>
  <si>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</si>
  <si>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</si>
  <si>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</si>
  <si>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</si>
  <si>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</si>
  <si>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</si>
  <si>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</si>
  <si>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</si>
  <si>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</si>
  <si>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</si>
  <si>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</si>
  <si>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</si>
  <si>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</si>
  <si>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</si>
  <si>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</si>
  <si>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</si>
  <si>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</si>
  <si>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</si>
  <si>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</si>
  <si>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</si>
  <si>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</si>
  <si>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</si>
  <si>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</si>
  <si>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</si>
  <si>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</si>
  <si>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</si>
  <si>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</si>
  <si>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</si>
  <si>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</si>
  <si>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</si>
  <si>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</si>
  <si>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</si>
  <si>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</si>
  <si>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</si>
  <si>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</si>
  <si>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</si>
  <si>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</si>
  <si>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</si>
  <si>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</si>
  <si>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</si>
  <si>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</si>
  <si>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</si>
  <si>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</si>
  <si>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</si>
  <si>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</si>
  <si>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</si>
  <si>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</si>
  <si>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</si>
  <si>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</si>
  <si>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</si>
  <si>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</si>
  <si>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</si>
  <si>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</si>
  <si>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</si>
  <si>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</si>
  <si>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</si>
  <si>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</si>
  <si>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</si>
  <si>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</si>
  <si>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</si>
  <si>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</si>
  <si>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</si>
  <si>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</si>
  <si>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</si>
  <si>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</si>
  <si>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</si>
  <si>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</si>
  <si>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</si>
  <si>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</si>
  <si>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</si>
  <si>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</si>
  <si>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</si>
  <si>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</si>
  <si>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</si>
  <si>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</si>
  <si>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</si>
  <si>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</si>
  <si>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</si>
  <si>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</si>
  <si>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</si>
  <si>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</si>
  <si>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</si>
  <si>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</si>
  <si>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</si>
  <si>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</si>
  <si>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</si>
  <si>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</si>
  <si>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</si>
  <si>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</si>
  <si>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</si>
  <si>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</si>
  <si>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</si>
  <si>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</si>
  <si>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</si>
  <si>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</si>
  <si>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</si>
  <si>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</si>
  <si>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</si>
  <si>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</si>
  <si>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</si>
  <si>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</si>
  <si>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</si>
  <si>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</si>
  <si>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</si>
  <si>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</si>
  <si>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</si>
  <si>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</si>
  <si>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</si>
  <si>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</si>
  <si>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</si>
  <si>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</si>
  <si>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</si>
  <si>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</si>
  <si>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</si>
  <si>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</si>
  <si>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</si>
  <si>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</si>
  <si>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</si>
  <si>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</si>
  <si>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</si>
  <si>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</si>
  <si>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</si>
  <si>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</si>
  <si>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</si>
  <si>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</si>
  <si>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</si>
  <si>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</si>
  <si>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</si>
  <si>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</si>
  <si>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</si>
  <si>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</si>
  <si>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</si>
  <si>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</si>
  <si>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</si>
  <si>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</si>
  <si>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</si>
  <si>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</si>
  <si>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</si>
  <si>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</si>
  <si>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</si>
  <si>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</si>
  <si>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</si>
  <si>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</si>
  <si>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</si>
  <si>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</si>
  <si>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</si>
  <si>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</si>
  <si>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</si>
  <si>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</si>
  <si>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</si>
  <si>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</si>
  <si>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</si>
  <si>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</si>
  <si>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</si>
  <si>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</si>
  <si>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</si>
  <si>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</si>
  <si>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</si>
  <si>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</si>
  <si>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</si>
  <si>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</si>
  <si>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</si>
  <si>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</si>
  <si>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</si>
  <si>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</si>
  <si>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</si>
  <si>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</si>
  <si>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</si>
  <si>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</si>
  <si>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</si>
  <si>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</si>
  <si>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</si>
  <si>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</si>
  <si>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</si>
  <si>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</si>
  <si>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</si>
  <si>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</si>
  <si>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</si>
  <si>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</si>
  <si>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</si>
  <si>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</si>
  <si>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</si>
  <si>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</si>
  <si>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</si>
  <si>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</si>
  <si>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</si>
  <si>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</si>
  <si>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</si>
  <si>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</si>
  <si>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</si>
  <si>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</si>
  <si>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</si>
  <si>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</si>
  <si>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</si>
  <si>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</si>
  <si>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</si>
  <si>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</si>
  <si>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</si>
  <si>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</si>
  <si>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</si>
  <si>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</si>
  <si>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</si>
  <si>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</si>
  <si>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</si>
  <si>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</si>
  <si>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</si>
  <si>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</si>
  <si>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</si>
  <si>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</si>
  <si>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</si>
  <si>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</si>
  <si>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</si>
  <si>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</si>
  <si>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</si>
  <si>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</si>
  <si>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</si>
  <si>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</si>
  <si>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</si>
  <si>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</si>
  <si>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</si>
  <si>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</si>
  <si>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</si>
  <si>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</si>
  <si>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</si>
  <si>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</si>
  <si>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</si>
  <si>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</si>
  <si>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</si>
  <si>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</si>
  <si>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</si>
  <si>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</si>
  <si>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</si>
  <si>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</si>
  <si>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</si>
  <si>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</si>
  <si>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</si>
  <si>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</si>
  <si>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</si>
  <si>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</si>
  <si>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</si>
  <si>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</si>
  <si>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</si>
  <si>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</si>
  <si>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</si>
  <si>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</si>
  <si>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</si>
  <si>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</si>
  <si>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</si>
  <si>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</si>
  <si>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</si>
  <si>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</si>
  <si>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</si>
  <si>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</si>
  <si>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</si>
  <si>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</si>
  <si>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</si>
  <si>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</si>
  <si>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</si>
  <si>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</si>
  <si>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</si>
  <si>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</si>
  <si>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</si>
  <si>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</si>
  <si>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</si>
  <si>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</si>
  <si>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</si>
  <si>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</si>
  <si>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</si>
  <si>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</si>
  <si>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</si>
  <si>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</si>
  <si>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</si>
  <si>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</si>
  <si>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</si>
  <si>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</si>
  <si>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</si>
  <si>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</si>
  <si>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</si>
  <si>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</si>
  <si>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</si>
  <si>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</si>
  <si>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</si>
  <si>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</si>
  <si>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</si>
  <si>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</si>
  <si>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</si>
  <si>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</si>
  <si>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</si>
  <si>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</si>
  <si>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</si>
  <si>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</si>
  <si>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</si>
  <si>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</si>
  <si>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</si>
  <si>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</si>
  <si>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</si>
  <si>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</si>
  <si>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</si>
  <si>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</si>
  <si>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</si>
  <si>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</si>
  <si>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</si>
  <si>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</si>
  <si>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</si>
  <si>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</si>
  <si>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</si>
  <si>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</si>
  <si>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</si>
  <si>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</si>
  <si>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</si>
  <si>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</si>
  <si>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</si>
  <si>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</si>
  <si>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</si>
  <si>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</si>
  <si>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</si>
  <si>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</si>
  <si>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</si>
  <si>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</si>
  <si>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</si>
  <si>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</si>
  <si>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</si>
  <si>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</si>
  <si>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</si>
  <si>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</si>
  <si>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</si>
  <si>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</si>
  <si>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</si>
  <si>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</si>
  <si>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</si>
  <si>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</si>
  <si>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</si>
  <si>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</si>
  <si>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</si>
  <si>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</si>
  <si>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</si>
  <si>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</si>
  <si>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</si>
  <si>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</si>
  <si>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</si>
  <si>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</si>
  <si>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</si>
  <si>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</si>
  <si>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</si>
  <si>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</si>
  <si>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</si>
  <si>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</si>
  <si>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</si>
  <si>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</si>
  <si>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</si>
  <si>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</si>
  <si>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</si>
  <si>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</si>
  <si>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</si>
  <si>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</si>
  <si>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</si>
  <si>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</si>
  <si>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</si>
  <si>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</si>
  <si>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</si>
  <si>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</si>
  <si>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</si>
  <si>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</si>
  <si>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</si>
  <si>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</si>
  <si>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</si>
  <si>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</si>
  <si>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</si>
  <si>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</si>
  <si>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</si>
  <si>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</si>
  <si>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</si>
  <si>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</si>
  <si>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</si>
  <si>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</si>
  <si>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</si>
  <si>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</si>
  <si>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</si>
  <si>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</si>
  <si>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</si>
  <si>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</si>
  <si>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</si>
  <si>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</si>
  <si>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</si>
  <si>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</si>
  <si>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</si>
  <si>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</si>
  <si>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</si>
  <si>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</si>
  <si>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</si>
  <si>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</si>
  <si>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</si>
  <si>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</si>
  <si>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</si>
  <si>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</si>
  <si>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</si>
  <si>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</si>
  <si>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</si>
  <si>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</si>
  <si>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</si>
  <si>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</si>
  <si>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</si>
  <si>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</si>
  <si>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</si>
  <si>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</si>
  <si>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</si>
  <si>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</si>
  <si>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</si>
  <si>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</si>
  <si>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</si>
  <si>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</si>
  <si>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</si>
  <si>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</si>
  <si>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</si>
  <si>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</si>
  <si>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</si>
  <si>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</si>
  <si>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</si>
  <si>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</si>
  <si>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</si>
  <si>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</si>
  <si>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</si>
  <si>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</si>
  <si>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</si>
  <si>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</si>
  <si>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</si>
  <si>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</si>
  <si>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</si>
  <si>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</si>
  <si>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</si>
  <si>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</si>
  <si>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</si>
  <si>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</si>
  <si>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</si>
  <si>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</si>
  <si>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</si>
  <si>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</si>
  <si>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</si>
  <si>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</si>
  <si>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</si>
  <si>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</si>
  <si>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</si>
  <si>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</si>
  <si>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</si>
  <si>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</si>
  <si>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</si>
  <si>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</si>
  <si>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</si>
  <si>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</si>
  <si>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</si>
  <si>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</si>
  <si>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</si>
  <si>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</si>
  <si>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</si>
  <si>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</si>
  <si>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</si>
  <si>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</si>
  <si>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</si>
  <si>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</si>
  <si>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</si>
  <si>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</si>
  <si>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</si>
  <si>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</si>
  <si>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</si>
  <si>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</si>
  <si>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</si>
  <si>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</si>
  <si>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</si>
  <si>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</si>
  <si>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</si>
  <si>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</si>
  <si>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</si>
  <si>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</si>
  <si>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</si>
  <si>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</si>
  <si>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</si>
  <si>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</si>
  <si>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</si>
  <si>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</si>
  <si>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</si>
  <si>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</si>
  <si>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</si>
  <si>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</si>
  <si>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</si>
  <si>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</si>
  <si>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</si>
  <si>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</si>
  <si>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</si>
  <si>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</si>
  <si>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</si>
  <si>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</si>
  <si>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</si>
  <si>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</si>
  <si>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</si>
  <si>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</si>
  <si>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</si>
  <si>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</si>
  <si>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</si>
  <si>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</si>
  <si>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</si>
  <si>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</si>
  <si>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</si>
  <si>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</si>
  <si>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</si>
  <si>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</si>
  <si>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</si>
  <si>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</si>
  <si>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</si>
  <si>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</si>
  <si>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</si>
  <si>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</si>
  <si>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</si>
  <si>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</si>
  <si>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</si>
  <si>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</si>
  <si>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</si>
  <si>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</si>
  <si>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</si>
  <si>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</si>
  <si>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</si>
  <si>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</si>
  <si>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</si>
  <si>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</si>
  <si>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</si>
  <si>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</si>
  <si>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</si>
  <si>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</si>
  <si>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</si>
  <si>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</si>
  <si>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</si>
  <si>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</si>
  <si>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</si>
  <si>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</si>
  <si>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</si>
  <si>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</si>
  <si>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</si>
  <si>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</si>
  <si>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</si>
  <si>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</si>
  <si>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</si>
  <si>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</si>
  <si>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</si>
  <si>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</si>
  <si>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</si>
  <si>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</si>
  <si>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</si>
  <si>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</si>
  <si>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</si>
  <si>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</si>
  <si>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</si>
  <si>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</si>
  <si>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</si>
  <si>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</si>
  <si>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</si>
  <si>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</si>
  <si>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</si>
  <si>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</si>
  <si>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</si>
  <si>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</si>
  <si>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</si>
  <si>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</si>
  <si>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</si>
  <si>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</si>
  <si>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</si>
  <si>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</si>
  <si>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</si>
  <si>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</si>
  <si>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</si>
  <si>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</si>
  <si>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</si>
  <si>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</si>
  <si>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</si>
  <si>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</si>
  <si>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</si>
  <si>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</si>
  <si>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</si>
  <si>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</si>
  <si>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</si>
  <si>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</si>
  <si>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</si>
  <si>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</si>
  <si>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</si>
  <si>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</si>
  <si>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</si>
  <si>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</si>
  <si>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</si>
  <si>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</si>
  <si>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</si>
  <si>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</si>
  <si>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</si>
  <si>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</si>
  <si>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</si>
  <si>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</si>
  <si>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</si>
  <si>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</si>
  <si>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</si>
  <si>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</si>
  <si>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</si>
  <si>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</si>
  <si>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</si>
  <si>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</si>
  <si>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</si>
  <si>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</si>
  <si>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</si>
  <si>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</si>
  <si>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</si>
  <si>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</si>
  <si>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</si>
  <si>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</si>
  <si>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</si>
  <si>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</si>
  <si>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</si>
  <si>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</si>
  <si>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</si>
  <si>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</si>
  <si>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</si>
  <si>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</si>
  <si>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</si>
  <si>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</si>
  <si>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</si>
  <si>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</si>
  <si>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</si>
  <si>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</si>
  <si>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</si>
  <si>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</si>
  <si>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</si>
  <si>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</si>
  <si>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</si>
  <si>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</si>
  <si>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</si>
  <si>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</si>
  <si>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</si>
  <si>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</si>
  <si>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</si>
  <si>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</si>
  <si>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</si>
  <si>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</si>
  <si>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</si>
  <si>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</si>
  <si>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</si>
  <si>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</si>
  <si>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</si>
  <si>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</si>
  <si>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</si>
  <si>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</si>
  <si>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</si>
  <si>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</si>
  <si>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</si>
  <si>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</si>
  <si>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</si>
  <si>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</si>
  <si>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</si>
  <si>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</si>
  <si>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</si>
  <si>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</si>
  <si>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</si>
  <si>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</si>
  <si>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</si>
  <si>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</si>
  <si>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</si>
  <si>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</si>
  <si>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</si>
  <si>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</si>
  <si>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</si>
  <si>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</si>
  <si>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</si>
  <si>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</si>
  <si>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</si>
  <si>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</si>
  <si>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</si>
  <si>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</si>
  <si>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</si>
  <si>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</si>
  <si>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</si>
  <si>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</si>
  <si>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</si>
  <si>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</si>
  <si>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</si>
  <si>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</si>
  <si>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</si>
  <si>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</si>
  <si>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</si>
  <si>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</si>
  <si>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</si>
  <si>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</si>
  <si>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</si>
  <si>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</si>
  <si>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</si>
  <si>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</si>
  <si>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</si>
  <si>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</si>
  <si>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</si>
  <si>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</si>
  <si>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</si>
  <si>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</si>
  <si>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</si>
  <si>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</si>
  <si>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</si>
  <si>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</si>
  <si>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</si>
  <si>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</si>
  <si>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</si>
  <si>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</si>
  <si>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</si>
  <si>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</si>
  <si>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</si>
  <si>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</si>
  <si>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</si>
  <si>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</si>
  <si>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</si>
  <si>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</si>
  <si>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</si>
  <si>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</si>
  <si>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</si>
  <si>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</si>
  <si>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</si>
  <si>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</si>
  <si>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</si>
  <si>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</si>
  <si>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</si>
  <si>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</si>
  <si>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</si>
  <si>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</si>
  <si>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</si>
  <si>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</si>
  <si>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</si>
  <si>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</si>
  <si>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</si>
  <si>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</si>
  <si>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</si>
  <si>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</si>
  <si>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</si>
  <si>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</si>
  <si>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</si>
  <si>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</si>
  <si>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</si>
  <si>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</si>
  <si>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</si>
  <si>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</si>
  <si>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</si>
  <si>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</si>
  <si>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</si>
  <si>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</si>
  <si>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</si>
  <si>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</si>
  <si>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</si>
  <si>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</si>
  <si>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</si>
  <si>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</si>
  <si>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</si>
  <si>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</si>
  <si>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</si>
  <si>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</si>
  <si>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</si>
  <si>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</si>
  <si>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</si>
  <si>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</si>
  <si>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</si>
  <si>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</si>
  <si>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</si>
  <si>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</si>
  <si>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</si>
  <si>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</si>
  <si>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</si>
  <si>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</si>
  <si>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</si>
  <si>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</si>
  <si>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</si>
  <si>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</si>
  <si>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</si>
  <si>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</si>
  <si>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</si>
  <si>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</si>
  <si>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</si>
  <si>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</si>
  <si>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</si>
  <si>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</si>
  <si>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</si>
  <si>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</si>
  <si>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</si>
  <si>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</si>
  <si>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</si>
  <si>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</si>
  <si>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</si>
  <si>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</si>
  <si>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</si>
  <si>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</si>
  <si>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</si>
  <si>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</si>
  <si>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</si>
  <si>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</si>
  <si>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</si>
  <si>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</si>
  <si>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</si>
  <si>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</si>
  <si>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</si>
  <si>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</si>
  <si>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</si>
  <si>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</si>
  <si>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</si>
  <si>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</si>
  <si>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</si>
  <si>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</si>
  <si>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</si>
  <si>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</si>
  <si>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</si>
  <si>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</si>
  <si>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</si>
  <si>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</si>
  <si>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</si>
  <si>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</si>
  <si>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</si>
  <si>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</si>
  <si>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</si>
  <si>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</si>
  <si>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</si>
  <si>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</si>
  <si>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</si>
  <si>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</si>
  <si>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</si>
  <si>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</si>
  <si>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</si>
  <si>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</si>
  <si>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</si>
  <si>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</si>
  <si>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</si>
  <si>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</si>
  <si>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</si>
  <si>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</si>
  <si>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</si>
  <si>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</si>
  <si>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</si>
  <si>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</si>
  <si>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</si>
  <si>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</si>
  <si>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</si>
  <si>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</si>
  <si>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</si>
  <si>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</si>
  <si>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</si>
  <si>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</si>
  <si>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</si>
  <si>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</si>
  <si>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</si>
  <si>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</si>
  <si>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</si>
  <si>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</si>
  <si>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</si>
  <si>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</si>
  <si>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</si>
  <si>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</si>
  <si>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</si>
  <si>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</si>
  <si>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</si>
  <si>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</si>
  <si>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</si>
  <si>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</si>
  <si>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</si>
  <si>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</si>
  <si>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</si>
  <si>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</si>
  <si>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</si>
  <si>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</si>
  <si>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</si>
  <si>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</si>
  <si>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</si>
  <si>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</si>
  <si>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</si>
  <si>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</si>
  <si>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</si>
  <si>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</si>
  <si>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</si>
  <si>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</si>
  <si>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</si>
  <si>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</si>
  <si>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</si>
  <si>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</si>
  <si>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</si>
  <si>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</si>
  <si>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</si>
  <si>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</si>
  <si>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</si>
  <si>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</si>
  <si>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</si>
  <si>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</si>
  <si>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</si>
  <si>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</si>
  <si>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</si>
  <si>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</si>
  <si>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</si>
  <si>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</si>
  <si>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</si>
  <si>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</si>
  <si>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</si>
  <si>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</si>
  <si>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</si>
  <si>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</si>
  <si>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</si>
  <si>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</si>
  <si>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</si>
  <si>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</si>
  <si>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</si>
  <si>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</si>
  <si>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</si>
  <si>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</si>
  <si>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</si>
  <si>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</si>
  <si>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</si>
  <si>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</si>
  <si>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</si>
  <si>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</si>
  <si>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</si>
  <si>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</si>
  <si>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</si>
  <si>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</si>
  <si>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</si>
  <si>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</si>
  <si>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</si>
  <si>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</si>
  <si>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</si>
  <si>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</si>
  <si>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</si>
  <si>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</si>
  <si>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</si>
  <si>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</si>
  <si>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</si>
  <si>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</si>
  <si>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</si>
  <si>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</si>
  <si>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</si>
  <si>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</si>
  <si>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</si>
  <si>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</si>
  <si>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</si>
  <si>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</si>
  <si>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</si>
  <si>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</si>
  <si>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</si>
  <si>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</si>
  <si>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</si>
  <si>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</si>
  <si>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</si>
  <si>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</si>
  <si>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</si>
  <si>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</si>
  <si>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</si>
  <si>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</si>
  <si>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</si>
  <si>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</si>
  <si>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</si>
  <si>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</si>
  <si>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</si>
  <si>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</si>
  <si>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</si>
  <si>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</si>
  <si>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</si>
  <si>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</si>
  <si>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</si>
  <si>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</si>
  <si>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</si>
  <si>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</si>
  <si>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</si>
  <si>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</si>
  <si>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</si>
  <si>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</si>
  <si>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</si>
  <si>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</si>
  <si>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</si>
  <si>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</si>
  <si>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</si>
  <si>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</si>
  <si>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</si>
  <si>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</si>
  <si>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</si>
  <si>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</si>
  <si>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</si>
  <si>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</si>
  <si>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</si>
  <si>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</si>
  <si>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</si>
  <si>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</si>
  <si>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</si>
  <si>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</si>
  <si>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</si>
  <si>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</si>
  <si>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</si>
  <si>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</si>
  <si>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</si>
  <si>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</si>
  <si>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</si>
  <si>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</si>
  <si>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</si>
  <si>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</si>
  <si>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</si>
  <si>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</si>
  <si>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</si>
  <si>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</si>
  <si>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</si>
  <si>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</si>
  <si>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</si>
  <si>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</si>
  <si>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</si>
  <si>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</si>
  <si>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</si>
  <si>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</si>
  <si>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</si>
  <si>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</si>
  <si>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</si>
  <si>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</si>
  <si>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</si>
  <si>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</si>
  <si>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</si>
  <si>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</si>
  <si>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</si>
  <si>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</si>
  <si>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</si>
  <si>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</si>
  <si>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</si>
  <si>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</si>
  <si>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</si>
  <si>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</si>
  <si>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</si>
  <si>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</si>
  <si>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</si>
  <si>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</si>
  <si>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</si>
  <si>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</si>
  <si>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</si>
  <si>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</si>
  <si>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</si>
  <si>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</si>
  <si>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</si>
  <si>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</si>
  <si>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</si>
  <si>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</si>
  <si>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</si>
  <si>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</si>
  <si>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</si>
  <si>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</si>
  <si>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</si>
  <si>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</si>
  <si>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</si>
  <si>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</si>
  <si>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</si>
  <si>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</si>
  <si>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</si>
  <si>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</si>
  <si>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</si>
  <si>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</si>
  <si>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</si>
  <si>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</si>
  <si>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</si>
  <si>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</si>
  <si>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</si>
  <si>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</si>
  <si>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</si>
  <si>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</si>
  <si>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</si>
  <si>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</si>
  <si>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</si>
  <si>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</si>
  <si>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</si>
  <si>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</si>
  <si>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</si>
  <si>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</si>
  <si>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</si>
  <si>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</si>
  <si>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</si>
  <si>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</si>
  <si>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</si>
  <si>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</si>
  <si>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</si>
  <si>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</si>
  <si>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</si>
  <si>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</si>
  <si>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</si>
  <si>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</si>
  <si>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</si>
  <si>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</si>
  <si>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</si>
  <si>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</si>
  <si>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</si>
  <si>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</si>
  <si>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</si>
  <si>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</si>
  <si>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</si>
  <si>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</si>
  <si>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</si>
  <si>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</si>
  <si>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</si>
  <si>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</si>
  <si>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</si>
  <si>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</si>
  <si>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</si>
  <si>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</si>
  <si>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</si>
  <si>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</si>
  <si>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</si>
  <si>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</si>
  <si>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</si>
  <si>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</si>
  <si>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</si>
  <si>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</si>
  <si>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</si>
  <si>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</si>
  <si>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</si>
  <si>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</si>
  <si>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</si>
  <si>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</si>
  <si>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</si>
  <si>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</si>
  <si>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</si>
  <si>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</si>
  <si>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</si>
  <si>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</si>
  <si>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</si>
  <si>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</si>
  <si>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</si>
  <si>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</si>
  <si>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</si>
  <si>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</si>
  <si>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</si>
  <si>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</si>
  <si>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</si>
  <si>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</si>
  <si>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</si>
  <si>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</si>
  <si>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</si>
  <si>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</si>
  <si>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</si>
  <si>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</si>
  <si>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</si>
  <si>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</si>
  <si>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</si>
  <si>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</si>
  <si>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</si>
  <si>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</si>
  <si>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</si>
  <si>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</si>
  <si>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</si>
  <si>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</si>
  <si>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</si>
  <si>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</si>
  <si>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</si>
  <si>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</si>
  <si>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</si>
  <si>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</si>
  <si>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</si>
  <si>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</si>
  <si>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</si>
  <si>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</si>
  <si>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</si>
  <si>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</si>
  <si>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</si>
  <si>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</si>
  <si>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</si>
  <si>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</si>
  <si>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</si>
  <si>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</si>
  <si>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</si>
  <si>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</si>
  <si>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</si>
  <si>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</si>
  <si>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</si>
  <si>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</si>
  <si>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</si>
  <si>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</si>
  <si>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</si>
  <si>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</si>
  <si>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</si>
  <si>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</si>
  <si>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</si>
  <si>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</si>
  <si>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</si>
  <si>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</si>
  <si>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</si>
  <si>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</si>
  <si>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</si>
  <si>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</si>
  <si>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</si>
  <si>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</si>
  <si>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</si>
  <si>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</si>
  <si>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</si>
  <si>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</si>
  <si>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</si>
  <si>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</si>
  <si>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</si>
  <si>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</si>
  <si>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</si>
  <si>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</si>
  <si>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</si>
  <si>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</si>
  <si>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</si>
  <si>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</si>
  <si>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</si>
  <si>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</si>
  <si>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</si>
  <si>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</si>
  <si>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</si>
  <si>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</si>
  <si>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</si>
  <si>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</si>
  <si>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</si>
  <si>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</si>
  <si>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</si>
  <si>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</si>
  <si>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</si>
  <si>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</si>
  <si>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</si>
  <si>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</si>
  <si>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</si>
  <si>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</si>
  <si>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</si>
  <si>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</si>
  <si>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</si>
  <si>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</si>
  <si>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</si>
  <si>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</si>
  <si>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</si>
  <si>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</si>
  <si>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</si>
  <si>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</si>
  <si>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</si>
  <si>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</si>
  <si>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</si>
  <si>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</si>
  <si>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</si>
  <si>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</si>
  <si>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</si>
  <si>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</si>
  <si>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</si>
  <si>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</si>
  <si>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</si>
  <si>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</si>
  <si>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</si>
  <si>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</si>
  <si>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</si>
  <si>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</si>
  <si>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</si>
  <si>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</si>
  <si>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</si>
  <si>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</si>
  <si>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</si>
  <si>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</si>
  <si>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</si>
  <si>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</si>
  <si>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</si>
  <si>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</si>
  <si>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</si>
  <si>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</si>
  <si>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</si>
  <si>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</si>
  <si>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</si>
  <si>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</si>
  <si>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</si>
  <si>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</si>
  <si>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</si>
  <si>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</si>
  <si>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</si>
  <si>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</si>
  <si>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</si>
  <si>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</si>
  <si>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</si>
  <si>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</si>
  <si>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</si>
  <si>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</si>
  <si>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</si>
  <si>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</si>
  <si>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</si>
  <si>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</si>
  <si>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</si>
  <si>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</si>
  <si>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</si>
  <si>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</si>
  <si>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</si>
  <si>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</si>
  <si>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</si>
  <si>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</si>
  <si>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</si>
  <si>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</si>
  <si>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</si>
  <si>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</si>
  <si>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</si>
  <si>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</si>
  <si>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</si>
  <si>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</si>
  <si>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</si>
  <si>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</si>
  <si>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</si>
  <si>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</si>
  <si>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</si>
  <si>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</si>
  <si>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</si>
  <si>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</si>
  <si>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</si>
  <si>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</si>
  <si>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</si>
  <si>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</si>
  <si>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</si>
  <si>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</si>
  <si>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</si>
  <si>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</si>
  <si>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</si>
  <si>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</si>
  <si>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</si>
  <si>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</si>
  <si>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</si>
  <si>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</si>
  <si>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</si>
  <si>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</si>
  <si>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</si>
  <si>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</si>
  <si>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</si>
  <si>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</si>
  <si>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</si>
  <si>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</si>
  <si>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</si>
  <si>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</si>
  <si>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</si>
  <si>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</si>
  <si>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</si>
  <si>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</si>
  <si>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</si>
  <si>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</si>
  <si>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</si>
  <si>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</si>
  <si>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</si>
  <si>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</si>
  <si>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</si>
  <si>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</si>
  <si>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</si>
  <si>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</si>
  <si>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</si>
  <si>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</si>
  <si>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</si>
  <si>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</si>
  <si>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</si>
  <si>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</si>
  <si>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</si>
  <si>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</si>
  <si>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</si>
  <si>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</si>
  <si>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</si>
  <si>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</si>
  <si>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</si>
  <si>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</si>
  <si>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</si>
  <si>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</si>
  <si>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</si>
  <si>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</si>
  <si>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</si>
  <si>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</si>
  <si>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</si>
  <si>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</si>
  <si>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</si>
  <si>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</si>
  <si>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</si>
  <si>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</si>
  <si>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</si>
  <si>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</si>
  <si>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</si>
  <si>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</si>
  <si>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</si>
  <si>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</si>
  <si>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</si>
  <si>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</si>
  <si>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</si>
  <si>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</si>
  <si>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</si>
  <si>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</si>
  <si>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</si>
  <si>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</si>
  <si>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</si>
  <si>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</si>
  <si>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</si>
  <si>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</si>
  <si>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</si>
  <si>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</si>
  <si>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</si>
  <si>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</si>
  <si>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</si>
  <si>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</si>
  <si>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</si>
  <si>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</si>
  <si>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</si>
  <si>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</si>
  <si>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</si>
  <si>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</si>
  <si>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</si>
  <si>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</si>
  <si>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</si>
  <si>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</si>
  <si>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</si>
  <si>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</si>
  <si>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</si>
  <si>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</si>
  <si>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</si>
  <si>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</si>
  <si>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</si>
  <si>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</si>
  <si>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</si>
  <si>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</si>
  <si>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</si>
  <si>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</si>
  <si>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</si>
  <si>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</si>
  <si>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</si>
  <si>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</si>
  <si>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</si>
  <si>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</si>
  <si>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</si>
  <si>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</si>
  <si>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</si>
  <si>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</si>
  <si>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</si>
  <si>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</si>
  <si>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</si>
  <si>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</si>
  <si>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</si>
  <si>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</si>
  <si>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</si>
  <si>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</si>
  <si>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</si>
  <si>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</si>
  <si>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</si>
  <si>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</si>
  <si>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</si>
  <si>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</si>
  <si>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</si>
  <si>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</si>
  <si>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</si>
  <si>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</si>
  <si>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</si>
  <si>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</si>
  <si>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</si>
  <si>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</si>
  <si>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</si>
  <si>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</si>
  <si>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</si>
  <si>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</si>
  <si>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</si>
  <si>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</si>
  <si>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</si>
  <si>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</si>
  <si>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</si>
  <si>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</si>
  <si>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</si>
  <si>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</si>
  <si>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</si>
  <si>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</si>
  <si>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</si>
  <si>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</si>
  <si>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</si>
  <si>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</si>
  <si>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</si>
  <si>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</si>
  <si>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</si>
  <si>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</si>
  <si>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</si>
  <si>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</si>
  <si>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</si>
  <si>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</si>
  <si>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</si>
  <si>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</si>
  <si>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</si>
  <si>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</si>
  <si>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</si>
  <si>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</si>
  <si>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</si>
  <si>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</si>
  <si>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</si>
  <si>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</si>
  <si>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</si>
  <si>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</si>
  <si>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</si>
  <si>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吴薇</t>
  </si>
  <si>
    <t>前期成本</t>
    <phoneticPr fontId="143" type="noConversion"/>
  </si>
  <si>
    <t>出让金</t>
    <phoneticPr fontId="143" type="noConversion"/>
  </si>
  <si>
    <t>保证金转地价款</t>
    <phoneticPr fontId="143" type="noConversion"/>
  </si>
  <si>
    <t>城市基础建设费</t>
    <phoneticPr fontId="143" type="noConversion"/>
  </si>
  <si>
    <t>契税</t>
    <phoneticPr fontId="143" type="noConversion"/>
  </si>
  <si>
    <r>
      <t>1</t>
    </r>
    <r>
      <rPr>
        <sz val="11"/>
        <color theme="1"/>
        <rFont val="宋体"/>
        <family val="3"/>
        <charset val="134"/>
        <scheme val="minor"/>
      </rPr>
      <t>#综合厂房</t>
    </r>
    <phoneticPr fontId="143" type="noConversion"/>
  </si>
  <si>
    <t>总建筑面积</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</si>
  <si>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</si>
  <si>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</si>
  <si>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</si>
  <si>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</si>
  <si>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#集体宿舍</t>
    </r>
    <phoneticPr fontId="143" type="noConversion"/>
  </si>
  <si>
    <t>地下（一期A组团）</t>
    <phoneticPr fontId="143" type="noConversion"/>
  </si>
  <si>
    <t>汽车库</t>
    <phoneticPr fontId="143" type="noConversion"/>
  </si>
  <si>
    <t>餐厅、厨房</t>
    <phoneticPr fontId="143" type="noConversion"/>
  </si>
  <si>
    <t>厂房</t>
    <phoneticPr fontId="143" type="noConversion"/>
  </si>
  <si>
    <t>设备机房及其他</t>
    <phoneticPr fontId="143" type="noConversion"/>
  </si>
  <si>
    <r>
      <t>2</t>
    </r>
    <r>
      <rPr>
        <sz val="11"/>
        <color theme="1"/>
        <rFont val="宋体"/>
        <family val="3"/>
        <charset val="134"/>
        <scheme val="minor"/>
      </rPr>
      <t>#厂房</t>
    </r>
    <phoneticPr fontId="143" type="noConversion"/>
  </si>
  <si>
    <r>
      <t>3#厂房</t>
    </r>
    <r>
      <rPr>
        <sz val="11"/>
        <color theme="1"/>
        <rFont val="宋体"/>
        <family val="3"/>
        <charset val="134"/>
        <scheme val="minor"/>
      </rPr>
      <t/>
    </r>
  </si>
  <si>
    <r>
      <t>4#厂房</t>
    </r>
    <r>
      <rPr>
        <sz val="11"/>
        <color theme="1"/>
        <rFont val="宋体"/>
        <family val="3"/>
        <charset val="134"/>
        <scheme val="minor"/>
      </rPr>
      <t/>
    </r>
  </si>
  <si>
    <r>
      <t>5#厂房</t>
    </r>
    <r>
      <rPr>
        <sz val="11"/>
        <color theme="1"/>
        <rFont val="宋体"/>
        <family val="3"/>
        <charset val="134"/>
        <scheme val="minor"/>
      </rPr>
      <t/>
    </r>
  </si>
  <si>
    <r>
      <t>6#厂房</t>
    </r>
    <r>
      <rPr>
        <sz val="11"/>
        <color theme="1"/>
        <rFont val="宋体"/>
        <family val="3"/>
        <charset val="134"/>
        <scheme val="minor"/>
      </rPr>
      <t/>
    </r>
  </si>
  <si>
    <r>
      <t>7#厂房</t>
    </r>
    <r>
      <rPr>
        <sz val="11"/>
        <color theme="1"/>
        <rFont val="宋体"/>
        <family val="3"/>
        <charset val="134"/>
        <scheme val="minor"/>
      </rPr>
      <t/>
    </r>
  </si>
  <si>
    <r>
      <t>8#厂房</t>
    </r>
    <r>
      <rPr>
        <sz val="11"/>
        <color theme="1"/>
        <rFont val="宋体"/>
        <family val="3"/>
        <charset val="134"/>
        <scheme val="minor"/>
      </rPr>
      <t/>
    </r>
  </si>
  <si>
    <r>
      <t>9#厂房</t>
    </r>
    <r>
      <rPr>
        <sz val="11"/>
        <color theme="1"/>
        <rFont val="宋体"/>
        <family val="3"/>
        <charset val="134"/>
        <scheme val="minor"/>
      </rPr>
      <t/>
    </r>
  </si>
  <si>
    <r>
      <t>10#厂房</t>
    </r>
    <r>
      <rPr>
        <sz val="11"/>
        <color theme="1"/>
        <rFont val="宋体"/>
        <family val="3"/>
        <charset val="134"/>
        <scheme val="minor"/>
      </rPr>
      <t/>
    </r>
  </si>
  <si>
    <r>
      <t>11#厂房</t>
    </r>
    <r>
      <rPr>
        <sz val="11"/>
        <color theme="1"/>
        <rFont val="宋体"/>
        <family val="3"/>
        <charset val="134"/>
        <scheme val="minor"/>
      </rPr>
      <t/>
    </r>
  </si>
  <si>
    <r>
      <t>12#厂房</t>
    </r>
    <r>
      <rPr>
        <sz val="11"/>
        <color theme="1"/>
        <rFont val="宋体"/>
        <family val="3"/>
        <charset val="134"/>
        <scheme val="minor"/>
      </rPr>
      <t/>
    </r>
  </si>
  <si>
    <r>
      <t>13#厂房</t>
    </r>
    <r>
      <rPr>
        <sz val="11"/>
        <color theme="1"/>
        <rFont val="宋体"/>
        <family val="3"/>
        <charset val="134"/>
        <scheme val="minor"/>
      </rPr>
      <t/>
    </r>
  </si>
  <si>
    <r>
      <t>14#厂房</t>
    </r>
    <r>
      <rPr>
        <sz val="11"/>
        <color theme="1"/>
        <rFont val="宋体"/>
        <family val="3"/>
        <charset val="134"/>
        <scheme val="minor"/>
      </rPr>
      <t/>
    </r>
  </si>
  <si>
    <r>
      <t>15#厂房</t>
    </r>
    <r>
      <rPr>
        <sz val="11"/>
        <color theme="1"/>
        <rFont val="宋体"/>
        <family val="3"/>
        <charset val="134"/>
        <scheme val="minor"/>
      </rPr>
      <t/>
    </r>
  </si>
  <si>
    <r>
      <t>16#厂房</t>
    </r>
    <r>
      <rPr>
        <sz val="11"/>
        <color theme="1"/>
        <rFont val="宋体"/>
        <family val="3"/>
        <charset val="134"/>
        <scheme val="minor"/>
      </rPr>
      <t/>
    </r>
  </si>
  <si>
    <r>
      <t>17#厂房</t>
    </r>
    <r>
      <rPr>
        <sz val="11"/>
        <color theme="1"/>
        <rFont val="宋体"/>
        <family val="3"/>
        <charset val="134"/>
        <scheme val="minor"/>
      </rPr>
      <t/>
    </r>
  </si>
  <si>
    <t>51#变配电站</t>
    <phoneticPr fontId="143" type="noConversion"/>
  </si>
  <si>
    <t>地下（一期B组团）</t>
    <phoneticPr fontId="143" type="noConversion"/>
  </si>
  <si>
    <t>一期A组团小计</t>
    <phoneticPr fontId="143" type="noConversion"/>
  </si>
  <si>
    <t>一期B组团小计</t>
    <phoneticPr fontId="143" type="noConversion"/>
  </si>
  <si>
    <t>总计</t>
    <phoneticPr fontId="143" type="noConversion"/>
  </si>
  <si>
    <t>总</t>
    <phoneticPr fontId="143" type="noConversion"/>
  </si>
  <si>
    <t>建筑面积</t>
    <phoneticPr fontId="143" type="noConversion"/>
  </si>
  <si>
    <t>土地面积</t>
    <phoneticPr fontId="143" type="noConversion"/>
  </si>
  <si>
    <t>厂房</t>
    <phoneticPr fontId="3" type="noConversion"/>
  </si>
  <si>
    <t>地下车库</t>
    <phoneticPr fontId="3" type="noConversion"/>
  </si>
  <si>
    <t>地下厂房</t>
    <phoneticPr fontId="3" type="noConversion"/>
  </si>
  <si>
    <t>设备用房</t>
    <phoneticPr fontId="3" type="noConversion"/>
  </si>
  <si>
    <t>标准厂房</t>
  </si>
  <si>
    <t>车库</t>
  </si>
  <si>
    <t>是</t>
  </si>
  <si>
    <t>厂房</t>
    <phoneticPr fontId="7" type="noConversion"/>
  </si>
  <si>
    <t>地下厂房</t>
    <phoneticPr fontId="7" type="noConversion"/>
  </si>
  <si>
    <t>地下车库</t>
    <phoneticPr fontId="7" type="noConversion"/>
  </si>
  <si>
    <t>地下厂房</t>
    <phoneticPr fontId="143" type="noConversion"/>
  </si>
  <si>
    <t>地下车库</t>
    <phoneticPr fontId="143" type="noConversion"/>
  </si>
  <si>
    <t>地上设备用房</t>
    <phoneticPr fontId="143" type="noConversion"/>
  </si>
  <si>
    <t>地下设备用房</t>
    <phoneticPr fontId="143" type="noConversion"/>
  </si>
  <si>
    <t>工程进度</t>
    <phoneticPr fontId="143" type="noConversion"/>
  </si>
  <si>
    <t>建筑面积</t>
    <phoneticPr fontId="143" type="noConversion"/>
  </si>
  <si>
    <t>工业用地</t>
  </si>
  <si>
    <t>不临58条商业街</t>
  </si>
  <si>
    <t>无</t>
  </si>
  <si>
    <t>1000米以外</t>
  </si>
  <si>
    <t>容积率修正</t>
  </si>
  <si>
    <t>通路</t>
  </si>
  <si>
    <t>通电</t>
  </si>
  <si>
    <t>通讯</t>
  </si>
  <si>
    <t>通上水</t>
  </si>
  <si>
    <t>通下水</t>
  </si>
  <si>
    <t>通热</t>
  </si>
  <si>
    <t>燃气</t>
  </si>
  <si>
    <t>未包含在土地购买价格中</t>
  </si>
  <si>
    <t>已包含在土地取得成本中</t>
  </si>
  <si>
    <t>全部缴纳</t>
  </si>
  <si>
    <t>厂房</t>
  </si>
  <si>
    <t>地下厂房</t>
  </si>
  <si>
    <t>已全部缴纳</t>
  </si>
  <si>
    <t>收益法</t>
  </si>
  <si>
    <t>押一</t>
  </si>
  <si>
    <t>按租金收入计税</t>
  </si>
  <si>
    <t>钢混</t>
  </si>
  <si>
    <t>非生产用房</t>
  </si>
  <si>
    <t>否</t>
  </si>
  <si>
    <t>收益法地下车库</t>
  </si>
  <si>
    <t>收益法地下车库</t>
    <phoneticPr fontId="16" type="noConversion"/>
  </si>
  <si>
    <t>收益法地下厂房</t>
  </si>
  <si>
    <t>收益法地下厂房</t>
    <phoneticPr fontId="16" type="noConversion"/>
  </si>
  <si>
    <t>成本法</t>
  </si>
  <si>
    <t>假设开发法</t>
  </si>
  <si>
    <t>一般</t>
  </si>
  <si>
    <t>较好</t>
  </si>
  <si>
    <t>好</t>
  </si>
  <si>
    <t>自定义</t>
  </si>
  <si>
    <t>成本比率</t>
  </si>
  <si>
    <t>中粮（北京）农业生态谷发展有限公司</t>
    <phoneticPr fontId="6" type="noConversion"/>
  </si>
  <si>
    <t>中国工商银行股份有限公司北京朝阳支行</t>
    <phoneticPr fontId="6" type="noConversion"/>
  </si>
  <si>
    <t>中粮（北京）农业生态谷发展有限公司</t>
    <phoneticPr fontId="6" type="noConversion"/>
  </si>
  <si>
    <r>
      <rPr>
        <sz val="12"/>
        <color theme="9" tint="-0.249977111117893"/>
        <rFont val="宋体"/>
        <family val="3"/>
        <charset val="134"/>
      </rPr>
      <t>房山区琉璃河镇中心区</t>
    </r>
    <r>
      <rPr>
        <sz val="12"/>
        <color theme="9" tint="-0.249977111117893"/>
        <rFont val="Arial"/>
        <family val="2"/>
      </rPr>
      <t>E-07</t>
    </r>
    <r>
      <rPr>
        <sz val="12"/>
        <color theme="9" tint="-0.249977111117893"/>
        <rFont val="宋体"/>
        <family val="3"/>
        <charset val="134"/>
      </rPr>
      <t>地块</t>
    </r>
    <r>
      <rPr>
        <sz val="12"/>
        <color theme="9" tint="-0.249977111117893"/>
        <rFont val="Arial"/>
        <family val="2"/>
      </rPr>
      <t>1#</t>
    </r>
    <r>
      <rPr>
        <sz val="12"/>
        <color theme="9" tint="-0.249977111117893"/>
        <rFont val="宋体"/>
        <family val="3"/>
        <charset val="134"/>
      </rPr>
      <t>综合厂房等</t>
    </r>
    <r>
      <rPr>
        <sz val="12"/>
        <color theme="9" tint="-0.249977111117893"/>
        <rFont val="Arial"/>
        <family val="2"/>
      </rPr>
      <t>3</t>
    </r>
    <r>
      <rPr>
        <sz val="12"/>
        <color theme="9" tint="-0.249977111117893"/>
        <rFont val="宋体"/>
        <family val="3"/>
        <charset val="134"/>
      </rPr>
      <t>项、</t>
    </r>
    <r>
      <rPr>
        <sz val="12"/>
        <color theme="9" tint="-0.249977111117893"/>
        <rFont val="Arial"/>
        <family val="2"/>
      </rPr>
      <t>2#</t>
    </r>
    <r>
      <rPr>
        <sz val="12"/>
        <color theme="9" tint="-0.249977111117893"/>
        <rFont val="宋体"/>
        <family val="3"/>
        <charset val="134"/>
      </rPr>
      <t>厂房等</t>
    </r>
    <r>
      <rPr>
        <sz val="12"/>
        <color theme="9" tint="-0.249977111117893"/>
        <rFont val="Arial"/>
        <family val="2"/>
      </rPr>
      <t>18</t>
    </r>
    <r>
      <rPr>
        <sz val="12"/>
        <color theme="9" tint="-0.249977111117893"/>
        <rFont val="宋体"/>
        <family val="3"/>
        <charset val="134"/>
      </rPr>
      <t>项（中粮科技园标准厂房及配套附属设施建设项目）</t>
    </r>
    <phoneticPr fontId="6" type="noConversion"/>
  </si>
  <si>
    <t>工业、地下车库</t>
    <phoneticPr fontId="6" type="noConversion"/>
  </si>
  <si>
    <r>
      <rPr>
        <sz val="12"/>
        <color theme="9" tint="-0.249977111117893"/>
        <rFont val="宋体"/>
        <family val="3"/>
        <charset val="134"/>
      </rPr>
      <t>工业</t>
    </r>
    <r>
      <rPr>
        <sz val="12"/>
        <color theme="9" tint="-0.249977111117893"/>
        <rFont val="Arial"/>
        <family val="2"/>
      </rPr>
      <t>45.68</t>
    </r>
    <r>
      <rPr>
        <sz val="12"/>
        <color theme="9" tint="-0.249977111117893"/>
        <rFont val="宋体"/>
        <family val="3"/>
        <charset val="134"/>
      </rPr>
      <t>年、地下车库</t>
    </r>
    <r>
      <rPr>
        <sz val="12"/>
        <color theme="9" tint="-0.249977111117893"/>
        <rFont val="Arial"/>
        <family val="2"/>
      </rPr>
      <t>45.68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</si>
  <si>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00080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及估价委托人介绍</t>
    </r>
    <phoneticPr fontId="6" type="noConversion"/>
  </si>
  <si>
    <t>原件</t>
  </si>
  <si>
    <t>在建</t>
  </si>
  <si>
    <t>正常</t>
    <phoneticPr fontId="6" type="noConversion"/>
  </si>
  <si>
    <t>工业项目</t>
  </si>
  <si>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110111201700003</t>
    </r>
    <r>
      <rPr>
        <sz val="12"/>
        <color theme="9" tint="-0.249977111117893"/>
        <rFont val="宋体"/>
        <family val="3"/>
        <charset val="134"/>
      </rPr>
      <t>、</t>
    </r>
    <r>
      <rPr>
        <sz val="12"/>
        <color theme="9" tint="-0.249977111117893"/>
        <rFont val="Arial"/>
        <family val="2"/>
      </rPr>
      <t>110111201700012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</si>
  <si>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建筑面积及用途</t>
    <phoneticPr fontId="143" type="noConversion"/>
  </si>
  <si>
    <t>层数</t>
    <phoneticPr fontId="143" type="noConversion"/>
  </si>
  <si>
    <t>同一抵押权人同一抵押物续贷</t>
  </si>
  <si>
    <t>三通一平</t>
  </si>
  <si>
    <t>缺少</t>
  </si>
  <si>
    <t>外装</t>
    <phoneticPr fontId="14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</si>
  <si>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</si>
  <si>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</si>
  <si>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</si>
  <si>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</si>
  <si>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</si>
  <si>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</si>
  <si>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</si>
  <si>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</si>
  <si>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</si>
  <si>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</si>
  <si>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</si>
  <si>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</si>
  <si>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</si>
  <si>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</si>
  <si>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</si>
  <si>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琉璃河</t>
    <phoneticPr fontId="3" type="noConversion"/>
  </si>
  <si>
    <t>窦店</t>
    <phoneticPr fontId="3" type="noConversion"/>
  </si>
  <si>
    <t>城关</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</si>
  <si>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</si>
  <si>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</si>
  <si>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</si>
  <si>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</si>
  <si>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</si>
  <si>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</si>
  <si>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</si>
  <si>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</si>
  <si>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</si>
  <si>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工业</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</si>
  <si>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</si>
  <si>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</si>
  <si>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</si>
  <si>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</si>
  <si>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100/</t>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</si>
  <si>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</si>
  <si>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</si>
  <si>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</si>
  <si>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一般</t>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</si>
  <si>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</si>
  <si>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</si>
  <si>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</si>
  <si>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</si>
  <si>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</si>
  <si>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</si>
  <si>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100/</t>
    <phoneticPr fontId="3" type="noConversion"/>
  </si>
  <si>
    <t>一般</t>
    <phoneticPr fontId="3" type="noConversion"/>
  </si>
  <si>
    <t>基础设施水平</t>
    <phoneticPr fontId="3" type="noConversion"/>
  </si>
  <si>
    <t>七通</t>
  </si>
  <si>
    <t>七通</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</si>
  <si>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</si>
  <si>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</si>
  <si>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</si>
  <si>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</si>
  <si>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</si>
  <si>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</si>
  <si>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</si>
  <si>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phoneticPr fontId="3" type="noConversion"/>
  </si>
  <si>
    <t>宗地开发程度</t>
    <phoneticPr fontId="3" type="noConversion"/>
  </si>
  <si>
    <t>三通</t>
  </si>
  <si>
    <t>三通</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</si>
  <si>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</si>
  <si>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</si>
  <si>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</si>
  <si>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</si>
  <si>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</si>
  <si>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</si>
  <si>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</si>
  <si>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</si>
  <si>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</si>
  <si>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</si>
  <si>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</si>
  <si>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</si>
  <si>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</si>
  <si>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</si>
  <si>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</si>
  <si>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</si>
  <si>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</si>
  <si>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</si>
  <si>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</si>
  <si>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</si>
  <si>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</si>
  <si>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</si>
  <si>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</si>
  <si>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</si>
  <si>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</si>
  <si>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</si>
  <si>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</si>
  <si>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t>住宅</t>
  </si>
  <si>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</si>
  <si>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</si>
  <si>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</si>
  <si>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</si>
  <si>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</si>
  <si>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</si>
  <si>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</si>
  <si>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</si>
  <si>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</si>
  <si>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</si>
  <si>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</si>
  <si>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</si>
  <si>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</si>
  <si>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</si>
  <si>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</si>
  <si>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</si>
  <si>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</si>
  <si>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</si>
  <si>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</si>
  <si>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</si>
  <si>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基础设施水平</t>
    <phoneticPr fontId="3" type="noConversion"/>
  </si>
  <si>
    <t>六通</t>
    <phoneticPr fontId="3" type="noConversion"/>
  </si>
  <si>
    <t>五通</t>
    <phoneticPr fontId="3" type="noConversion"/>
  </si>
  <si>
    <t>四通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</si>
  <si>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</si>
  <si>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</si>
  <si>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</si>
  <si>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</si>
  <si>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快速路</t>
    <phoneticPr fontId="3" type="noConversion"/>
  </si>
  <si>
    <t>主干道</t>
    <phoneticPr fontId="3" type="noConversion"/>
  </si>
  <si>
    <t>次干道</t>
    <phoneticPr fontId="3" type="noConversion"/>
  </si>
  <si>
    <t>支路</t>
    <phoneticPr fontId="3" type="noConversion"/>
  </si>
  <si>
    <r>
      <rPr>
        <b/>
        <sz val="11"/>
        <rFont val="仿宋_GB2312"/>
        <family val="3"/>
        <charset val="134"/>
      </rPr>
      <t>实物状况</t>
    </r>
    <phoneticPr fontId="3" type="noConversion"/>
  </si>
  <si>
    <t>二通</t>
    <phoneticPr fontId="3" type="noConversion"/>
  </si>
  <si>
    <t>比较法-工业2</t>
    <phoneticPr fontId="16" type="noConversion"/>
  </si>
  <si>
    <t>正常</t>
    <phoneticPr fontId="33" type="noConversion"/>
  </si>
  <si>
    <t>工业</t>
    <phoneticPr fontId="33" type="noConversion"/>
  </si>
  <si>
    <t>工业</t>
    <phoneticPr fontId="33" type="noConversion"/>
  </si>
  <si>
    <t>一般</t>
    <phoneticPr fontId="33" type="noConversion"/>
  </si>
  <si>
    <t>较好</t>
    <phoneticPr fontId="33" type="noConversion"/>
  </si>
  <si>
    <t>七通</t>
    <phoneticPr fontId="33" type="noConversion"/>
  </si>
  <si>
    <t>较规则</t>
    <phoneticPr fontId="33" type="noConversion"/>
  </si>
  <si>
    <t>三通</t>
    <phoneticPr fontId="33" type="noConversion"/>
  </si>
  <si>
    <t>四通</t>
    <phoneticPr fontId="33" type="noConversion"/>
  </si>
  <si>
    <t>六通</t>
    <phoneticPr fontId="33" type="noConversion"/>
  </si>
  <si>
    <t>五通</t>
    <phoneticPr fontId="33" type="noConversion"/>
  </si>
  <si>
    <t>仓储</t>
  </si>
  <si>
    <t>窦店</t>
    <phoneticPr fontId="33" type="noConversion"/>
  </si>
  <si>
    <t>较差</t>
  </si>
  <si>
    <t>较好</t>
    <phoneticPr fontId="33" type="noConversion"/>
  </si>
  <si>
    <t>在建（套用方法）</t>
  </si>
  <si>
    <t>封顶，正在外装</t>
    <phoneticPr fontId="143" type="noConversion"/>
  </si>
  <si>
    <t>楼号</t>
  </si>
  <si>
    <t>规划总建筑面积</t>
  </si>
  <si>
    <t>规划建筑面积及用途</t>
  </si>
  <si>
    <r>
      <t>2</t>
    </r>
    <r>
      <rPr>
        <sz val="11"/>
        <color theme="1"/>
        <rFont val="宋体"/>
        <family val="3"/>
        <charset val="134"/>
        <scheme val="minor"/>
      </rPr>
      <t>#宿舍</t>
    </r>
  </si>
  <si>
    <t>宿舍</t>
  </si>
  <si>
    <t>18#厂房</t>
  </si>
  <si>
    <t>19#厂房</t>
  </si>
  <si>
    <t>20#厂房</t>
  </si>
  <si>
    <t>设备用房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</si>
  <si>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</si>
  <si>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</si>
  <si>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</si>
  <si>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</si>
  <si>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</si>
  <si>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</si>
  <si>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</si>
  <si>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</si>
  <si>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</si>
  <si>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</si>
  <si>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</si>
  <si>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</si>
  <si>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</si>
  <si>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</si>
  <si>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</si>
  <si>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</si>
  <si>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</si>
  <si>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配套用房</t>
  </si>
  <si>
    <t>35#厂房</t>
  </si>
  <si>
    <t>36#厂房</t>
  </si>
  <si>
    <t>37#厂房</t>
  </si>
  <si>
    <t>38#厂房</t>
  </si>
  <si>
    <t>39#厂房</t>
  </si>
  <si>
    <t>40#厂房</t>
  </si>
  <si>
    <t>41#厂房</t>
  </si>
  <si>
    <t>42#变配电室</t>
  </si>
  <si>
    <t>43#厂房</t>
  </si>
  <si>
    <t>44#厂房</t>
  </si>
  <si>
    <t>45#厂房</t>
  </si>
  <si>
    <t>46#厂房</t>
  </si>
  <si>
    <t>47#厂房</t>
  </si>
  <si>
    <t>48#厂房</t>
  </si>
  <si>
    <t>49#厂房</t>
  </si>
  <si>
    <t>50#数据中心</t>
  </si>
  <si>
    <t>其他设备用房</t>
  </si>
  <si>
    <t>其他厂房</t>
  </si>
  <si>
    <t>人防</t>
  </si>
  <si>
    <t>总计</t>
  </si>
  <si>
    <t>二期</t>
    <phoneticPr fontId="143" type="noConversion"/>
  </si>
  <si>
    <t>在建工程</t>
    <phoneticPr fontId="143" type="noConversion"/>
  </si>
  <si>
    <t>正在一层施工</t>
    <phoneticPr fontId="143" type="noConversion"/>
  </si>
  <si>
    <t>数据中心</t>
    <phoneticPr fontId="143" type="noConversion"/>
  </si>
  <si>
    <t>小计</t>
    <phoneticPr fontId="143" type="noConversion"/>
  </si>
  <si>
    <t>在建</t>
    <phoneticPr fontId="143" type="noConversion"/>
  </si>
  <si>
    <t>土地</t>
    <phoneticPr fontId="143" type="noConversion"/>
  </si>
  <si>
    <t>土地</t>
    <phoneticPr fontId="143" type="noConversion"/>
  </si>
  <si>
    <t>地上设备用房</t>
    <phoneticPr fontId="143" type="noConversion"/>
  </si>
  <si>
    <t>地下设备用房</t>
    <phoneticPr fontId="143" type="noConversion"/>
  </si>
  <si>
    <t>土地</t>
    <phoneticPr fontId="3" type="noConversion"/>
  </si>
  <si>
    <t>在建</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</si>
  <si>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</si>
  <si>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</si>
  <si>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</si>
  <si>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</si>
  <si>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</si>
  <si>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</si>
  <si>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</si>
  <si>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</si>
  <si>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</si>
  <si>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</si>
  <si>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</si>
  <si>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</si>
  <si>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</si>
  <si>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</si>
  <si>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</si>
  <si>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</si>
  <si>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</si>
  <si>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</si>
  <si>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</si>
  <si>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</si>
  <si>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</si>
  <si>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</si>
  <si>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</si>
  <si>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</si>
  <si>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</si>
  <si>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</si>
  <si>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</si>
  <si>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</si>
  <si>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</si>
  <si>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</si>
  <si>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</si>
  <si>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</si>
  <si>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</si>
  <si>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</si>
  <si>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</si>
  <si>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</si>
  <si>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</si>
  <si>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</si>
  <si>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</si>
  <si>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</si>
  <si>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</si>
  <si>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</si>
  <si>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</si>
  <si>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</si>
  <si>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北京市高端制造业(房山)基地01街区01-03地块部分用地项目</t>
  </si>
  <si>
    <t>房山区</t>
  </si>
  <si>
    <t>房山区窦店镇</t>
  </si>
  <si>
    <t>挂牌</t>
  </si>
  <si>
    <t>京土整储挂(房)工业[2017]001号</t>
  </si>
  <si>
    <t>一类工业用地</t>
  </si>
  <si>
    <t>≤1.2</t>
  </si>
  <si>
    <t>开工中</t>
  </si>
  <si>
    <t>2017-02-20</t>
  </si>
  <si>
    <t>2017-03-13</t>
  </si>
  <si>
    <t>2017-03-23</t>
  </si>
  <si>
    <t>已成交</t>
  </si>
  <si>
    <t>北京天仁道和新材料有限公司</t>
  </si>
  <si>
    <t>50年</t>
  </si>
  <si>
    <t>北京石化新材料科技产业基地核心区东区B5-10(2)地块工业用地项目</t>
  </si>
  <si>
    <t>北京市房山区城关街道前朱各庄村</t>
  </si>
  <si>
    <t>京土整储挂(房)工业[2016]002号</t>
  </si>
  <si>
    <t>M1一类工业用地</t>
  </si>
  <si>
    <t>≤1.0</t>
  </si>
  <si>
    <t>2016-10-24</t>
  </si>
  <si>
    <t>2016-11-14</t>
  </si>
  <si>
    <t>2016-11-24</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</si>
  <si>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</si>
  <si>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</si>
  <si>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</si>
  <si>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</si>
  <si>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</si>
  <si>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</si>
  <si>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</si>
  <si>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2015-12-22</t>
  </si>
  <si>
    <t>2016-01-11</t>
  </si>
  <si>
    <t>2016-02-01</t>
  </si>
  <si>
    <t>北京凯达恒业农业技术开发有限公司</t>
  </si>
  <si>
    <t>北京高端制造业基地03街区R区一期工业用地项目</t>
  </si>
  <si>
    <t>京土整储挂(房)工业[2015]005号</t>
  </si>
  <si>
    <t>已完工</t>
  </si>
  <si>
    <t>2016-01-28</t>
  </si>
  <si>
    <t>北京德信致远科技有限公司</t>
  </si>
  <si>
    <t>北京石化新材料科技产业基地核心区东区B5-01地块(部分用地)工业用地项目</t>
  </si>
  <si>
    <t>房山区城关街道前朱各庄村</t>
  </si>
  <si>
    <t>京土整储挂(房)工业[2015]004号</t>
  </si>
  <si>
    <t>2016-01-25</t>
  </si>
  <si>
    <t>北京中植医药科技有限公司</t>
  </si>
  <si>
    <t>北京石化新材料科技产业基地核心区东区B2-24-04地块</t>
  </si>
  <si>
    <t>北京石化新材料科技产业基地核心区东区B2街区内</t>
  </si>
  <si>
    <t>京土整储挂(房)工业[2015]003号</t>
  </si>
  <si>
    <t>2015-11-20</t>
  </si>
  <si>
    <t>2015-12-10</t>
  </si>
  <si>
    <t>2015-12-24</t>
  </si>
  <si>
    <t>北京迅邦润泽物流有限公司</t>
  </si>
  <si>
    <t>北京石化新材料科技产业基地核心区东区B5-10(1)等地块</t>
  </si>
  <si>
    <t>房山区城关街道前、后朱各庄村</t>
  </si>
  <si>
    <t>京土整储挂(房)工业[2015]001号</t>
  </si>
  <si>
    <t>≤1</t>
  </si>
  <si>
    <t>2015-08-12</t>
  </si>
  <si>
    <t>2015-09-01</t>
  </si>
  <si>
    <t>2015-09-16</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</si>
  <si>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</si>
  <si>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</si>
  <si>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</si>
  <si>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</si>
  <si>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</si>
  <si>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2014-02-28</t>
  </si>
  <si>
    <t>2014-03-20</t>
  </si>
  <si>
    <t>2014-04-16</t>
  </si>
  <si>
    <t>德信无线通讯科技(杭州)有限公司</t>
  </si>
  <si>
    <t>北京石化新材料科技产业基地核心区东区B7-13、B7-18等地块工业用地项目</t>
  </si>
  <si>
    <t>房山区城关街道办事处前、后朱各庄村</t>
  </si>
  <si>
    <t>京土整储挂(房)工业〔2014〕011号</t>
  </si>
  <si>
    <t>2014-04-11</t>
  </si>
  <si>
    <t>实创家居装饰集团有限公司</t>
  </si>
  <si>
    <t>北京高端制造业(房山)基地03街区L区工业用地项目</t>
  </si>
  <si>
    <t>京土整储挂(房)工业〔2014〕002号</t>
  </si>
  <si>
    <t>2014-04-09</t>
  </si>
  <si>
    <t>北京航峰科伟装备技术股份有限公司</t>
  </si>
  <si>
    <t>北京石化新材料科技产业基地核心区东区B7-15等地块工业用地项目</t>
  </si>
  <si>
    <t>京土整储挂(房)工业〔2014〕009号</t>
  </si>
  <si>
    <t>2014-04-08</t>
  </si>
  <si>
    <t>北京坤源碳酸酯化学有限公司</t>
  </si>
  <si>
    <t>北京高端制造业(房山)基地03街区P区工业用地项目</t>
  </si>
  <si>
    <t>京土整储挂(房)工业〔2014〕006号</t>
  </si>
  <si>
    <t>劳伦斯泵业机械(北京)有限公司</t>
  </si>
  <si>
    <t>北京高端制造业(房山)基地03街区M区工业用地项目</t>
  </si>
  <si>
    <t>京土整储挂(房)工业〔2014〕003号</t>
  </si>
  <si>
    <t>2014-04-03</t>
  </si>
  <si>
    <t>美景(北京)环保科技有限公司</t>
  </si>
  <si>
    <t>地面单价</t>
    <phoneticPr fontId="143" type="noConversion"/>
  </si>
  <si>
    <t>崔锴</t>
  </si>
  <si>
    <t>补缴</t>
  </si>
  <si>
    <t>补缴</t>
    <phoneticPr fontId="143" type="noConversion"/>
  </si>
  <si>
    <t>地下厂房</t>
    <phoneticPr fontId="143" type="noConversion"/>
  </si>
  <si>
    <t>地下车库</t>
    <phoneticPr fontId="143" type="noConversion"/>
  </si>
  <si>
    <t>楼面单价</t>
    <phoneticPr fontId="143" type="noConversion"/>
  </si>
  <si>
    <t>单价</t>
  </si>
  <si>
    <t>单价</t>
    <phoneticPr fontId="143" type="noConversion"/>
  </si>
  <si>
    <t>总价</t>
  </si>
  <si>
    <t>总价</t>
    <phoneticPr fontId="143" type="noConversion"/>
  </si>
  <si>
    <t>小计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</si>
</sst>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4"/>
      <name val="Arial"/>
      <family val="2"/>
    </font>
    <font>
      <sz val="14"/>
      <name val="Arial"/>
      <family val="2"/>
    </font>
    <font>
      <b/>
      <sz val="12"/>
      <color indexed="8"/>
      <name val="仿宋_GB2312"/>
      <family val="3"/>
      <charset val="134"/>
    </font>
    <font>
      <b/>
      <sz val="11"/>
      <name val="仿宋_GB2312"/>
      <family val="3"/>
      <charset val="134"/>
    </font>
    <font>
      <sz val="11"/>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0" borderId="1" xfId="0" applyBorder="1">
      <alignment vertical="center"/>
    </xf>
    <xf numFmtId="0" fontId="99" fillId="0" borderId="1" xfId="0" applyFont="1" applyBorder="1">
      <alignment vertical="center"/>
    </xf>
    <xf numFmtId="0" fontId="99" fillId="0" borderId="1" xfId="0" applyFont="1" applyFill="1" applyBorder="1">
      <alignment vertical="center"/>
    </xf>
    <xf numFmtId="9" fontId="0" fillId="0" borderId="0" xfId="0" applyNumberForma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9" fontId="0" fillId="0" borderId="1" xfId="0" applyNumberFormat="1" applyBorder="1">
      <alignment vertical="center"/>
    </xf>
    <xf numFmtId="9" fontId="50" fillId="0" borderId="1" xfId="1" applyNumberFormat="1" applyFont="1" applyFill="1" applyBorder="1" applyAlignment="1" applyProtection="1">
      <alignment horizontal="center" vertical="center"/>
      <protection locked="0"/>
    </xf>
    <xf numFmtId="9" fontId="47" fillId="0" borderId="1" xfId="1" applyNumberFormat="1" applyFont="1" applyFill="1" applyBorder="1" applyAlignment="1" applyProtection="1">
      <alignment horizontal="center"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90" fillId="0" borderId="1" xfId="0" applyFont="1" applyBorder="1" applyAlignment="1" applyProtection="1">
      <alignment horizontal="left" vertical="center"/>
      <protection locked="0"/>
    </xf>
    <xf numFmtId="177" fontId="50" fillId="9" borderId="1" xfId="1" applyNumberFormat="1" applyFont="1" applyFill="1" applyBorder="1" applyAlignment="1" applyProtection="1">
      <alignment horizontal="center" vertical="center"/>
      <protection locked="0"/>
    </xf>
    <xf numFmtId="0" fontId="56" fillId="0" borderId="1" xfId="0" applyFont="1" applyFill="1" applyBorder="1" applyAlignment="1" applyProtection="1">
      <alignment vertical="center" wrapText="1"/>
      <protection locked="0"/>
    </xf>
    <xf numFmtId="179" fontId="50" fillId="0" borderId="1"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46" fillId="6" borderId="36" xfId="10" applyFont="1" applyFill="1" applyBorder="1" applyAlignment="1" applyProtection="1">
      <alignment vertical="center"/>
    </xf>
    <xf numFmtId="0" fontId="257" fillId="6" borderId="36" xfId="10" applyFont="1" applyFill="1" applyBorder="1" applyAlignment="1" applyProtection="1">
      <alignment vertical="center"/>
    </xf>
    <xf numFmtId="0" fontId="258" fillId="6" borderId="0" xfId="10" applyFont="1" applyFill="1" applyAlignment="1" applyProtection="1">
      <alignment horizontal="center" vertical="center"/>
    </xf>
    <xf numFmtId="189" fontId="257"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8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66" fillId="6" borderId="0" xfId="10" applyFont="1" applyFill="1" applyAlignment="1" applyProtection="1">
      <alignment horizontal="center" vertical="center"/>
      <protection locked="0"/>
    </xf>
    <xf numFmtId="0" fontId="66" fillId="6" borderId="0" xfId="10" applyFont="1" applyFill="1" applyAlignment="1" applyProtection="1">
      <alignment horizontal="center" vertical="center"/>
    </xf>
    <xf numFmtId="0" fontId="60" fillId="6" borderId="13" xfId="10" applyFont="1" applyFill="1" applyBorder="1" applyAlignment="1" applyProtection="1">
      <alignment vertical="center"/>
    </xf>
    <xf numFmtId="0" fontId="60" fillId="6" borderId="1" xfId="10" applyFont="1" applyFill="1" applyBorder="1" applyAlignment="1" applyProtection="1">
      <alignment vertical="center"/>
    </xf>
    <xf numFmtId="0" fontId="60" fillId="6" borderId="46" xfId="10" applyFont="1" applyFill="1" applyBorder="1" applyAlignment="1" applyProtection="1">
      <alignment vertical="center"/>
    </xf>
    <xf numFmtId="0" fontId="132" fillId="6" borderId="22" xfId="10" applyFont="1" applyFill="1" applyBorder="1" applyAlignment="1" applyProtection="1">
      <alignment horizontal="left" vertical="center"/>
    </xf>
    <xf numFmtId="0" fontId="65" fillId="6" borderId="60" xfId="10" applyFont="1" applyFill="1" applyBorder="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137" fillId="2" borderId="26"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7" xfId="10" applyNumberFormat="1" applyFont="1" applyFill="1" applyBorder="1" applyAlignment="1" applyProtection="1">
      <alignment horizontal="center" vertical="center" wrapText="1"/>
      <protection locked="0"/>
    </xf>
    <xf numFmtId="0" fontId="9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49" fontId="98" fillId="2" borderId="7" xfId="10" applyNumberFormat="1" applyFont="1" applyFill="1" applyBorder="1" applyAlignment="1" applyProtection="1">
      <alignment horizontal="center" vertical="center" wrapText="1"/>
      <protection locked="0"/>
    </xf>
    <xf numFmtId="49" fontId="98" fillId="2" borderId="41"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0" fontId="64" fillId="0" borderId="23"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64" fillId="6" borderId="23" xfId="10" applyNumberFormat="1" applyFont="1" applyFill="1" applyBorder="1" applyAlignment="1" applyProtection="1">
      <alignment horizontal="center" vertical="center" wrapText="1"/>
    </xf>
    <xf numFmtId="0" fontId="98" fillId="2" borderId="41"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262" fillId="6" borderId="58"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137" fillId="2" borderId="60"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0" fontId="61" fillId="6" borderId="3" xfId="10" applyNumberFormat="1" applyFont="1" applyFill="1" applyBorder="1" applyAlignment="1" applyProtection="1">
      <alignment horizontal="center" vertical="center" wrapText="1"/>
    </xf>
    <xf numFmtId="0" fontId="47" fillId="6" borderId="5"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202" fillId="6" borderId="40" xfId="10" applyFont="1" applyFill="1" applyBorder="1" applyAlignment="1" applyProtection="1">
      <alignment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98"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0" fontId="262" fillId="6" borderId="5" xfId="10" applyFont="1" applyFill="1" applyBorder="1" applyAlignment="1" applyProtection="1">
      <alignment horizontal="center" vertical="center" wrapText="1"/>
    </xf>
    <xf numFmtId="9" fontId="13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266" fillId="5" borderId="9" xfId="10" applyFont="1" applyFill="1" applyBorder="1" applyAlignment="1" applyProtection="1">
      <alignment horizontal="center" vertical="center"/>
      <protection locked="0"/>
    </xf>
    <xf numFmtId="0" fontId="98"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2" fillId="6" borderId="3" xfId="10" applyFont="1" applyFill="1" applyBorder="1" applyAlignment="1" applyProtection="1">
      <alignment horizontal="center" vertical="center"/>
    </xf>
    <xf numFmtId="0" fontId="102" fillId="6" borderId="1" xfId="10" applyFont="1" applyFill="1" applyBorder="1" applyAlignment="1" applyProtection="1">
      <alignment horizontal="center" vertical="center"/>
    </xf>
    <xf numFmtId="0" fontId="131"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3" xfId="10" applyFont="1" applyFill="1" applyBorder="1" applyAlignment="1" applyProtection="1">
      <alignment horizontal="center" vertical="center"/>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5" fillId="6" borderId="24" xfId="10" applyNumberFormat="1"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49" fontId="105" fillId="6" borderId="24" xfId="10" applyNumberFormat="1" applyFont="1" applyFill="1" applyBorder="1" applyAlignment="1" applyProtection="1">
      <alignment horizontal="center" vertical="center"/>
    </xf>
    <xf numFmtId="0" fontId="82" fillId="6" borderId="23" xfId="1" applyFont="1" applyFill="1" applyBorder="1" applyAlignment="1" applyProtection="1"/>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49" fontId="105" fillId="6" borderId="49" xfId="10" applyNumberFormat="1"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264"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wrapText="1"/>
    </xf>
    <xf numFmtId="0" fontId="47" fillId="6" borderId="30"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wrapText="1"/>
      <protection locked="0"/>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264" fillId="6" borderId="23"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177" fontId="47" fillId="0" borderId="1"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177" fontId="47" fillId="0" borderId="73" xfId="10" applyNumberFormat="1" applyFont="1" applyFill="1" applyBorder="1" applyAlignment="1" applyProtection="1">
      <alignment horizontal="center" vertical="center" wrapText="1"/>
      <protection locked="0"/>
    </xf>
    <xf numFmtId="178" fontId="47" fillId="0" borderId="74"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262" fillId="6" borderId="57"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261"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9" xfId="10" applyNumberFormat="1" applyFont="1" applyFill="1" applyBorder="1" applyAlignment="1" applyProtection="1">
      <alignment horizontal="left"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262"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50" fillId="6" borderId="0" xfId="0" applyNumberFormat="1" applyFont="1" applyFill="1" applyAlignment="1" applyProtection="1">
      <alignment horizontal="center" vertical="center"/>
      <protection locked="0"/>
    </xf>
    <xf numFmtId="0" fontId="120" fillId="5"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3"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63"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104" fillId="6" borderId="16" xfId="10" applyFont="1" applyFill="1" applyBorder="1" applyAlignment="1" applyProtection="1">
      <alignment horizontal="center" vertical="center" wrapText="1"/>
    </xf>
    <xf numFmtId="0" fontId="104" fillId="6" borderId="31" xfId="10" applyFont="1" applyFill="1" applyBorder="1" applyAlignment="1" applyProtection="1">
      <alignment horizontal="center" vertical="center" wrapText="1"/>
    </xf>
    <xf numFmtId="0" fontId="104" fillId="6" borderId="69" xfId="10" applyFont="1" applyFill="1" applyBorder="1" applyAlignment="1" applyProtection="1">
      <alignment horizontal="center" vertical="center" wrapText="1"/>
    </xf>
    <xf numFmtId="0" fontId="104" fillId="6" borderId="7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13" fillId="0" borderId="0" xfId="0" applyFont="1" applyAlignment="1"/>
    <xf numFmtId="0" fontId="99" fillId="0" borderId="0" xfId="10" applyFont="1" applyBorder="1" applyAlignment="1">
      <alignment horizontal="center" vertical="center"/>
    </xf>
    <xf numFmtId="0" fontId="99" fillId="0" borderId="0" xfId="10" applyBorder="1">
      <alignment vertical="center"/>
    </xf>
    <xf numFmtId="0" fontId="99" fillId="0" borderId="0" xfId="10" applyFont="1" applyBorder="1">
      <alignment vertical="center"/>
    </xf>
    <xf numFmtId="0" fontId="99" fillId="0" borderId="1" xfId="10" applyFont="1" applyBorder="1" applyAlignment="1">
      <alignment horizontal="center" vertical="center"/>
    </xf>
    <xf numFmtId="0" fontId="99" fillId="0" borderId="0" xfId="10">
      <alignment vertical="center"/>
    </xf>
    <xf numFmtId="0" fontId="99" fillId="0" borderId="0" xfId="10" applyFont="1">
      <alignment vertical="center"/>
    </xf>
    <xf numFmtId="0" fontId="99" fillId="5" borderId="0" xfId="10" applyFill="1">
      <alignment vertical="center"/>
    </xf>
    <xf numFmtId="0" fontId="99" fillId="9" borderId="0" xfId="10" applyFill="1">
      <alignment vertical="center"/>
    </xf>
    <xf numFmtId="0" fontId="99" fillId="17" borderId="0" xfId="10" applyFill="1">
      <alignment vertical="center"/>
    </xf>
    <xf numFmtId="0" fontId="99" fillId="8" borderId="0" xfId="10" applyFill="1">
      <alignment vertical="center"/>
    </xf>
    <xf numFmtId="0" fontId="99" fillId="0" borderId="1" xfId="10" applyFont="1" applyBorder="1">
      <alignment vertical="center"/>
    </xf>
    <xf numFmtId="0" fontId="99" fillId="8" borderId="1" xfId="10" applyFill="1" applyBorder="1">
      <alignment vertical="center"/>
    </xf>
    <xf numFmtId="0" fontId="99" fillId="5" borderId="1" xfId="10" applyFill="1" applyBorder="1">
      <alignment vertical="center"/>
    </xf>
    <xf numFmtId="0" fontId="99" fillId="9" borderId="1" xfId="10" applyFill="1" applyBorder="1">
      <alignment vertical="center"/>
    </xf>
    <xf numFmtId="0" fontId="99" fillId="9" borderId="1" xfId="10" applyFont="1" applyFill="1" applyBorder="1">
      <alignment vertical="center"/>
    </xf>
    <xf numFmtId="0" fontId="99" fillId="0" borderId="1" xfId="10" applyFont="1" applyFill="1" applyBorder="1">
      <alignment vertical="center"/>
    </xf>
    <xf numFmtId="0" fontId="269" fillId="8" borderId="1" xfId="10" applyFont="1" applyFill="1" applyBorder="1">
      <alignment vertical="center"/>
    </xf>
    <xf numFmtId="0" fontId="99" fillId="0" borderId="1" xfId="10" applyBorder="1">
      <alignment vertical="center"/>
    </xf>
    <xf numFmtId="0" fontId="99" fillId="17" borderId="1" xfId="10" applyFont="1" applyFill="1" applyBorder="1">
      <alignment vertical="center"/>
    </xf>
    <xf numFmtId="0" fontId="99" fillId="18" borderId="1" xfId="10" applyFill="1" applyBorder="1">
      <alignment vertical="center"/>
    </xf>
  </cellXfs>
  <cellStyles count="16">
    <cellStyle name="百分比 2" xfId="13"/>
    <cellStyle name="常规" xfId="0" builtinId="0"/>
    <cellStyle name="常规 16" xfId="10"/>
    <cellStyle name="常规 2" xfId="1"/>
    <cellStyle name="常规 2 2" xfId="8"/>
    <cellStyle name="常规 2 2 2 2 3" xfId="14"/>
    <cellStyle name="常规 3" xfId="2"/>
    <cellStyle name="常规 3 2" xfId="3"/>
    <cellStyle name="常规 4" xfId="4"/>
    <cellStyle name="常规 5" xfId="5"/>
    <cellStyle name="常规 6" xfId="6"/>
    <cellStyle name="常规 6 2" xfId="9"/>
    <cellStyle name="常规 6 2 2" xfId="15"/>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8/2018-1-08000&#25151;&#23665;&#39033;&#30446;/&#29705;&#29827;&#27827;-&#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1306;&#29705;&#29827;&#27827;&#38215;&#20013;&#24515;&#21306;E-07&#22320;&#2235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不动产收益法地下厂房</v>
          </cell>
        </row>
        <row r="21">
          <cell r="A21" t="str">
            <v>戊类库房</v>
          </cell>
          <cell r="B21" t="str">
            <v>不动产收益法地下车库</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I19">
            <v>45.68</v>
          </cell>
        </row>
        <row r="41">
          <cell r="F41">
            <v>0</v>
          </cell>
        </row>
        <row r="43">
          <cell r="E43" t="str">
            <v>十级</v>
          </cell>
        </row>
      </sheetData>
      <sheetData sheetId="10"/>
      <sheetData sheetId="11"/>
      <sheetData sheetId="12">
        <row r="37">
          <cell r="B37">
            <v>160747.20000000001</v>
          </cell>
        </row>
      </sheetData>
      <sheetData sheetId="13">
        <row r="3">
          <cell r="D3">
            <v>76265.56</v>
          </cell>
          <cell r="E3">
            <v>160747.20000000001</v>
          </cell>
        </row>
        <row r="6">
          <cell r="I6">
            <v>1.74</v>
          </cell>
        </row>
        <row r="8">
          <cell r="E8">
            <v>123794.2</v>
          </cell>
        </row>
        <row r="9">
          <cell r="E9">
            <v>0</v>
          </cell>
        </row>
        <row r="11">
          <cell r="E11">
            <v>0</v>
          </cell>
        </row>
        <row r="12">
          <cell r="E12">
            <v>18385.299999999996</v>
          </cell>
        </row>
        <row r="13">
          <cell r="E13">
            <v>8946.5</v>
          </cell>
        </row>
        <row r="14">
          <cell r="E14">
            <v>0</v>
          </cell>
        </row>
        <row r="15">
          <cell r="E15">
            <v>0</v>
          </cell>
        </row>
        <row r="17">
          <cell r="C17" t="str">
            <v>项目类型</v>
          </cell>
        </row>
        <row r="19">
          <cell r="C19" t="str">
            <v>厂房</v>
          </cell>
        </row>
        <row r="20">
          <cell r="C20" t="str">
            <v>地下厂房</v>
          </cell>
        </row>
        <row r="21">
          <cell r="C21" t="str">
            <v>地下车库</v>
          </cell>
        </row>
      </sheetData>
      <sheetData sheetId="14">
        <row r="2">
          <cell r="B2">
            <v>43251</v>
          </cell>
        </row>
        <row r="16">
          <cell r="G16">
            <v>0.97399999999999998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估价对象位于XX开发区，园区建设成熟度XX，产业集聚程度XX</v>
          </cell>
        </row>
        <row r="16">
          <cell r="G16" t="str">
            <v>估价对象周边道路状况、公共交通通达情况、停车便捷程度，综合评价交通便捷度较好</v>
          </cell>
        </row>
        <row r="18">
          <cell r="G18" t="str">
            <v>该园区内是否有污染型企业，绿化情况，卫生条件，整体环境状况判断</v>
          </cell>
        </row>
        <row r="19">
          <cell r="G19" t="str">
            <v>估价对象所在区域公共配套设施齐备情况</v>
          </cell>
        </row>
        <row r="20">
          <cell r="G20" t="str">
            <v>估价对象所在区域基础设施水平</v>
          </cell>
        </row>
      </sheetData>
      <sheetData sheetId="16">
        <row r="14">
          <cell r="B14">
            <v>160747.20000000001</v>
          </cell>
        </row>
      </sheetData>
      <sheetData sheetId="17"/>
      <sheetData sheetId="18">
        <row r="7">
          <cell r="E7" t="str">
            <v>北京高端制造业(房山)基地03街区F区工业用地项目</v>
          </cell>
        </row>
      </sheetData>
      <sheetData sheetId="19">
        <row r="2">
          <cell r="A2" t="str">
            <v>北京市高端制造业(房山)基地01街区01-03地块部分用地项目</v>
          </cell>
          <cell r="D2">
            <v>55333.599999999999</v>
          </cell>
          <cell r="H2" t="str">
            <v>2017-03-23</v>
          </cell>
        </row>
        <row r="3">
          <cell r="A3" t="str">
            <v>北京石化新材料科技产业基地核心区东区B5-10(2)地块工业用地项目</v>
          </cell>
          <cell r="D3">
            <v>57769</v>
          </cell>
          <cell r="H3" t="str">
            <v>2016-11-24</v>
          </cell>
        </row>
        <row r="4">
          <cell r="A4" t="str">
            <v>北京高端制造业(房山)基地03街区F区工业用地项目</v>
          </cell>
          <cell r="D4">
            <v>32779.72</v>
          </cell>
          <cell r="H4" t="str">
            <v>2016-11-24</v>
          </cell>
        </row>
      </sheetData>
      <sheetData sheetId="20"/>
      <sheetData sheetId="21"/>
      <sheetData sheetId="22">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3">
        <row r="24">
          <cell r="P24">
            <v>1.35E-2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工业"/>
      <sheetName val="土地案例"/>
      <sheetName val="剩余法-待开发"/>
      <sheetName val="剩余法-现房"/>
      <sheetName val="比较法-住宅、综合"/>
      <sheetName val="基准地价"/>
      <sheetName val="修正"/>
      <sheetName val="区片价"/>
      <sheetName val="容积率修正"/>
      <sheetName val="因素修正幅度"/>
      <sheetName val="基准地价（汇总）"/>
      <sheetName val="收益还原法"/>
      <sheetName val="地价"/>
      <sheetName val="收益法地下车库"/>
      <sheetName val="收益法地下厂房"/>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地下厂房"/>
      <sheetName val="不动产收益法地下车库"/>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143180.49999999997</v>
          </cell>
          <cell r="C14">
            <v>68834.89</v>
          </cell>
          <cell r="D14">
            <v>17553</v>
          </cell>
          <cell r="G14">
            <v>16974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1" sqref="B61"/>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1219</v>
      </c>
      <c r="B1" s="1584" t="s">
        <v>1298</v>
      </c>
    </row>
    <row r="2" spans="1:2" s="1589" customFormat="1" ht="16.2" thickTop="1">
      <c r="A2" s="1587" t="s">
        <v>1220</v>
      </c>
      <c r="B2" s="1588" t="str">
        <f>'预评函-封皮'!B37:I37</f>
        <v>北京市房山区琉璃河镇中心区E-07地块1#综合厂房等3项、2#厂房等18项（中粮科技园标准厂房及配套附属设施建设项目）出让国有建设用地使用权及在建建筑物房地产抵押价值预评估</v>
      </c>
    </row>
    <row r="3" spans="1:2" s="1592" customFormat="1">
      <c r="A3" s="1590" t="s">
        <v>1221</v>
      </c>
      <c r="B3" s="1591" t="str">
        <f>'预评函-封皮'!B40</f>
        <v>中粮（北京）农业生态谷发展有限公司</v>
      </c>
    </row>
    <row r="4" spans="1:2" s="1592" customFormat="1">
      <c r="A4" s="1590" t="s">
        <v>1222</v>
      </c>
      <c r="B4" s="1591" t="str">
        <f ca="1">'预评函-封皮'!B46</f>
        <v>吴薇（注册号：1419970001)、崔锴（注册号：1120100036)</v>
      </c>
    </row>
    <row r="5" spans="1:2" s="1586" customFormat="1" ht="16.2" thickBot="1">
      <c r="A5" s="1593" t="s">
        <v>1223</v>
      </c>
      <c r="B5" s="1594" t="str">
        <f>'预评函-封皮'!B49</f>
        <v>康正预评字号</v>
      </c>
    </row>
    <row r="6" spans="1:2" s="1589" customFormat="1" ht="16.2" thickTop="1">
      <c r="A6" s="1587" t="s">
        <v>1224</v>
      </c>
      <c r="B6" s="1588" t="str">
        <f>'预评函-1'!A4</f>
        <v>受贵公司委托，我公司对北京市房山区琉璃河镇中心区E-07地块1#综合厂房等3项、2#厂房等18项（中粮科技园标准厂房及配套附属设施建设项目）出让国有建设用地使用权及在建建筑物房地产抵押价值进行了预评估。</v>
      </c>
    </row>
    <row r="7" spans="1:2" s="1592" customFormat="1">
      <c r="A7" s="1590" t="s">
        <v>1264</v>
      </c>
      <c r="B7" s="1591" t="str">
        <f>'预评函-1'!A7</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49664.23平方米，建筑面积为103304.44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49664.23平方米，规划建筑面积为103304.44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为估价委托人在向中国工商银行股份有限公司北京朝阳支行办理贷款手续过程中，确定房地产抵押贷款额度提供参考依据而评估房地产抵押价值。</v>
      </c>
    </row>
    <row r="12" spans="1:2" s="1592" customFormat="1">
      <c r="A12" s="1590" t="s">
        <v>1226</v>
      </c>
      <c r="B12" s="1591" t="str">
        <f>'预评函-1'!A15</f>
        <v>2018年11月20日（评估专业人员实地查勘之日）</v>
      </c>
    </row>
    <row r="13" spans="1:2" s="1592" customFormat="1">
      <c r="A13" s="1590" t="s">
        <v>1227</v>
      </c>
      <c r="B13" s="1591" t="str">
        <f>'预评函-1'!A18</f>
        <v>本次估价的“房地产价值”是指在正常市场情况下，在价值时点2018年11月20日，估价对象规划用途为工业、地下车库，土地取得方式为出让，出让国有建设用地使用权剩余土地使用年限为工业45.68年、地下车库45.68年，假定未设立法定优先受偿款下的房地产市场价值。</v>
      </c>
    </row>
    <row r="14" spans="1:2" s="1592" customFormat="1">
      <c r="A14" s="1590" t="s">
        <v>1228</v>
      </c>
      <c r="B14" s="1591" t="str">
        <f>'预评函-1'!A19</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1232</v>
      </c>
      <c r="B18" s="1594" t="str">
        <f>'预评函-1'!A24</f>
        <v>本次评估采用的主估价方法为成本法和假设开发法。</v>
      </c>
    </row>
    <row r="19" spans="1:2" s="1589" customFormat="1" ht="16.2"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36623</v>
      </c>
    </row>
    <row r="21" spans="1:2" s="1592" customFormat="1">
      <c r="A21" s="1590" t="s">
        <v>1235</v>
      </c>
      <c r="B21" s="1591">
        <f ca="1">'预评函-2'!D7</f>
        <v>3545</v>
      </c>
    </row>
    <row r="22" spans="1:2" s="1592" customFormat="1">
      <c r="A22" s="1590" t="s">
        <v>1236</v>
      </c>
      <c r="B22" s="1591" t="str">
        <f ca="1">'预评函-2'!D6</f>
        <v>叁亿陆仟陆佰贰拾叁万元整</v>
      </c>
    </row>
    <row r="23" spans="1:2" s="1592" customFormat="1">
      <c r="A23" s="1590" t="s">
        <v>1287</v>
      </c>
      <c r="B23" s="1591" t="str">
        <f>'预评函-2'!B8</f>
        <v>2.估价师知悉的法定优先受偿款</v>
      </c>
    </row>
    <row r="24" spans="1:2" s="1592" customFormat="1">
      <c r="A24" s="1590" t="s">
        <v>1293</v>
      </c>
      <c r="B24" s="1591">
        <f>'预评函-2'!D8</f>
        <v>247</v>
      </c>
    </row>
    <row r="25" spans="1:2" s="1592" customFormat="1">
      <c r="A25" s="1590" t="s">
        <v>1237</v>
      </c>
      <c r="B25" s="1591" t="str">
        <f>'预评函-2'!D9</f>
        <v>贰佰肆拾柒万元整</v>
      </c>
    </row>
    <row r="26" spans="1:2" s="1592" customFormat="1">
      <c r="A26" s="1590" t="s">
        <v>1238</v>
      </c>
      <c r="B26" s="1591" t="str">
        <f>'预评函-2'!D10</f>
        <v>（未扣减，详见特别提示）</v>
      </c>
    </row>
    <row r="27" spans="1:2" s="1592" customFormat="1">
      <c r="A27" s="1590" t="s">
        <v>1239</v>
      </c>
      <c r="B27" s="1591">
        <f>'预评函-2'!D11</f>
        <v>0</v>
      </c>
    </row>
    <row r="28" spans="1:2" s="1592" customFormat="1">
      <c r="A28" s="1590" t="s">
        <v>1240</v>
      </c>
      <c r="B28" s="1591">
        <f>'预评函-2'!D12</f>
        <v>247</v>
      </c>
    </row>
    <row r="29" spans="1:2" s="1592" customFormat="1">
      <c r="A29" s="1590" t="s">
        <v>1291</v>
      </c>
      <c r="B29" s="1591" t="str">
        <f>'预评函-2'!B13</f>
        <v>3.房地产抵押价值</v>
      </c>
    </row>
    <row r="30" spans="1:2" s="1592" customFormat="1">
      <c r="A30" s="1590" t="s">
        <v>1292</v>
      </c>
      <c r="B30" s="1591">
        <f ca="1">'预评函-2'!D13</f>
        <v>36376</v>
      </c>
    </row>
    <row r="31" spans="1:2" s="1592" customFormat="1">
      <c r="A31" s="1590" t="s">
        <v>1274</v>
      </c>
      <c r="B31" s="1591">
        <f ca="1">'预评函-2'!D15</f>
        <v>3521</v>
      </c>
    </row>
    <row r="32" spans="1:2" s="1592" customFormat="1">
      <c r="A32" s="1590" t="s">
        <v>1241</v>
      </c>
      <c r="B32" s="1591" t="str">
        <f ca="1">'预评函-2'!D14</f>
        <v>叁亿陆仟叁佰柒拾陆万元整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北京市房山区琉璃河镇中心区E-07地块1#综合厂房等3项、2#厂房等18项（中粮科技园标准厂房及配套附属设施建设项目）出让国有建设用地使用权及在建建筑物房地产</v>
      </c>
    </row>
    <row r="42" spans="1:2" s="1592" customFormat="1" ht="31.2">
      <c r="A42" s="1590" t="s">
        <v>1288</v>
      </c>
      <c r="B42" s="1591" t="str">
        <f>'预评函-3'!B2</f>
        <v>建筑面积</v>
      </c>
    </row>
    <row r="43" spans="1:2" s="1592" customFormat="1">
      <c r="A43" s="1590" t="s">
        <v>1289</v>
      </c>
      <c r="B43" s="1591">
        <f>'预评函-3'!B4</f>
        <v>103304.44</v>
      </c>
    </row>
    <row r="44" spans="1:2" s="1592" customFormat="1" ht="31.2">
      <c r="A44" s="1590" t="s">
        <v>1273</v>
      </c>
      <c r="B44" s="1591" t="str">
        <f>'预评函-3'!C2</f>
        <v>(分摊)土地面积</v>
      </c>
    </row>
    <row r="45" spans="1:2" s="1592" customFormat="1">
      <c r="A45" s="1590" t="s">
        <v>1245</v>
      </c>
      <c r="B45" s="1591">
        <f>'预评函-3'!C4</f>
        <v>49664.23</v>
      </c>
    </row>
    <row r="46" spans="1:2" s="1592" customFormat="1">
      <c r="A46" s="1590" t="s">
        <v>1271</v>
      </c>
      <c r="B46" s="1591" t="str">
        <f>'预评函-3'!D2</f>
        <v>出让国有建设用地使用权价值</v>
      </c>
    </row>
    <row r="47" spans="1:2" s="1592" customFormat="1">
      <c r="A47" s="1590" t="s">
        <v>1246</v>
      </c>
      <c r="B47" s="1591">
        <f ca="1">'预评函-3'!D4</f>
        <v>12232</v>
      </c>
    </row>
    <row r="48" spans="1:2" s="1592" customFormat="1">
      <c r="A48" s="1590" t="s">
        <v>1247</v>
      </c>
      <c r="B48" s="1591">
        <f ca="1">'预评函-3'!E4</f>
        <v>1184</v>
      </c>
    </row>
    <row r="49" spans="1:2" s="1592" customFormat="1">
      <c r="A49" s="1590" t="s">
        <v>1248</v>
      </c>
      <c r="B49" s="1591" t="str">
        <f ca="1">'预评函-3'!D5</f>
        <v>壹亿贰仟贰佰叁拾贰万元整</v>
      </c>
    </row>
    <row r="50" spans="1:2" s="1592" customFormat="1">
      <c r="A50" s="1590" t="s">
        <v>1272</v>
      </c>
      <c r="B50" s="1591" t="str">
        <f>'预评函-3'!F2</f>
        <v>在建建筑物价值</v>
      </c>
    </row>
    <row r="51" spans="1:2" s="1592" customFormat="1">
      <c r="A51" s="1590" t="s">
        <v>1249</v>
      </c>
      <c r="B51" s="1591">
        <f ca="1">'预评函-3'!F4</f>
        <v>24391</v>
      </c>
    </row>
    <row r="52" spans="1:2" s="1592" customFormat="1">
      <c r="A52" s="1590" t="s">
        <v>1250</v>
      </c>
      <c r="B52" s="1591">
        <f ca="1">'预评函-3'!G4</f>
        <v>2361</v>
      </c>
    </row>
    <row r="53" spans="1:2" s="1592" customFormat="1">
      <c r="A53" s="1590" t="s">
        <v>1278</v>
      </c>
      <c r="B53" s="1591" t="str">
        <f ca="1">'预评函-3'!F5</f>
        <v>贰亿肆仟叁佰玖拾壹万元整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6.2" thickBot="1">
      <c r="A57" s="1593" t="s">
        <v>1297</v>
      </c>
      <c r="B57" s="1594" t="str">
        <f>'预评函-3'!A6</f>
        <v>估价师知悉的法定优先受偿款</v>
      </c>
    </row>
    <row r="58" spans="1:2" s="1589" customFormat="1" ht="16.2"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故，本次评估估价师知悉的法定优先受偿款为人民币247万元整。</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6.2" thickBot="1">
      <c r="A69" s="1593" t="s">
        <v>1259</v>
      </c>
      <c r="B69" s="1595">
        <f>'预评函-4'!C31</f>
        <v>42551</v>
      </c>
    </row>
    <row r="70" spans="1:2" ht="16.2" thickTop="1">
      <c r="A70" s="1596" t="s">
        <v>1260</v>
      </c>
      <c r="B70" s="1597" t="str">
        <f>'预评函-4'!A4</f>
        <v>吴薇</v>
      </c>
    </row>
    <row r="71" spans="1:2">
      <c r="A71" s="1590" t="s">
        <v>1261</v>
      </c>
      <c r="B71" s="1591">
        <f ca="1">'预评函-4'!B4</f>
        <v>1419970001</v>
      </c>
    </row>
    <row r="72" spans="1:2">
      <c r="A72" s="1590" t="s">
        <v>1262</v>
      </c>
      <c r="B72" s="1599" t="str">
        <f>'预评函-4'!A5</f>
        <v>崔锴</v>
      </c>
    </row>
    <row r="73" spans="1:2" s="1586" customFormat="1" ht="16.2" thickBot="1">
      <c r="A73" s="1593" t="s">
        <v>1263</v>
      </c>
      <c r="B73" s="1594">
        <f ca="1">'预评函-4'!B5</f>
        <v>1120100036</v>
      </c>
    </row>
    <row r="74" spans="1:2" ht="16.2"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4.4"/>
  <cols>
    <col min="1" max="1" width="13.44140625" style="2023" customWidth="1"/>
    <col min="2" max="2" width="23.21875" style="1974" customWidth="1"/>
    <col min="3" max="3" width="13" style="2018" hidden="1" customWidth="1"/>
    <col min="4" max="4" width="5.77734375" style="2015" hidden="1" customWidth="1"/>
    <col min="5" max="5" width="7.109375" style="2015" hidden="1" customWidth="1"/>
    <col min="6" max="6" width="10.6640625" style="2015" hidden="1" customWidth="1"/>
    <col min="7" max="7" width="7.44140625" style="2015" hidden="1" customWidth="1"/>
    <col min="8" max="8" width="9" style="2018" hidden="1" customWidth="1"/>
    <col min="9" max="9" width="11.6640625" style="2018" hidden="1" customWidth="1"/>
    <col min="10" max="10" width="9" style="2018" hidden="1" customWidth="1"/>
    <col min="11" max="19" width="9" style="2015" hidden="1" customWidth="1"/>
    <col min="20" max="22" width="9" style="2018" hidden="1" customWidth="1"/>
    <col min="23" max="23" width="9" style="2018" customWidth="1"/>
    <col min="24" max="24" width="21.109375" style="1974" customWidth="1"/>
    <col min="25" max="16384" width="9" style="1974"/>
  </cols>
  <sheetData>
    <row r="1" spans="1:23" s="2012" customFormat="1" ht="28.8">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3" t="s">
        <v>1707</v>
      </c>
      <c r="C2" s="2014" t="s">
        <v>760</v>
      </c>
      <c r="D2" s="2015" t="s">
        <v>1708</v>
      </c>
      <c r="E2" s="2015" t="s">
        <v>1709</v>
      </c>
      <c r="F2" s="2015" t="s">
        <v>1710</v>
      </c>
      <c r="G2" s="2015">
        <v>40</v>
      </c>
      <c r="H2" s="2015" t="s">
        <v>1710</v>
      </c>
      <c r="I2" s="2015" t="s">
        <v>1711</v>
      </c>
      <c r="J2" s="2015" t="s">
        <v>1712</v>
      </c>
      <c r="K2" s="2015" t="s">
        <v>1713</v>
      </c>
      <c r="L2" s="2015" t="s">
        <v>1713</v>
      </c>
      <c r="M2" s="2015" t="s">
        <v>1713</v>
      </c>
      <c r="N2" s="2015" t="s">
        <v>1713</v>
      </c>
      <c r="O2" s="2015" t="s">
        <v>1713</v>
      </c>
      <c r="P2" s="2015" t="s">
        <v>1713</v>
      </c>
      <c r="Q2" s="2015" t="s">
        <v>1713</v>
      </c>
      <c r="R2" s="2015" t="s">
        <v>1140</v>
      </c>
      <c r="S2" s="2015" t="s">
        <v>1713</v>
      </c>
      <c r="T2" s="2015" t="s">
        <v>1714</v>
      </c>
      <c r="U2" s="2015" t="s">
        <v>1713</v>
      </c>
      <c r="V2" s="2015" t="s">
        <v>1715</v>
      </c>
      <c r="W2" s="2015" t="s">
        <v>1713</v>
      </c>
    </row>
    <row r="3" spans="1:23">
      <c r="A3" s="2013" t="s">
        <v>1716</v>
      </c>
      <c r="B3" s="2016" t="s">
        <v>1145</v>
      </c>
      <c r="C3" s="2017" t="s">
        <v>761</v>
      </c>
      <c r="D3" s="2015" t="s">
        <v>1717</v>
      </c>
      <c r="E3" s="2015" t="s">
        <v>16</v>
      </c>
      <c r="F3" s="2015" t="s">
        <v>1718</v>
      </c>
      <c r="G3" s="2015">
        <v>50</v>
      </c>
      <c r="H3" s="2015" t="s">
        <v>1718</v>
      </c>
      <c r="I3" s="2015" t="s">
        <v>1719</v>
      </c>
      <c r="J3" s="2015" t="s">
        <v>1720</v>
      </c>
      <c r="K3" s="2015" t="s">
        <v>1721</v>
      </c>
      <c r="L3" s="2015" t="s">
        <v>1721</v>
      </c>
      <c r="M3" s="2015" t="s">
        <v>1721</v>
      </c>
      <c r="N3" s="2015" t="s">
        <v>1721</v>
      </c>
      <c r="O3" s="2015" t="s">
        <v>1721</v>
      </c>
      <c r="P3" s="2015" t="s">
        <v>1721</v>
      </c>
      <c r="Q3" s="2015" t="s">
        <v>1721</v>
      </c>
      <c r="R3" s="2015" t="s">
        <v>1139</v>
      </c>
      <c r="S3" s="2015" t="s">
        <v>1721</v>
      </c>
      <c r="T3" s="2015" t="s">
        <v>1722</v>
      </c>
      <c r="U3" s="2015" t="s">
        <v>1721</v>
      </c>
      <c r="V3" s="2015" t="s">
        <v>1723</v>
      </c>
      <c r="W3" s="2015" t="s">
        <v>1721</v>
      </c>
    </row>
    <row r="4" spans="1:23">
      <c r="A4" s="2013" t="s">
        <v>1724</v>
      </c>
      <c r="B4" s="2013" t="s">
        <v>1725</v>
      </c>
      <c r="C4" s="2014" t="s">
        <v>762</v>
      </c>
      <c r="D4" s="2015" t="s">
        <v>868</v>
      </c>
      <c r="E4" s="2015" t="s">
        <v>1726</v>
      </c>
      <c r="F4" s="2015" t="s">
        <v>1727</v>
      </c>
      <c r="G4" s="2015">
        <v>70</v>
      </c>
      <c r="H4" s="2015" t="s">
        <v>1727</v>
      </c>
      <c r="I4" s="2015" t="s">
        <v>1728</v>
      </c>
      <c r="K4" s="2015" t="s">
        <v>1729</v>
      </c>
      <c r="L4" s="2015" t="s">
        <v>1729</v>
      </c>
      <c r="M4" s="2015" t="s">
        <v>1729</v>
      </c>
      <c r="N4" s="2015" t="s">
        <v>1729</v>
      </c>
      <c r="O4" s="2015" t="s">
        <v>1729</v>
      </c>
      <c r="P4" s="2015" t="s">
        <v>1729</v>
      </c>
      <c r="Q4" s="2015" t="s">
        <v>1729</v>
      </c>
      <c r="R4" s="2015" t="s">
        <v>1141</v>
      </c>
      <c r="S4" s="2015" t="s">
        <v>1729</v>
      </c>
      <c r="T4" s="2015" t="s">
        <v>1730</v>
      </c>
      <c r="U4" s="2015" t="s">
        <v>1729</v>
      </c>
      <c r="W4" s="2015" t="s">
        <v>1729</v>
      </c>
    </row>
    <row r="5" spans="1:23">
      <c r="A5" s="2013" t="s">
        <v>1731</v>
      </c>
      <c r="B5" s="2013" t="s">
        <v>1732</v>
      </c>
      <c r="C5" s="2014" t="s">
        <v>763</v>
      </c>
      <c r="F5" s="2015" t="s">
        <v>1733</v>
      </c>
      <c r="H5" s="2015" t="s">
        <v>1734</v>
      </c>
      <c r="I5" s="2015" t="s">
        <v>1735</v>
      </c>
      <c r="K5" s="2015" t="s">
        <v>1736</v>
      </c>
      <c r="L5" s="2015" t="s">
        <v>1736</v>
      </c>
      <c r="M5" s="2015" t="s">
        <v>1736</v>
      </c>
      <c r="N5" s="2015" t="s">
        <v>1736</v>
      </c>
      <c r="O5" s="2015" t="s">
        <v>1736</v>
      </c>
      <c r="P5" s="2015" t="s">
        <v>1736</v>
      </c>
      <c r="Q5" s="2015" t="s">
        <v>1736</v>
      </c>
      <c r="R5" s="2015" t="s">
        <v>1142</v>
      </c>
      <c r="S5" s="2015" t="s">
        <v>1736</v>
      </c>
      <c r="T5" s="2015" t="s">
        <v>1737</v>
      </c>
      <c r="U5" s="2015" t="s">
        <v>1736</v>
      </c>
      <c r="W5" s="2015" t="s">
        <v>1736</v>
      </c>
    </row>
    <row r="6" spans="1:23">
      <c r="A6" s="2013" t="s">
        <v>1738</v>
      </c>
      <c r="B6" s="2016" t="s">
        <v>1146</v>
      </c>
      <c r="C6" s="2019" t="s">
        <v>30</v>
      </c>
      <c r="F6" s="2015" t="s">
        <v>1734</v>
      </c>
      <c r="H6" s="2015" t="s">
        <v>1739</v>
      </c>
      <c r="I6" s="2015" t="s">
        <v>1740</v>
      </c>
      <c r="K6" s="2015" t="s">
        <v>1741</v>
      </c>
      <c r="L6" s="2015" t="s">
        <v>1741</v>
      </c>
      <c r="M6" s="2015" t="s">
        <v>1741</v>
      </c>
      <c r="N6" s="2015" t="s">
        <v>1741</v>
      </c>
      <c r="O6" s="2015" t="s">
        <v>1741</v>
      </c>
      <c r="P6" s="2015" t="s">
        <v>1741</v>
      </c>
      <c r="Q6" s="2015" t="s">
        <v>1741</v>
      </c>
      <c r="R6" s="2015" t="s">
        <v>1143</v>
      </c>
      <c r="S6" s="2015" t="s">
        <v>1741</v>
      </c>
      <c r="T6" s="2015"/>
      <c r="U6" s="2015" t="s">
        <v>1741</v>
      </c>
      <c r="W6" s="2015" t="s">
        <v>1741</v>
      </c>
    </row>
    <row r="7" spans="1:23">
      <c r="A7" s="2013" t="s">
        <v>1742</v>
      </c>
      <c r="B7" s="2016" t="s">
        <v>1147</v>
      </c>
      <c r="C7" s="2014" t="s">
        <v>31</v>
      </c>
      <c r="F7" s="2015" t="s">
        <v>1743</v>
      </c>
      <c r="H7" s="2015" t="s">
        <v>1744</v>
      </c>
      <c r="I7" s="2015" t="s">
        <v>1745</v>
      </c>
    </row>
    <row r="8" spans="1:23">
      <c r="A8" s="2013" t="s">
        <v>1746</v>
      </c>
      <c r="B8" s="2013" t="s">
        <v>1747</v>
      </c>
      <c r="C8" s="2014" t="s">
        <v>764</v>
      </c>
      <c r="F8" s="2015" t="s">
        <v>1748</v>
      </c>
      <c r="H8" s="2015"/>
      <c r="I8" s="2015" t="s">
        <v>1749</v>
      </c>
    </row>
    <row r="9" spans="1:23">
      <c r="A9" s="2013" t="s">
        <v>1750</v>
      </c>
      <c r="B9" s="2013" t="s">
        <v>1751</v>
      </c>
      <c r="C9" s="2014" t="s">
        <v>765</v>
      </c>
      <c r="F9" s="2015" t="s">
        <v>1752</v>
      </c>
      <c r="H9" s="2015"/>
    </row>
    <row r="10" spans="1:23">
      <c r="A10" s="2013" t="s">
        <v>1753</v>
      </c>
      <c r="B10" s="2013" t="s">
        <v>1754</v>
      </c>
      <c r="C10" s="2014" t="s">
        <v>766</v>
      </c>
      <c r="F10" s="2015" t="s">
        <v>16</v>
      </c>
    </row>
    <row r="11" spans="1:23">
      <c r="A11" s="2013" t="s">
        <v>1755</v>
      </c>
      <c r="B11" s="2013" t="s">
        <v>1756</v>
      </c>
      <c r="C11" s="2014" t="s">
        <v>767</v>
      </c>
    </row>
    <row r="12" spans="1:23">
      <c r="A12" s="2013" t="s">
        <v>1757</v>
      </c>
      <c r="B12" s="2013" t="s">
        <v>1758</v>
      </c>
      <c r="C12" s="2014" t="s">
        <v>768</v>
      </c>
    </row>
    <row r="13" spans="1:23">
      <c r="A13" s="2013" t="s">
        <v>1759</v>
      </c>
      <c r="B13" s="2013" t="s">
        <v>1760</v>
      </c>
      <c r="C13" s="2014" t="s">
        <v>769</v>
      </c>
    </row>
    <row r="14" spans="1:23">
      <c r="A14" s="2013" t="s">
        <v>1761</v>
      </c>
      <c r="B14" s="2013" t="s">
        <v>1762</v>
      </c>
      <c r="C14" s="2015" t="s">
        <v>16</v>
      </c>
    </row>
    <row r="15" spans="1:23">
      <c r="A15" s="2013" t="s">
        <v>1763</v>
      </c>
      <c r="B15" s="2013" t="s">
        <v>1764</v>
      </c>
      <c r="C15" s="2014"/>
    </row>
    <row r="16" spans="1:23">
      <c r="A16" s="2013" t="s">
        <v>1765</v>
      </c>
      <c r="B16" s="2013" t="s">
        <v>756</v>
      </c>
      <c r="C16" s="2014"/>
    </row>
    <row r="17" spans="1:3">
      <c r="A17" s="2013" t="s">
        <v>1766</v>
      </c>
      <c r="B17" s="2013" t="s">
        <v>3135</v>
      </c>
      <c r="C17" s="2014"/>
    </row>
    <row r="18" spans="1:3">
      <c r="A18" s="2013" t="s">
        <v>1767</v>
      </c>
      <c r="B18" s="2013" t="s">
        <v>3133</v>
      </c>
      <c r="C18" s="2014"/>
    </row>
    <row r="19" spans="1:3">
      <c r="A19" s="2013" t="s">
        <v>1768</v>
      </c>
      <c r="B19" s="2013" t="s">
        <v>3282</v>
      </c>
      <c r="C19" s="2014"/>
    </row>
    <row r="20" spans="1:3">
      <c r="A20" s="2013" t="s">
        <v>1769</v>
      </c>
      <c r="B20" s="2013" t="s">
        <v>757</v>
      </c>
      <c r="C20" s="2014"/>
    </row>
    <row r="21" spans="1:3">
      <c r="A21" s="2013" t="s">
        <v>1770</v>
      </c>
      <c r="B21" s="2013" t="s">
        <v>757</v>
      </c>
      <c r="C21" s="2014"/>
    </row>
    <row r="22" spans="1:3">
      <c r="A22" s="2013" t="s">
        <v>1771</v>
      </c>
      <c r="B22" s="2013" t="s">
        <v>757</v>
      </c>
      <c r="C22" s="2014"/>
    </row>
    <row r="23" spans="1:3">
      <c r="A23" s="2013" t="s">
        <v>1772</v>
      </c>
      <c r="B23" s="2013" t="s">
        <v>757</v>
      </c>
      <c r="C23" s="2014"/>
    </row>
    <row r="24" spans="1:3">
      <c r="A24" s="2013" t="s">
        <v>1773</v>
      </c>
      <c r="B24" s="2013" t="s">
        <v>757</v>
      </c>
      <c r="C24" s="2014"/>
    </row>
    <row r="25" spans="1:3">
      <c r="A25" s="2013" t="s">
        <v>1774</v>
      </c>
      <c r="B25" s="2013" t="s">
        <v>757</v>
      </c>
      <c r="C25" s="2014"/>
    </row>
    <row r="26" spans="1:3">
      <c r="A26" s="2013" t="s">
        <v>1775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为估价委托人在向中国工商银行股份有限公司北京朝阳支行办理贷款手续过程中，确定房地产抵押贷款额度提供参考依据而评估房地产抵押价值。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出让国有建设用地使用权及在建建筑物房地产作为抵押担保物，向中国工商银行股份有限公司北京朝阳支行办理贷款手续。中国工商银行股份有限公司北京朝阳支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38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20日，估价对象规划用途为工业、地下车库土地取得方式为出让，出让国有建设用地使用权剩余土地使用年限为XX年(多用途剩余年限尾数不同时，可只体现小数点后一位)，假定未设立法定优先受偿款下的房地产市场价值。</v>
      </c>
    </row>
    <row r="54" spans="1:4">
      <c r="A54" s="3389"/>
      <c r="B54" s="2021" t="s">
        <v>864</v>
      </c>
      <c r="C54" s="2018" t="s">
        <v>1281</v>
      </c>
    </row>
    <row r="55" spans="1:4">
      <c r="A55" s="3389"/>
      <c r="B55" s="2021" t="s">
        <v>865</v>
      </c>
      <c r="C55" s="2018" t="s">
        <v>1282</v>
      </c>
    </row>
    <row r="56" spans="1:4">
      <c r="A56" s="3389"/>
      <c r="B56" s="2021" t="s">
        <v>866</v>
      </c>
      <c r="C56" s="2018" t="s">
        <v>1286</v>
      </c>
    </row>
    <row r="57" spans="1:4">
      <c r="A57" s="3389"/>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D4" sqref="D4"/>
    </sheetView>
  </sheetViews>
  <sheetFormatPr defaultColWidth="10" defaultRowHeight="18" customHeight="1"/>
  <cols>
    <col min="1" max="1" width="14.88671875" style="2031" customWidth="1"/>
    <col min="2" max="2" width="13" style="2031" customWidth="1"/>
    <col min="3" max="3" width="11.44140625" style="2031" customWidth="1"/>
    <col min="4" max="4" width="12.33203125" style="2031" customWidth="1"/>
    <col min="5"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1776</v>
      </c>
      <c r="B1" s="3398"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北京市房山区琉璃河镇中心区E-07地块1#综合厂房等3项、2#厂房等18项（中粮科技园标准厂房及配套附属设施建设项目）出让国有建设用地使用权及在建建筑物房地产抵押价值预评估</v>
      </c>
      <c r="C1" s="3399"/>
      <c r="D1" s="3399"/>
      <c r="E1" s="3399"/>
      <c r="F1" s="3399"/>
      <c r="G1" s="3399"/>
      <c r="H1" s="3399"/>
      <c r="I1" s="340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北京市房山区琉璃河镇中心区E-07地块1#综合厂房等3项、2#厂房等18项（中粮科技园标准厂房及配套附属设施建设项目）出让国有建设用地使用权及在建建筑物房地产抵押价值</v>
      </c>
    </row>
    <row r="2" spans="1:19" ht="18" customHeight="1">
      <c r="A2" s="2025" t="s">
        <v>1777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北京市房山区琉璃河镇中心区E-07地块1#综合厂房等3项、2#厂房等18项（中粮科技园标准厂房及配套附属设施建设项目）出让国有建设用地使用权及在建建筑物房地产</v>
      </c>
    </row>
    <row r="3" spans="1:19" ht="18" customHeight="1">
      <c r="A3" s="2034" t="s">
        <v>1778</v>
      </c>
      <c r="B3" s="2035">
        <v>43424</v>
      </c>
      <c r="C3" s="2036" t="s">
        <v>1779</v>
      </c>
      <c r="D3" s="2035">
        <v>43424</v>
      </c>
      <c r="E3" s="2025"/>
      <c r="F3" s="2025"/>
      <c r="G3" s="2025"/>
      <c r="H3" s="2025"/>
      <c r="I3" s="2025"/>
      <c r="J3" s="2025"/>
      <c r="K3" s="2026"/>
      <c r="L3" s="2027"/>
      <c r="M3" s="2027"/>
      <c r="N3" s="2028"/>
      <c r="O3" s="2029"/>
      <c r="P3" s="2028"/>
      <c r="Q3" s="2028"/>
      <c r="R3" s="2028"/>
      <c r="S3" s="2030"/>
    </row>
    <row r="4" spans="1:19" ht="18" customHeight="1" thickBot="1">
      <c r="A4" s="2037" t="s">
        <v>1780</v>
      </c>
      <c r="B4" s="2038" t="s">
        <v>3050</v>
      </c>
      <c r="C4" s="1036">
        <f ca="1">SUMIF(注册房地产估价师,B4,估价师及机构信息!B3:B24)</f>
        <v>1419970001</v>
      </c>
      <c r="D4" s="2038" t="s">
        <v>3490</v>
      </c>
      <c r="E4" s="1037">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1781</v>
      </c>
      <c r="B5" s="2960" t="s">
        <v>3145</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1782</v>
      </c>
      <c r="B6" s="2961" t="s">
        <v>3144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1783</v>
      </c>
      <c r="B7" s="2960" t="s">
        <v>3143</v>
      </c>
      <c r="C7" s="2047"/>
      <c r="D7" s="2048"/>
      <c r="E7" s="2033"/>
      <c r="F7" s="2041"/>
      <c r="G7" s="2041"/>
      <c r="H7" s="2041"/>
      <c r="I7" s="2041"/>
      <c r="J7" s="2041"/>
      <c r="K7" s="2050"/>
      <c r="L7" s="2027"/>
      <c r="M7" s="2027"/>
      <c r="N7" s="2028"/>
      <c r="O7" s="2029"/>
      <c r="P7" s="2028"/>
      <c r="Q7" s="2028"/>
      <c r="R7" s="2028"/>
    </row>
    <row r="8" spans="1:19" ht="18" customHeight="1">
      <c r="A8" s="2046" t="s">
        <v>1784</v>
      </c>
      <c r="B8" s="2051" t="s">
        <v>3045</v>
      </c>
      <c r="C8" s="2052"/>
      <c r="D8" s="3401" t="s">
        <v>1785</v>
      </c>
      <c r="E8" s="2053" t="s">
        <v>3046</v>
      </c>
      <c r="F8" s="2054"/>
      <c r="G8" s="2025"/>
      <c r="H8" s="2025"/>
      <c r="I8" s="2025"/>
      <c r="J8" s="2041"/>
      <c r="K8" s="2042"/>
      <c r="L8" s="2027"/>
      <c r="M8" s="2027"/>
      <c r="N8" s="2028"/>
      <c r="O8" s="2029"/>
      <c r="P8" s="2028"/>
      <c r="Q8" s="2028"/>
      <c r="R8" s="2028"/>
    </row>
    <row r="9" spans="1:19" ht="18" customHeight="1" thickBot="1">
      <c r="A9" s="2039" t="s">
        <v>1786</v>
      </c>
      <c r="B9" s="2055" t="s">
        <v>3046</v>
      </c>
      <c r="C9" s="2056"/>
      <c r="D9" s="3402"/>
      <c r="E9" s="2055"/>
      <c r="F9" s="2057"/>
      <c r="G9" s="2058"/>
      <c r="H9" s="2058"/>
      <c r="I9" s="2058"/>
      <c r="J9" s="2041"/>
      <c r="K9" s="2050"/>
      <c r="L9" s="2027"/>
      <c r="M9" s="2027"/>
      <c r="N9" s="2028"/>
      <c r="O9" s="2029"/>
      <c r="P9" s="2028"/>
      <c r="Q9" s="2028"/>
      <c r="R9" s="2028"/>
    </row>
    <row r="10" spans="1:19" ht="18" customHeight="1" thickTop="1">
      <c r="A10" s="2059" t="s">
        <v>1787</v>
      </c>
      <c r="B10" s="2060" t="s">
        <v>3047</v>
      </c>
      <c r="C10" s="2061"/>
      <c r="D10" s="2045"/>
      <c r="E10" s="2062" t="s">
        <v>1788</v>
      </c>
      <c r="F10" s="2063" t="s">
        <v>3146</v>
      </c>
      <c r="G10" s="2064"/>
      <c r="H10" s="2065"/>
      <c r="I10" s="2045"/>
      <c r="J10" s="2041"/>
      <c r="K10" s="2050"/>
      <c r="L10" s="2027"/>
      <c r="M10" s="2027"/>
      <c r="N10" s="2028"/>
      <c r="O10" s="2029"/>
      <c r="P10" s="2028"/>
      <c r="Q10" s="2028"/>
      <c r="R10" s="2028"/>
    </row>
    <row r="11" spans="1:19" ht="18" customHeight="1">
      <c r="A11" s="2066" t="s">
        <v>1789</v>
      </c>
      <c r="B11" s="2067" t="s">
        <v>3048</v>
      </c>
      <c r="C11" s="2962" t="s">
        <v>3143</v>
      </c>
      <c r="D11" s="2068"/>
      <c r="E11" s="2041"/>
      <c r="F11" s="2041"/>
      <c r="G11" s="2041"/>
      <c r="H11" s="2041"/>
      <c r="I11" s="2041"/>
      <c r="J11" s="2041"/>
      <c r="K11" s="2050"/>
      <c r="L11" s="2027"/>
      <c r="M11" s="2027"/>
      <c r="N11" s="2028"/>
      <c r="O11" s="2029"/>
      <c r="P11" s="2028"/>
      <c r="Q11" s="2028"/>
      <c r="R11" s="2028"/>
    </row>
    <row r="12" spans="1:19" ht="18" customHeight="1">
      <c r="A12" s="2069" t="s">
        <v>1790</v>
      </c>
      <c r="B12" s="2067" t="s">
        <v>3049</v>
      </c>
      <c r="C12" s="2070" t="s">
        <v>1791</v>
      </c>
      <c r="D12" s="2071" t="s">
        <v>1792</v>
      </c>
      <c r="E12" s="2071" t="s">
        <v>1793</v>
      </c>
      <c r="F12" s="2071" t="s">
        <v>1794</v>
      </c>
      <c r="G12" s="2071" t="s">
        <v>1795</v>
      </c>
      <c r="H12" s="2071" t="s">
        <v>1796</v>
      </c>
      <c r="I12" s="2071" t="s">
        <v>1797</v>
      </c>
      <c r="J12" s="2041"/>
      <c r="K12" s="2050"/>
      <c r="L12" s="2027"/>
      <c r="M12" s="2027"/>
      <c r="N12" s="2028"/>
      <c r="O12" s="2029"/>
      <c r="P12" s="2028"/>
      <c r="Q12" s="2028"/>
      <c r="R12" s="2028"/>
    </row>
    <row r="13" spans="1:19" ht="18" customHeight="1">
      <c r="A13" s="2072"/>
      <c r="B13" s="2073"/>
      <c r="C13" s="2074" t="s">
        <v>1798</v>
      </c>
      <c r="D13" s="2075"/>
      <c r="E13" s="2075"/>
      <c r="F13" s="2075"/>
      <c r="G13" s="2075">
        <v>59926</v>
      </c>
      <c r="H13" s="2075"/>
      <c r="I13" s="1046">
        <v>59926</v>
      </c>
      <c r="J13" s="2041"/>
      <c r="K13" s="2050"/>
      <c r="L13" s="2027"/>
      <c r="M13" s="2027"/>
      <c r="N13" s="2028"/>
      <c r="O13" s="2029"/>
      <c r="P13" s="2028"/>
      <c r="Q13" s="2028"/>
      <c r="R13" s="2028"/>
    </row>
    <row r="14" spans="1:19" ht="18" customHeight="1">
      <c r="A14" s="2072"/>
      <c r="B14" s="2073"/>
      <c r="C14" s="2074" t="s">
        <v>1799</v>
      </c>
      <c r="D14" s="1049"/>
      <c r="E14" s="1049"/>
      <c r="F14" s="1049"/>
      <c r="G14" s="1049">
        <v>50</v>
      </c>
      <c r="H14" s="1049"/>
      <c r="I14" s="1049">
        <v>50</v>
      </c>
      <c r="J14" s="2041"/>
      <c r="K14" s="2076"/>
      <c r="L14" s="2027"/>
      <c r="M14" s="2027"/>
      <c r="N14" s="2028"/>
      <c r="O14" s="2029"/>
      <c r="P14" s="2028"/>
      <c r="Q14" s="2028"/>
      <c r="R14" s="2028"/>
    </row>
    <row r="15" spans="1:19" ht="18" customHeight="1">
      <c r="A15" s="2059"/>
      <c r="B15" s="2077"/>
      <c r="C15" s="2074" t="s">
        <v>1800</v>
      </c>
      <c r="D15" s="1048" t="str">
        <f>IF(B12="出让",IF(D13="","",ROUNDDOWN(MIN((D13-$D$3)/365,D14),2)),D14)</f>
        <v/>
      </c>
      <c r="E15" s="1048" t="str">
        <f>IF(B12="出让",IF(E13="","",ROUNDDOWN(MIN((E13-$D$3)/365,E14),2)),E14)</f>
        <v/>
      </c>
      <c r="F15" s="1048" t="str">
        <f>IF(B12="出让",IF(F13="","",ROUNDDOWN(MIN((F13-$D$3)/365,F14),2)),F14)</f>
        <v/>
      </c>
      <c r="G15" s="1048">
        <f>IF(B12="出让",IF(G13="","",ROUNDDOWN(MIN((G13-$D$3)/365,G14),2)),G14)</f>
        <v>45.21</v>
      </c>
      <c r="H15" s="1048" t="str">
        <f>IF(B12="出让",IF(H13="","",ROUNDDOWN(MIN((H13-$D$3)/365,H14),2)),H14)</f>
        <v/>
      </c>
      <c r="I15" s="1048">
        <f>IF(B12="出让",IF(I13="","",ROUNDDOWN(MIN((I13-$D$3)/365,I14),2)),I14)</f>
        <v>45.21</v>
      </c>
      <c r="J15" s="2041"/>
      <c r="K15" s="2078"/>
      <c r="L15" s="2079"/>
      <c r="M15" s="2079"/>
      <c r="N15" s="2080"/>
      <c r="O15" s="2079"/>
      <c r="P15" s="2080"/>
      <c r="Q15" s="2028"/>
      <c r="R15" s="2028"/>
    </row>
    <row r="16" spans="1:19" ht="30.75" customHeight="1">
      <c r="A16" s="2062" t="s">
        <v>1801</v>
      </c>
      <c r="B16" s="3408" t="s">
        <v>3147</v>
      </c>
      <c r="C16" s="3409"/>
      <c r="D16" s="3410"/>
      <c r="E16" s="2081" t="s">
        <v>1802</v>
      </c>
      <c r="F16" s="3411" t="s">
        <v>3148</v>
      </c>
      <c r="G16" s="3412"/>
      <c r="H16" s="3412"/>
      <c r="I16" s="3413"/>
      <c r="J16" s="2028"/>
      <c r="K16" s="2078"/>
      <c r="L16" s="2079"/>
      <c r="M16" s="2079"/>
      <c r="N16" s="2080"/>
      <c r="O16" s="2079"/>
      <c r="P16" s="2080"/>
      <c r="Q16" s="2028"/>
      <c r="R16" s="2028"/>
    </row>
    <row r="17" spans="1:22" ht="18" customHeight="1">
      <c r="A17" s="2082" t="s">
        <v>1803</v>
      </c>
      <c r="B17" s="2034" t="s">
        <v>1804</v>
      </c>
      <c r="C17" s="1053">
        <f>'数据-汇总表'!E3</f>
        <v>103304.44</v>
      </c>
      <c r="D17" s="2083" t="s">
        <v>1805</v>
      </c>
      <c r="E17" s="3414" t="s">
        <v>3154</v>
      </c>
      <c r="F17" s="3415"/>
      <c r="G17" s="3415"/>
      <c r="H17" s="3415"/>
      <c r="I17" s="3416"/>
      <c r="J17" s="2028"/>
      <c r="K17" s="2084"/>
      <c r="L17" s="2079"/>
      <c r="M17" s="2079"/>
      <c r="N17" s="2080"/>
      <c r="O17" s="2079"/>
      <c r="P17" s="2080"/>
      <c r="Q17" s="2028"/>
      <c r="R17" s="2028"/>
      <c r="S17" s="2028"/>
      <c r="T17" s="2028"/>
      <c r="U17" s="2028"/>
      <c r="V17" s="2028"/>
    </row>
    <row r="18" spans="1:22" ht="36" customHeight="1" thickBot="1">
      <c r="A18" s="2085" t="s">
        <v>1806</v>
      </c>
      <c r="B18" s="2037" t="s">
        <v>1807</v>
      </c>
      <c r="C18" s="1443">
        <f>'数据-汇总表'!D3</f>
        <v>49664.23</v>
      </c>
      <c r="D18" s="2086" t="s">
        <v>1805</v>
      </c>
      <c r="E18" s="3417" t="s">
        <v>3149</v>
      </c>
      <c r="F18" s="3418"/>
      <c r="G18" s="3418"/>
      <c r="H18" s="3418"/>
      <c r="I18" s="3419"/>
      <c r="J18" s="2028"/>
      <c r="K18" s="2084"/>
      <c r="L18" s="2079"/>
      <c r="M18" s="2079"/>
      <c r="N18" s="2080"/>
      <c r="O18" s="2079"/>
      <c r="P18" s="2080"/>
      <c r="Q18" s="2028"/>
      <c r="R18" s="2028"/>
      <c r="S18" s="2028"/>
      <c r="T18" s="2028"/>
      <c r="U18" s="2028"/>
      <c r="V18" s="2028"/>
    </row>
    <row r="19" spans="1:22" ht="37.5" customHeight="1" thickTop="1" thickBot="1">
      <c r="A19" s="371" t="s">
        <v>1808</v>
      </c>
      <c r="B19" s="350" t="s">
        <v>1809</v>
      </c>
      <c r="C19" s="2087" t="s">
        <v>3098</v>
      </c>
      <c r="D19" s="2088" t="s">
        <v>1810</v>
      </c>
      <c r="E19" s="2089" t="s">
        <v>3131</v>
      </c>
      <c r="F19" s="2090" t="str">
        <f>IF(AND(C19="是",E19="否"),"是否提供他项权证或相关说明","")</f>
        <v>是否提供他项权证或相关说明</v>
      </c>
      <c r="G19" s="2091" t="s">
        <v>3131</v>
      </c>
      <c r="H19" s="2041"/>
      <c r="I19" s="2041"/>
      <c r="J19" s="2041"/>
      <c r="K19" s="2050"/>
      <c r="L19" s="2027"/>
      <c r="M19" s="2027"/>
      <c r="N19" s="2080"/>
      <c r="O19" s="2079"/>
      <c r="P19" s="2080"/>
      <c r="Q19" s="2028"/>
      <c r="R19" s="2028"/>
      <c r="S19" s="2028"/>
      <c r="T19" s="2028"/>
      <c r="U19" s="2028"/>
      <c r="V19" s="2028"/>
    </row>
    <row r="20" spans="1:22" ht="18" customHeight="1">
      <c r="A20" s="2092" t="s">
        <v>1811</v>
      </c>
      <c r="B20" s="3404" t="s">
        <v>1812</v>
      </c>
      <c r="C20" s="3405"/>
      <c r="D20" s="3406" t="s">
        <v>1813</v>
      </c>
      <c r="E20" s="3407"/>
      <c r="F20" s="2093" t="s">
        <v>1814</v>
      </c>
      <c r="G20" s="2041"/>
      <c r="H20" s="2041"/>
      <c r="I20" s="2041"/>
      <c r="J20" s="2041"/>
      <c r="K20" s="3403" t="s">
        <v>1815</v>
      </c>
      <c r="L20" s="745"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2027"/>
      <c r="N20" s="2080"/>
      <c r="O20" s="2079"/>
      <c r="P20" s="2080"/>
      <c r="Q20" s="2028"/>
      <c r="R20" s="2028"/>
      <c r="S20" s="2028"/>
      <c r="T20" s="2028"/>
      <c r="U20" s="2028"/>
      <c r="V20" s="2028"/>
    </row>
    <row r="21" spans="1:22" ht="24.75" customHeight="1">
      <c r="A21" s="2092"/>
      <c r="B21" s="2094" t="s">
        <v>1816</v>
      </c>
      <c r="C21" s="2095" t="s">
        <v>70</v>
      </c>
      <c r="D21" s="2096" t="s">
        <v>1817</v>
      </c>
      <c r="E21" s="2097" t="s">
        <v>70</v>
      </c>
      <c r="F21" s="2098"/>
      <c r="G21" s="2041"/>
      <c r="H21" s="2041"/>
      <c r="I21" s="2041"/>
      <c r="J21" s="2041"/>
      <c r="K21" s="340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1818</v>
      </c>
      <c r="C22" s="2095" t="s">
        <v>3150</v>
      </c>
      <c r="D22" s="2025"/>
      <c r="E22" s="2025"/>
      <c r="F22" s="2100"/>
      <c r="G22" s="2041"/>
      <c r="H22" s="2041"/>
      <c r="I22" s="2041"/>
      <c r="J22" s="2041"/>
      <c r="K22" s="340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1819</v>
      </c>
      <c r="B23" s="181" t="s">
        <v>1820</v>
      </c>
      <c r="C23" s="2102">
        <v>42941</v>
      </c>
      <c r="D23" s="2103" t="s">
        <v>1820</v>
      </c>
      <c r="E23" s="2104"/>
      <c r="F23" s="2100"/>
      <c r="G23" s="2041"/>
      <c r="H23" s="2041"/>
      <c r="I23" s="2041"/>
      <c r="J23" s="2041"/>
      <c r="K23" s="2105"/>
      <c r="L23" s="745"/>
      <c r="M23" s="2027"/>
      <c r="N23" s="2080"/>
      <c r="O23" s="2079"/>
      <c r="P23" s="2080"/>
      <c r="Q23" s="2028"/>
      <c r="R23" s="2028"/>
      <c r="S23" s="2028"/>
      <c r="T23" s="2028"/>
      <c r="U23" s="2028"/>
      <c r="V23" s="2028"/>
    </row>
    <row r="24" spans="1:22" ht="18" customHeight="1">
      <c r="A24" s="2106"/>
      <c r="B24" s="181" t="s">
        <v>1821</v>
      </c>
      <c r="C24" s="2963" t="s">
        <v>3144</v>
      </c>
      <c r="D24" s="2101" t="s">
        <v>1821</v>
      </c>
      <c r="E24" s="2108"/>
      <c r="F24" s="2100"/>
      <c r="G24" s="2041"/>
      <c r="H24" s="2041"/>
      <c r="I24" s="2041"/>
      <c r="J24" s="2041"/>
      <c r="K24" s="2105"/>
      <c r="L24" s="745"/>
      <c r="M24" s="2027"/>
      <c r="N24" s="2080"/>
      <c r="O24" s="2079"/>
      <c r="P24" s="2080"/>
      <c r="Q24" s="2028"/>
      <c r="R24" s="2028"/>
      <c r="S24" s="2028"/>
      <c r="T24" s="2028"/>
      <c r="U24" s="2028"/>
      <c r="V24" s="2028"/>
    </row>
    <row r="25" spans="1:22" ht="18" customHeight="1">
      <c r="A25" s="2106"/>
      <c r="B25" s="181" t="s">
        <v>1822</v>
      </c>
      <c r="C25" s="2107"/>
      <c r="D25" s="2101" t="s">
        <v>1822</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1823</v>
      </c>
      <c r="C26" s="2111"/>
      <c r="D26" s="2112" t="s">
        <v>1824</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391" t="s">
        <v>1825</v>
      </c>
      <c r="B27" s="2059" t="s">
        <v>1826</v>
      </c>
      <c r="C27" s="2115" t="s">
        <v>3153</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391"/>
      <c r="B28" s="2034" t="s">
        <v>1827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391"/>
      <c r="B29" s="2034" t="s">
        <v>1828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392"/>
      <c r="B30" s="2034" t="s">
        <v>1829</v>
      </c>
      <c r="C30" s="3393"/>
      <c r="D30" s="3394"/>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395" t="s">
        <v>1830</v>
      </c>
      <c r="B31" s="2122" t="s">
        <v>3151</v>
      </c>
      <c r="C31" s="2123" t="str">
        <f>IF(B31="现房","成新及维护状况正常否",IF(B31="在建","工程状态是否正常",IF(B31="土地","是否闲置","-")))</f>
        <v>工程状态是否正常</v>
      </c>
      <c r="D31" s="2124"/>
      <c r="E31" s="2964" t="s">
        <v>3152</v>
      </c>
      <c r="F31" s="2041"/>
      <c r="G31" s="2041"/>
      <c r="H31" s="2041"/>
      <c r="I31" s="2041"/>
      <c r="J31" s="2041"/>
      <c r="K31" s="2049"/>
      <c r="L31" s="2027"/>
      <c r="M31" s="2027"/>
      <c r="N31" s="2028"/>
      <c r="O31" s="2029"/>
      <c r="P31" s="2028"/>
      <c r="Q31" s="2028"/>
      <c r="R31" s="2028"/>
      <c r="S31" s="2028"/>
      <c r="T31" s="2028"/>
      <c r="U31" s="2028"/>
      <c r="V31" s="2028"/>
    </row>
    <row r="32" spans="1:22" ht="18" customHeight="1">
      <c r="A32" s="3396"/>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396"/>
      <c r="B33" s="2126"/>
      <c r="C33" s="2066"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1831</v>
      </c>
      <c r="B34" s="2129" t="s">
        <v>3113</v>
      </c>
      <c r="C34" s="2129" t="s">
        <v>3114</v>
      </c>
      <c r="D34" s="2129" t="s">
        <v>3115</v>
      </c>
      <c r="E34" s="2129" t="s">
        <v>3116</v>
      </c>
      <c r="F34" s="2129" t="s">
        <v>3117</v>
      </c>
      <c r="G34" s="2129" t="s">
        <v>3118</v>
      </c>
      <c r="H34" s="2129" t="s">
        <v>3119</v>
      </c>
      <c r="I34" s="2041"/>
      <c r="J34" s="2041"/>
      <c r="K34" s="1794">
        <f>COUNTIF(B34:H34,"——")</f>
        <v>0</v>
      </c>
      <c r="L34" s="2070" t="s">
        <v>1832</v>
      </c>
      <c r="M34" s="2070" t="s">
        <v>1833</v>
      </c>
      <c r="N34" s="2070" t="s">
        <v>1834</v>
      </c>
      <c r="O34" s="2070" t="s">
        <v>1835</v>
      </c>
      <c r="P34" s="2070" t="s">
        <v>1836</v>
      </c>
      <c r="Q34" s="2070" t="s">
        <v>1837</v>
      </c>
      <c r="R34" s="2070" t="s">
        <v>1838</v>
      </c>
      <c r="S34" s="3390" t="s">
        <v>1839</v>
      </c>
      <c r="T34" s="2130" t="str">
        <f>NUMBERSTRING(7-K34,1)&amp;"通"</f>
        <v>七通</v>
      </c>
      <c r="U34" s="2028"/>
      <c r="V34" s="2028"/>
    </row>
    <row r="35" spans="1:22" ht="18" customHeight="1">
      <c r="A35" s="2131"/>
      <c r="B35" s="3397" t="s">
        <v>1840</v>
      </c>
      <c r="C35" s="3397"/>
      <c r="D35" s="3397"/>
      <c r="E35" s="3397"/>
      <c r="F35" s="2132">
        <f>C10</f>
        <v>0</v>
      </c>
      <c r="G35" s="2041"/>
      <c r="H35" s="2041"/>
      <c r="I35" s="2041"/>
      <c r="J35" s="2041"/>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390"/>
      <c r="T35" s="47" t="str">
        <f>IF(T34="一通",L35,IF(T34="二通",M35,IF(T34="三通",N35,IF(T34="四通",O35,IF(T34="五通",P35,IF(T34="六通",Q35,R35))))))</f>
        <v>通路、通电、通讯、通上水、通下水、通热、燃气</v>
      </c>
      <c r="U35" s="2028"/>
      <c r="V35" s="2028"/>
    </row>
    <row r="36" spans="1:22" ht="18" customHeight="1">
      <c r="A36" s="2133"/>
      <c r="B36" s="2132" t="s">
        <v>1841</v>
      </c>
      <c r="C36" s="2132" t="s">
        <v>1842</v>
      </c>
      <c r="D36" s="2132" t="s">
        <v>1843</v>
      </c>
      <c r="E36" s="2132" t="s">
        <v>1844</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1845</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1846</v>
      </c>
      <c r="B38" s="2138"/>
      <c r="C38" s="2138"/>
      <c r="D38" s="2138"/>
      <c r="E38" s="2138" t="s">
        <v>234</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1848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1849</v>
      </c>
      <c r="B42" s="1794" t="s">
        <v>1850</v>
      </c>
      <c r="C42" s="1794" t="s">
        <v>1851</v>
      </c>
      <c r="D42" s="1794" t="s">
        <v>1852</v>
      </c>
      <c r="E42" s="1794" t="s">
        <v>1853</v>
      </c>
      <c r="F42" s="1794" t="s">
        <v>1854</v>
      </c>
      <c r="G42" s="1794" t="s">
        <v>1855</v>
      </c>
      <c r="H42" s="1794" t="s">
        <v>1856</v>
      </c>
      <c r="I42" s="1794" t="s">
        <v>1857</v>
      </c>
      <c r="J42" s="2148" t="s">
        <v>1858</v>
      </c>
      <c r="K42" s="2071" t="s">
        <v>1859</v>
      </c>
      <c r="L42" s="2071" t="s">
        <v>1860</v>
      </c>
      <c r="M42" s="2071" t="s">
        <v>1861</v>
      </c>
      <c r="N42" s="1794" t="s">
        <v>1862</v>
      </c>
      <c r="O42" s="1794" t="s">
        <v>1863</v>
      </c>
      <c r="P42" s="1794" t="s">
        <v>1864</v>
      </c>
      <c r="Q42" s="2070" t="s">
        <v>1865</v>
      </c>
      <c r="R42" s="2070" t="s">
        <v>1866</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J22" sqref="J22"/>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2" width="9.44140625" style="2155" customWidth="1"/>
    <col min="13" max="13" width="10.21875" style="2155" customWidth="1"/>
    <col min="14" max="14" width="9.44140625" style="2155" customWidth="1"/>
    <col min="15" max="15" width="9.88671875" style="2155" hidden="1" customWidth="1"/>
    <col min="16" max="16" width="9.77734375" style="2155" hidden="1" customWidth="1"/>
    <col min="17" max="17" width="9.33203125" style="2155" hidden="1" customWidth="1"/>
    <col min="18" max="18" width="9.21875" style="2155" hidden="1" customWidth="1"/>
    <col min="19" max="19" width="10.88671875" style="2155" hidden="1" customWidth="1"/>
    <col min="20" max="21" width="10.77734375" style="2155" hidden="1" customWidth="1"/>
    <col min="22" max="22" width="10.88671875" style="2155" hidden="1" customWidth="1"/>
    <col min="23" max="27" width="10.77734375" style="2155" hidden="1" customWidth="1"/>
    <col min="28" max="28" width="10.88671875" style="2155" hidden="1" customWidth="1"/>
    <col min="29" max="29" width="11" style="2155" bestFit="1" customWidth="1"/>
    <col min="30" max="30" width="10" style="2155" hidden="1" customWidth="1"/>
    <col min="31" max="31" width="9.77734375" style="2155" hidden="1" customWidth="1"/>
    <col min="32" max="37" width="9.44140625" style="2155" hidden="1" customWidth="1"/>
    <col min="38"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1872</v>
      </c>
      <c r="AZ2" s="1269"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2967">
        <f>面积!M26</f>
        <v>119876.49</v>
      </c>
      <c r="B3" s="13">
        <f>IF(C3="否",G5-AT5,G5)</f>
        <v>249349.93999999997</v>
      </c>
      <c r="C3" s="2164" t="s">
        <v>3098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4" t="s">
        <v>1875</v>
      </c>
      <c r="B5" s="1802"/>
      <c r="C5" s="1802"/>
      <c r="D5" s="1805"/>
      <c r="E5" s="15" t="s">
        <v>1</v>
      </c>
      <c r="F5" s="15">
        <f>SUM(F13:F587)</f>
        <v>0</v>
      </c>
      <c r="G5" s="15">
        <f>SUM(G13:G587)</f>
        <v>249349.93999999997</v>
      </c>
      <c r="H5" s="15">
        <f t="shared" ref="H5:AT5" si="0">SUM(H13:H656)</f>
        <v>238419.53</v>
      </c>
      <c r="I5" s="15">
        <f t="shared" si="0"/>
        <v>178899.71999999997</v>
      </c>
      <c r="J5" s="15">
        <f t="shared" si="0"/>
        <v>0</v>
      </c>
      <c r="K5" s="15">
        <f t="shared" si="0"/>
        <v>29219.65</v>
      </c>
      <c r="L5" s="15">
        <f t="shared" si="0"/>
        <v>0</v>
      </c>
      <c r="M5" s="15">
        <f t="shared" si="0"/>
        <v>30300.16</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8065.41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857.1400000000001</v>
      </c>
      <c r="AM5" s="15">
        <f t="shared" si="0"/>
        <v>0</v>
      </c>
      <c r="AN5" s="15">
        <f t="shared" si="0"/>
        <v>7208.27</v>
      </c>
      <c r="AO5" s="15">
        <f t="shared" si="0"/>
        <v>0</v>
      </c>
      <c r="AP5" s="15">
        <f t="shared" si="0"/>
        <v>0</v>
      </c>
      <c r="AQ5" s="15">
        <f t="shared" si="0"/>
        <v>0</v>
      </c>
      <c r="AR5" s="15">
        <f t="shared" si="0"/>
        <v>0</v>
      </c>
      <c r="AS5" s="15">
        <f t="shared" si="0"/>
        <v>0</v>
      </c>
      <c r="AT5" s="15">
        <f t="shared" si="0"/>
        <v>2865</v>
      </c>
      <c r="AU5" s="1801"/>
      <c r="AV5" s="14" t="s">
        <v>1875</v>
      </c>
      <c r="AW5" s="1802"/>
      <c r="AX5" s="1802"/>
      <c r="AY5" s="16" t="s">
        <v>3</v>
      </c>
      <c r="AZ5" s="17">
        <f t="shared" ref="AZ5:BT5" si="1">SUM(AZ13:AZ656)</f>
        <v>103304.44</v>
      </c>
      <c r="BA5" s="17">
        <f t="shared" si="1"/>
        <v>96744.28</v>
      </c>
      <c r="BB5" s="17">
        <f t="shared" si="1"/>
        <v>75800.5</v>
      </c>
      <c r="BC5" s="17">
        <f t="shared" si="1"/>
        <v>8295.2800000000007</v>
      </c>
      <c r="BD5" s="17">
        <f t="shared" si="1"/>
        <v>12648.5</v>
      </c>
      <c r="BE5" s="17">
        <f t="shared" si="1"/>
        <v>0</v>
      </c>
      <c r="BF5" s="17">
        <f t="shared" si="1"/>
        <v>0</v>
      </c>
      <c r="BG5" s="17">
        <f t="shared" si="1"/>
        <v>0</v>
      </c>
      <c r="BH5" s="17">
        <f t="shared" si="1"/>
        <v>0</v>
      </c>
      <c r="BI5" s="17">
        <f t="shared" si="1"/>
        <v>0</v>
      </c>
      <c r="BJ5" s="17">
        <f t="shared" si="1"/>
        <v>0</v>
      </c>
      <c r="BK5" s="17">
        <f t="shared" si="1"/>
        <v>0</v>
      </c>
      <c r="BL5" s="17">
        <f t="shared" si="1"/>
        <v>6560.16</v>
      </c>
      <c r="BM5" s="17">
        <f t="shared" si="1"/>
        <v>0</v>
      </c>
      <c r="BN5" s="17">
        <f t="shared" si="1"/>
        <v>0</v>
      </c>
      <c r="BO5" s="17">
        <f t="shared" si="1"/>
        <v>0</v>
      </c>
      <c r="BP5" s="17">
        <f t="shared" si="1"/>
        <v>0</v>
      </c>
      <c r="BQ5" s="17">
        <f t="shared" si="1"/>
        <v>272.16000000000003</v>
      </c>
      <c r="BR5" s="17">
        <f t="shared" si="1"/>
        <v>6288</v>
      </c>
      <c r="BS5" s="17">
        <f t="shared" si="1"/>
        <v>0</v>
      </c>
      <c r="BT5" s="18">
        <f t="shared" si="1"/>
        <v>0</v>
      </c>
    </row>
    <row r="6" spans="1:72" s="2173" customFormat="1" ht="13.2">
      <c r="A6" s="14" t="s">
        <v>1876</v>
      </c>
      <c r="B6" s="2170"/>
      <c r="C6" s="2170"/>
      <c r="D6" s="2171"/>
      <c r="E6" s="15">
        <f>H6+AC6+AT6</f>
        <v>119876.48999999999</v>
      </c>
      <c r="F6" s="15" t="s">
        <v>1</v>
      </c>
      <c r="G6" s="15" t="s">
        <v>2</v>
      </c>
      <c r="H6" s="19">
        <f>SUMIF(I$12:AB$12,"总值",I6:AB6)</f>
        <v>114621.62</v>
      </c>
      <c r="I6" s="15">
        <f t="shared" ref="I6:AB6" si="2">ROUND($A$3*I5/$B$3,2)</f>
        <v>86007.12</v>
      </c>
      <c r="J6" s="15">
        <f t="shared" si="2"/>
        <v>0</v>
      </c>
      <c r="K6" s="15">
        <f t="shared" si="2"/>
        <v>14047.52</v>
      </c>
      <c r="L6" s="15">
        <f t="shared" si="2"/>
        <v>0</v>
      </c>
      <c r="M6" s="15">
        <f t="shared" si="2"/>
        <v>14566.98</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3877.5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412.08</v>
      </c>
      <c r="AM6" s="15">
        <f t="shared" si="3"/>
        <v>0</v>
      </c>
      <c r="AN6" s="15">
        <f t="shared" si="3"/>
        <v>3465.42</v>
      </c>
      <c r="AO6" s="15">
        <f t="shared" si="3"/>
        <v>0</v>
      </c>
      <c r="AP6" s="15">
        <f t="shared" si="3"/>
        <v>0</v>
      </c>
      <c r="AQ6" s="15">
        <f t="shared" si="3"/>
        <v>0</v>
      </c>
      <c r="AR6" s="15">
        <f t="shared" si="3"/>
        <v>0</v>
      </c>
      <c r="AS6" s="15">
        <f t="shared" si="3"/>
        <v>0</v>
      </c>
      <c r="AT6" s="19">
        <f>IF(C3="是",ROUND($A$3*AT5/$B$3,2),0)</f>
        <v>1377.37</v>
      </c>
      <c r="AU6" s="2172"/>
      <c r="AV6" s="14" t="s">
        <v>1876</v>
      </c>
      <c r="AW6" s="2170"/>
      <c r="AX6" s="2170"/>
      <c r="AY6" s="20">
        <f>IF(AY3&gt;0,AY3,ROUND($A$3*AZ5/$B$3,2))</f>
        <v>49664.23</v>
      </c>
      <c r="AZ6" s="15" t="s">
        <v>3</v>
      </c>
      <c r="BA6" s="15">
        <f>ROUND($AY$6*BA5/$AZ$5,2)</f>
        <v>46510.39</v>
      </c>
      <c r="BB6" s="15">
        <f>ROUND($AY$6*BB5/$AZ$5,2)</f>
        <v>36441.550000000003</v>
      </c>
      <c r="BC6" s="15">
        <f t="shared" ref="BC6:BH6" si="4">ROUND($AY$6*BC5/$AZ$5,2)</f>
        <v>3988.01</v>
      </c>
      <c r="BD6" s="15">
        <f t="shared" si="4"/>
        <v>6080.84</v>
      </c>
      <c r="BE6" s="15">
        <f t="shared" si="4"/>
        <v>0</v>
      </c>
      <c r="BF6" s="15">
        <f t="shared" si="4"/>
        <v>0</v>
      </c>
      <c r="BG6" s="15">
        <f t="shared" si="4"/>
        <v>0</v>
      </c>
      <c r="BH6" s="15">
        <f t="shared" si="4"/>
        <v>0</v>
      </c>
      <c r="BI6" s="15">
        <f t="shared" ref="BI6:BT6" si="5">ROUND($AY$6*BI5/$AZ$5,2)</f>
        <v>0</v>
      </c>
      <c r="BJ6" s="15">
        <f t="shared" si="5"/>
        <v>0</v>
      </c>
      <c r="BK6" s="15">
        <f t="shared" si="5"/>
        <v>0</v>
      </c>
      <c r="BL6" s="15">
        <f t="shared" si="5"/>
        <v>3153.84</v>
      </c>
      <c r="BM6" s="15">
        <f t="shared" si="5"/>
        <v>0</v>
      </c>
      <c r="BN6" s="15">
        <f t="shared" si="5"/>
        <v>0</v>
      </c>
      <c r="BO6" s="15">
        <f t="shared" si="5"/>
        <v>0</v>
      </c>
      <c r="BP6" s="15">
        <f t="shared" si="5"/>
        <v>0</v>
      </c>
      <c r="BQ6" s="15">
        <f t="shared" si="5"/>
        <v>130.84</v>
      </c>
      <c r="BR6" s="15">
        <f t="shared" si="5"/>
        <v>3022.99</v>
      </c>
      <c r="BS6" s="15">
        <f t="shared" si="5"/>
        <v>0</v>
      </c>
      <c r="BT6" s="21">
        <f t="shared" si="5"/>
        <v>0</v>
      </c>
    </row>
    <row r="7" spans="1:72" s="2163" customFormat="1" ht="25.2">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1884</v>
      </c>
      <c r="AV7" s="22" t="s">
        <v>1885</v>
      </c>
      <c r="AW7" s="2162" t="s">
        <v>1886</v>
      </c>
      <c r="AX7" s="22" t="s">
        <v>1879</v>
      </c>
      <c r="AY7" s="1802"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7"/>
      <c r="K8" s="1817"/>
      <c r="L8" s="1817"/>
      <c r="M8" s="1817"/>
      <c r="N8" s="1817"/>
      <c r="O8" s="1817"/>
      <c r="P8" s="1817"/>
      <c r="Q8" s="1817"/>
      <c r="R8" s="1817"/>
      <c r="S8" s="1817"/>
      <c r="T8" s="1817"/>
      <c r="U8" s="1817"/>
      <c r="V8" s="2182"/>
      <c r="W8" s="1817"/>
      <c r="X8" s="1817"/>
      <c r="Y8" s="1817"/>
      <c r="Z8" s="1817"/>
      <c r="AA8" s="2182"/>
      <c r="AB8" s="2183"/>
      <c r="AC8" s="980" t="s">
        <v>1890</v>
      </c>
      <c r="AD8" s="2184"/>
      <c r="AE8" s="2176"/>
      <c r="AF8" s="1817"/>
      <c r="AG8" s="1817"/>
      <c r="AH8" s="1817"/>
      <c r="AI8" s="1817"/>
      <c r="AJ8" s="1817"/>
      <c r="AK8" s="1817"/>
      <c r="AL8" s="1817"/>
      <c r="AM8" s="1817"/>
      <c r="AN8" s="1817"/>
      <c r="AO8" s="1817"/>
      <c r="AP8" s="1817"/>
      <c r="AQ8" s="1817"/>
      <c r="AR8" s="1817"/>
      <c r="AS8" s="1817"/>
      <c r="AT8" s="1291" t="s">
        <v>1891</v>
      </c>
      <c r="AU8" s="2178" t="s">
        <v>1892</v>
      </c>
      <c r="AV8" s="1291"/>
      <c r="AW8" s="2161"/>
      <c r="AX8" s="1291"/>
      <c r="AY8" s="2162"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5" customFormat="1" ht="13.2">
      <c r="A9" s="2178"/>
      <c r="B9" s="2178"/>
      <c r="C9" s="2178"/>
      <c r="D9" s="2178"/>
      <c r="E9" s="2178"/>
      <c r="F9" s="2178"/>
      <c r="G9" s="1291"/>
      <c r="H9" s="2186" t="s">
        <v>1895</v>
      </c>
      <c r="I9" s="2187" t="s">
        <v>3058</v>
      </c>
      <c r="J9" s="980"/>
      <c r="K9" s="2187" t="s">
        <v>3060</v>
      </c>
      <c r="L9" s="980"/>
      <c r="M9" s="2187" t="s">
        <v>3060</v>
      </c>
      <c r="N9" s="980"/>
      <c r="O9" s="2187"/>
      <c r="P9" s="980"/>
      <c r="Q9" s="2187"/>
      <c r="R9" s="980"/>
      <c r="S9" s="2187"/>
      <c r="T9" s="980"/>
      <c r="U9" s="2187"/>
      <c r="V9" s="980"/>
      <c r="W9" s="2187"/>
      <c r="X9" s="2188"/>
      <c r="Y9" s="2187"/>
      <c r="Z9" s="980"/>
      <c r="AA9" s="2187"/>
      <c r="AB9" s="980"/>
      <c r="AC9" s="2179" t="s">
        <v>1895</v>
      </c>
      <c r="AD9" s="14" t="s">
        <v>1896</v>
      </c>
      <c r="AE9" s="1297"/>
      <c r="AF9" s="14" t="s">
        <v>1897</v>
      </c>
      <c r="AG9" s="1297"/>
      <c r="AH9" s="14" t="s">
        <v>1896</v>
      </c>
      <c r="AI9" s="1297"/>
      <c r="AJ9" s="14" t="s">
        <v>1897</v>
      </c>
      <c r="AK9" s="1297"/>
      <c r="AL9" s="14" t="s">
        <v>1896</v>
      </c>
      <c r="AM9" s="1297"/>
      <c r="AN9" s="14" t="s">
        <v>1897</v>
      </c>
      <c r="AO9" s="1297"/>
      <c r="AP9" s="14" t="s">
        <v>1896</v>
      </c>
      <c r="AQ9" s="1297"/>
      <c r="AR9" s="14" t="s">
        <v>1897</v>
      </c>
      <c r="AS9" s="2189"/>
      <c r="AT9" s="2178"/>
      <c r="AU9" s="2178" t="s">
        <v>1898</v>
      </c>
      <c r="AV9" s="1291"/>
      <c r="AW9" s="2161"/>
      <c r="AX9" s="1291"/>
      <c r="AY9" s="27"/>
      <c r="AZ9" s="27" t="s">
        <v>1888</v>
      </c>
      <c r="BA9" s="2190" t="s">
        <v>1899</v>
      </c>
      <c r="BB9" s="2191"/>
      <c r="BC9" s="1337"/>
      <c r="BD9" s="1337"/>
      <c r="BE9" s="1337"/>
      <c r="BF9" s="1337"/>
      <c r="BG9" s="1337"/>
      <c r="BH9" s="1337"/>
      <c r="BI9" s="1337"/>
      <c r="BJ9" s="1337"/>
      <c r="BK9" s="2192"/>
      <c r="BL9" s="14" t="s">
        <v>1900</v>
      </c>
      <c r="BM9" s="1817"/>
      <c r="BN9" s="2181"/>
      <c r="BO9" s="1817"/>
      <c r="BP9" s="1817"/>
      <c r="BQ9" s="1817"/>
      <c r="BR9" s="1817"/>
      <c r="BS9" s="1817"/>
      <c r="BT9" s="25"/>
    </row>
    <row r="10" spans="1:72" s="2185" customFormat="1" ht="13.2">
      <c r="A10" s="2178"/>
      <c r="B10" s="2178"/>
      <c r="C10" s="2178"/>
      <c r="D10" s="2178"/>
      <c r="E10" s="2178"/>
      <c r="F10" s="2178"/>
      <c r="G10" s="1291"/>
      <c r="H10" s="27"/>
      <c r="I10" s="2187" t="s">
        <v>6</v>
      </c>
      <c r="J10" s="980"/>
      <c r="K10" s="2193" t="s">
        <v>3294</v>
      </c>
      <c r="L10" s="980"/>
      <c r="M10" s="2193" t="s">
        <v>3097</v>
      </c>
      <c r="N10" s="980"/>
      <c r="O10" s="2193"/>
      <c r="P10" s="980"/>
      <c r="Q10" s="2193"/>
      <c r="R10" s="980"/>
      <c r="S10" s="2193"/>
      <c r="T10" s="980"/>
      <c r="U10" s="2193"/>
      <c r="V10" s="980"/>
      <c r="W10" s="2193"/>
      <c r="X10" s="980"/>
      <c r="Y10" s="2193"/>
      <c r="Z10" s="980"/>
      <c r="AA10" s="2193"/>
      <c r="AB10" s="980"/>
      <c r="AC10" s="1291"/>
      <c r="AD10" s="14" t="s">
        <v>1901</v>
      </c>
      <c r="AE10" s="2194"/>
      <c r="AF10" s="14" t="s">
        <v>1901</v>
      </c>
      <c r="AG10" s="2194"/>
      <c r="AH10" s="14" t="s">
        <v>1902</v>
      </c>
      <c r="AI10" s="2194"/>
      <c r="AJ10" s="14" t="s">
        <v>1902</v>
      </c>
      <c r="AK10" s="2194"/>
      <c r="AL10" s="14" t="s">
        <v>1903</v>
      </c>
      <c r="AM10" s="1297"/>
      <c r="AN10" s="14" t="s">
        <v>1903</v>
      </c>
      <c r="AO10" s="1297"/>
      <c r="AP10" s="14" t="s">
        <v>1904</v>
      </c>
      <c r="AQ10" s="1297"/>
      <c r="AR10" s="14" t="s">
        <v>1904</v>
      </c>
      <c r="AS10" s="1297"/>
      <c r="AT10" s="2178"/>
      <c r="AU10" s="2178"/>
      <c r="AV10" s="1291"/>
      <c r="AW10" s="2161"/>
      <c r="AX10" s="1291"/>
      <c r="AY10" s="27"/>
      <c r="AZ10" s="27"/>
      <c r="BA10" s="2195" t="s">
        <v>1895</v>
      </c>
      <c r="BB10" s="2196" t="str">
        <f>I9</f>
        <v>地上</v>
      </c>
      <c r="BC10" s="28" t="str">
        <f>K9</f>
        <v>地下</v>
      </c>
      <c r="BD10" s="28" t="str">
        <f>M9</f>
        <v>地下</v>
      </c>
      <c r="BE10" s="28">
        <f>O9</f>
        <v>0</v>
      </c>
      <c r="BF10" s="28">
        <f>Q9</f>
        <v>0</v>
      </c>
      <c r="BG10" s="28">
        <f>S9</f>
        <v>0</v>
      </c>
      <c r="BH10" s="28">
        <f>U9</f>
        <v>0</v>
      </c>
      <c r="BI10" s="28">
        <f>W9</f>
        <v>0</v>
      </c>
      <c r="BJ10" s="28">
        <f>Y9</f>
        <v>0</v>
      </c>
      <c r="BK10" s="28">
        <f>AA9</f>
        <v>0</v>
      </c>
      <c r="BL10" s="24" t="s">
        <v>1895</v>
      </c>
      <c r="BM10" s="1816" t="str">
        <f>AD9</f>
        <v>地上</v>
      </c>
      <c r="BN10" s="28" t="str">
        <f>AF9</f>
        <v>地下</v>
      </c>
      <c r="BO10" s="1816" t="str">
        <f>AH9</f>
        <v>地上</v>
      </c>
      <c r="BP10" s="28" t="str">
        <f>AJ9</f>
        <v>地下</v>
      </c>
      <c r="BQ10" s="1816" t="str">
        <f>AL9</f>
        <v>地上</v>
      </c>
      <c r="BR10" s="28" t="str">
        <f>AN9</f>
        <v>地下</v>
      </c>
      <c r="BS10" s="1816" t="str">
        <f>AP9</f>
        <v>地上</v>
      </c>
      <c r="BT10" s="2197" t="str">
        <f>AR9</f>
        <v>地下</v>
      </c>
    </row>
    <row r="11" spans="1:72" s="2185" customFormat="1" ht="13.2">
      <c r="A11" s="2178"/>
      <c r="B11" s="2178"/>
      <c r="C11" s="2178"/>
      <c r="D11" s="2178"/>
      <c r="E11" s="2178"/>
      <c r="F11" s="2178"/>
      <c r="G11" s="1291"/>
      <c r="H11" s="2195"/>
      <c r="I11" s="2198" t="s">
        <v>3096</v>
      </c>
      <c r="J11" s="2199"/>
      <c r="K11" s="2198" t="s">
        <v>3096</v>
      </c>
      <c r="L11" s="2199"/>
      <c r="M11" s="2198" t="s">
        <v>3097</v>
      </c>
      <c r="N11" s="2199"/>
      <c r="O11" s="2198"/>
      <c r="P11" s="2199"/>
      <c r="Q11" s="2198"/>
      <c r="R11" s="2199"/>
      <c r="S11" s="2198"/>
      <c r="T11" s="2199"/>
      <c r="U11" s="2198"/>
      <c r="V11" s="2199"/>
      <c r="W11" s="2198"/>
      <c r="X11" s="2199"/>
      <c r="Y11" s="2198"/>
      <c r="Z11" s="2199"/>
      <c r="AA11" s="2198"/>
      <c r="AB11" s="2199"/>
      <c r="AC11" s="1291"/>
      <c r="AD11" s="2200" t="s">
        <v>1905</v>
      </c>
      <c r="AE11" s="1818"/>
      <c r="AF11" s="2200" t="s">
        <v>1905</v>
      </c>
      <c r="AG11" s="1818"/>
      <c r="AH11" s="2200" t="s">
        <v>1906</v>
      </c>
      <c r="AI11" s="2201"/>
      <c r="AJ11" s="2200" t="s">
        <v>1906</v>
      </c>
      <c r="AK11" s="1818"/>
      <c r="AL11" s="1816"/>
      <c r="AM11" s="1818"/>
      <c r="AN11" s="1816"/>
      <c r="AO11" s="1818"/>
      <c r="AP11" s="1816"/>
      <c r="AQ11" s="1818"/>
      <c r="AR11" s="1816"/>
      <c r="AS11" s="1818"/>
      <c r="AT11" s="2161"/>
      <c r="AU11" s="2178"/>
      <c r="AV11" s="1291"/>
      <c r="AW11" s="2161"/>
      <c r="AX11" s="1291"/>
      <c r="AY11" s="27"/>
      <c r="AZ11" s="27"/>
      <c r="BA11" s="27"/>
      <c r="BB11" s="2183" t="str">
        <f>I10</f>
        <v>工业</v>
      </c>
      <c r="BC11" s="2183" t="str">
        <f>K10</f>
        <v>仓储</v>
      </c>
      <c r="BD11" s="2183" t="str">
        <f>M10</f>
        <v>车库</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3.2">
      <c r="A12" s="2203"/>
      <c r="B12" s="2203"/>
      <c r="C12" s="2203"/>
      <c r="D12" s="2203"/>
      <c r="E12" s="2203"/>
      <c r="F12" s="2203"/>
      <c r="G12" s="29"/>
      <c r="H12" s="2204"/>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5"/>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3" t="s">
        <v>1908</v>
      </c>
      <c r="AT12" s="2206"/>
      <c r="AU12" s="2203"/>
      <c r="AV12" s="30"/>
      <c r="AW12" s="2162"/>
      <c r="AX12" s="30"/>
      <c r="AY12" s="2207"/>
      <c r="AZ12" s="27"/>
      <c r="BA12" s="2195"/>
      <c r="BB12" s="23" t="str">
        <f>I11</f>
        <v>标准厂房</v>
      </c>
      <c r="BC12" s="2208" t="str">
        <f>K11</f>
        <v>标准厂房</v>
      </c>
      <c r="BD12" s="2208" t="str">
        <f>M11</f>
        <v>车库</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3" t="str">
        <f>AH11</f>
        <v>（住宅、计出让金）</v>
      </c>
      <c r="BP12" s="23" t="str">
        <f>AJ11</f>
        <v>（住宅、计出让金）</v>
      </c>
      <c r="BQ12" s="23">
        <f>AL11</f>
        <v>0</v>
      </c>
      <c r="BR12" s="23">
        <f>AN11</f>
        <v>0</v>
      </c>
      <c r="BS12" s="24">
        <f>AP11</f>
        <v>0</v>
      </c>
      <c r="BT12" s="2202">
        <f>AR11</f>
        <v>0</v>
      </c>
    </row>
    <row r="13" spans="1:72" s="2163" customFormat="1" ht="13.2">
      <c r="A13" s="1271"/>
      <c r="B13" s="2954" t="s">
        <v>3358</v>
      </c>
      <c r="C13" s="2954" t="s">
        <v>3092</v>
      </c>
      <c r="D13" s="2209" t="s">
        <v>3098</v>
      </c>
      <c r="E13" s="15">
        <f>IF($C$3="是",ROUND($A$3*G13/$B$3,2),ROUND($A$3*(G13-AT13)/$B$3,2))</f>
        <v>36441.550000000003</v>
      </c>
      <c r="F13" s="31"/>
      <c r="G13" s="32">
        <f>H13+AC13+AT13</f>
        <v>75800.5</v>
      </c>
      <c r="H13" s="19">
        <f>SUMIF(I$12:AB$12,"总值",I13:AB13)</f>
        <v>75800.5</v>
      </c>
      <c r="I13" s="2210">
        <f>面积!L11</f>
        <v>75800.5</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在建</v>
      </c>
      <c r="AX13" s="11" t="str">
        <f t="shared" si="6"/>
        <v>厂房</v>
      </c>
      <c r="AY13" s="1805">
        <f>ROUND($AY$6*AZ13/$AZ$5,2)</f>
        <v>36441.550000000003</v>
      </c>
      <c r="AZ13" s="15">
        <f>BA13+BL13</f>
        <v>75800.5</v>
      </c>
      <c r="BA13" s="15">
        <f>SUM(BB13:BK13)</f>
        <v>75800.5</v>
      </c>
      <c r="BB13" s="15">
        <f>IF($D13="是",I13-J13,0)</f>
        <v>75800.5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3.2">
      <c r="A14" s="1271"/>
      <c r="B14" s="2954" t="s">
        <v>3358</v>
      </c>
      <c r="C14" s="2955" t="s">
        <v>3094</v>
      </c>
      <c r="D14" s="2209" t="s">
        <v>3098</v>
      </c>
      <c r="E14" s="15">
        <f>IF($C$3="是",ROUND($A$3*G14/$B$3,2),ROUND($A$3*(G14-AT14)/$B$3,2))</f>
        <v>3988.01</v>
      </c>
      <c r="F14" s="31"/>
      <c r="G14" s="32">
        <f>H14+AC14+AT14</f>
        <v>8295.2800000000007</v>
      </c>
      <c r="H14" s="19">
        <f>SUMIF(I$12:AB$12,"总值",I14:AB14)</f>
        <v>8295.2800000000007</v>
      </c>
      <c r="I14" s="2210"/>
      <c r="J14" s="2210"/>
      <c r="K14" s="2210">
        <f>面积!L14</f>
        <v>8295.2800000000007</v>
      </c>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t="str">
        <f t="shared" si="6"/>
        <v>在建</v>
      </c>
      <c r="AX14" s="11" t="str">
        <f t="shared" si="6"/>
        <v>地下厂房</v>
      </c>
      <c r="AY14" s="1805">
        <f>ROUND($AY$6*AZ14/$AZ$5,2)</f>
        <v>3988.01</v>
      </c>
      <c r="AZ14" s="15">
        <f>BA14+BL14</f>
        <v>8295.2800000000007</v>
      </c>
      <c r="BA14" s="15">
        <f>SUM(BB14:BK14)</f>
        <v>8295.2800000000007</v>
      </c>
      <c r="BB14" s="15">
        <f>IF($D14="是",I14-J14,0)</f>
        <v>0</v>
      </c>
      <c r="BC14" s="15">
        <f>IF($D14="是",K14-L14,0)</f>
        <v>8295.2800000000007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3.2">
      <c r="A15" s="1271"/>
      <c r="B15" s="2954" t="s">
        <v>3358</v>
      </c>
      <c r="C15" s="2955" t="s">
        <v>3093</v>
      </c>
      <c r="D15" s="2209" t="s">
        <v>3098</v>
      </c>
      <c r="E15" s="15">
        <f>IF($C$3="是",ROUND($A$3*G15/$B$3,2),ROUND($A$3*(G15-AT15)/$B$3,2))</f>
        <v>6080.84</v>
      </c>
      <c r="F15" s="31"/>
      <c r="G15" s="32">
        <f>H15+AC15+AT15</f>
        <v>12648.5</v>
      </c>
      <c r="H15" s="19">
        <f>SUMIF(I$12:AB$12,"总值",I15:AB15)</f>
        <v>12648.5</v>
      </c>
      <c r="I15" s="2210"/>
      <c r="J15" s="2210"/>
      <c r="K15" s="2210"/>
      <c r="L15" s="2210"/>
      <c r="M15" s="2210">
        <f>面积!L15</f>
        <v>12648.5</v>
      </c>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t="str">
        <f t="shared" si="6"/>
        <v>在建</v>
      </c>
      <c r="AX15" s="11" t="str">
        <f t="shared" si="6"/>
        <v>地下车库</v>
      </c>
      <c r="AY15" s="1805">
        <f>ROUND($AY$6*AZ15/$AZ$5,2)</f>
        <v>6080.84</v>
      </c>
      <c r="AZ15" s="15">
        <f>BA15+BL15</f>
        <v>12648.5</v>
      </c>
      <c r="BA15" s="15">
        <f>SUM(BB15:BK15)</f>
        <v>12648.5</v>
      </c>
      <c r="BB15" s="15">
        <f>IF($D15="是",I15-J15,0)</f>
        <v>0</v>
      </c>
      <c r="BC15" s="15">
        <f>IF($D15="是",K15-L15,0)</f>
        <v>0</v>
      </c>
      <c r="BD15" s="15">
        <f>IF($D15="是",M15-N15,0)</f>
        <v>12648.5</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3.2">
      <c r="A16" s="1271"/>
      <c r="B16" s="2954" t="s">
        <v>3358</v>
      </c>
      <c r="C16" s="2955" t="s">
        <v>3095</v>
      </c>
      <c r="D16" s="2209" t="s">
        <v>3098</v>
      </c>
      <c r="E16" s="15">
        <f>IF($C$3="是",ROUND($A$3*G16/$B$3,2),ROUND($A$3*(G16-AT16)/$B$3,2))</f>
        <v>3153.84</v>
      </c>
      <c r="F16" s="31"/>
      <c r="G16" s="32">
        <f>H16+AC16+AT16</f>
        <v>6560.16</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6560.16</v>
      </c>
      <c r="AD16" s="2211"/>
      <c r="AE16" s="2211"/>
      <c r="AF16" s="2211"/>
      <c r="AG16" s="2211"/>
      <c r="AH16" s="2211"/>
      <c r="AI16" s="2211"/>
      <c r="AJ16" s="2211"/>
      <c r="AK16" s="2211"/>
      <c r="AL16" s="2211">
        <f>面积!L18</f>
        <v>272.16000000000003</v>
      </c>
      <c r="AM16" s="2211"/>
      <c r="AN16" s="2211">
        <f>面积!L19</f>
        <v>6288</v>
      </c>
      <c r="AO16" s="2211"/>
      <c r="AP16" s="2211"/>
      <c r="AQ16" s="2211"/>
      <c r="AR16" s="2211"/>
      <c r="AS16" s="2211"/>
      <c r="AT16" s="2212"/>
      <c r="AU16" s="2213"/>
      <c r="AV16" s="11">
        <f t="shared" si="6"/>
        <v>0</v>
      </c>
      <c r="AW16" s="11" t="str">
        <f t="shared" si="6"/>
        <v>在建</v>
      </c>
      <c r="AX16" s="11" t="str">
        <f t="shared" si="6"/>
        <v>设备用房</v>
      </c>
      <c r="AY16" s="1805">
        <f>ROUND($AY$6*AZ16/$AZ$5,2)</f>
        <v>3153.84</v>
      </c>
      <c r="AZ16" s="15">
        <f>BA16+BL16</f>
        <v>6560.16</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6560.16</v>
      </c>
      <c r="BM16" s="15">
        <f>IF($D16="是",AD16-AE16,0)</f>
        <v>0</v>
      </c>
      <c r="BN16" s="15">
        <f>IF($D16="是",AF16-AG16,0)</f>
        <v>0</v>
      </c>
      <c r="BO16" s="15">
        <f>IF($D16="是",AH16-AI16,0)</f>
        <v>0</v>
      </c>
      <c r="BP16" s="15">
        <f>IF($D16="是",AJ16-AK16,0)</f>
        <v>0</v>
      </c>
      <c r="BQ16" s="15">
        <f>IF($D16="是",AL16-AM16,0)</f>
        <v>272.16000000000003</v>
      </c>
      <c r="BR16" s="15">
        <f>IF($D16="是",AN16-AO16,0)</f>
        <v>6288</v>
      </c>
      <c r="BS16" s="15">
        <f>IF($D16="是",AP16-AQ16,0)</f>
        <v>0</v>
      </c>
      <c r="BT16" s="21">
        <f>IF($D16="是",AR16-AS16,0)</f>
        <v>0</v>
      </c>
    </row>
    <row r="17" spans="1:72" s="2163" customFormat="1" ht="13.2">
      <c r="A17" s="1271"/>
      <c r="B17" s="2954" t="s">
        <v>3357</v>
      </c>
      <c r="C17" s="2954" t="s">
        <v>3092</v>
      </c>
      <c r="D17" s="2209" t="s">
        <v>3131</v>
      </c>
      <c r="E17" s="15">
        <f>IF($C$3="是",ROUND($A$3*G17/$B$3,2),ROUND($A$3*(G17-AT17)/$B$3,2))</f>
        <v>49565.57</v>
      </c>
      <c r="F17" s="31"/>
      <c r="G17" s="32">
        <f>H17+AC17+AT17</f>
        <v>103099.21999999999</v>
      </c>
      <c r="H17" s="19">
        <f>SUMIF(I$12:AB$12,"总值",I17:AB17)</f>
        <v>103099.21999999999</v>
      </c>
      <c r="I17" s="2210">
        <f>面积!Y6</f>
        <v>103099.21999999999</v>
      </c>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t="str">
        <f t="shared" si="6"/>
        <v>土地</v>
      </c>
      <c r="AX17" s="11" t="str">
        <f t="shared" si="6"/>
        <v>厂房</v>
      </c>
      <c r="AY17" s="1805">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54" t="s">
        <v>3357</v>
      </c>
      <c r="C18" s="2955" t="s">
        <v>3094</v>
      </c>
      <c r="D18" s="2214" t="s">
        <v>3131</v>
      </c>
      <c r="E18" s="34">
        <f t="shared" ref="E18:E112" si="7">IF($C$3="是",ROUND($A$3*G18/$B$3,2),ROUND($A$3*(G18-AT18)/$B$3,2))</f>
        <v>10059.52</v>
      </c>
      <c r="F18" s="35"/>
      <c r="G18" s="36">
        <f t="shared" ref="G18:G109" si="8">H18+AC18+AT18</f>
        <v>20924.37</v>
      </c>
      <c r="H18" s="37">
        <f t="shared" ref="H18:H109" si="9">SUMIF(I$12:AB$12,"总值",I18:AB18)</f>
        <v>20924.37</v>
      </c>
      <c r="I18" s="38"/>
      <c r="J18" s="38"/>
      <c r="K18" s="38">
        <f>面积!Y7</f>
        <v>20924.37</v>
      </c>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4">
        <f t="shared" ref="AV18:AV112" si="11">A18</f>
        <v>0</v>
      </c>
      <c r="AW18" s="1794" t="str">
        <f t="shared" ref="AW18:AW112" si="12">B18</f>
        <v>土地</v>
      </c>
      <c r="AX18" s="1794" t="str">
        <f t="shared" ref="AX18:AX112" si="13">C18</f>
        <v>地下厂房</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54" t="s">
        <v>3357</v>
      </c>
      <c r="C19" s="2955" t="s">
        <v>3093</v>
      </c>
      <c r="D19" s="2214" t="s">
        <v>3131</v>
      </c>
      <c r="E19" s="34">
        <f t="shared" si="7"/>
        <v>8486.14</v>
      </c>
      <c r="F19" s="35"/>
      <c r="G19" s="36">
        <f t="shared" si="8"/>
        <v>17651.66</v>
      </c>
      <c r="H19" s="37">
        <f t="shared" si="9"/>
        <v>17651.66</v>
      </c>
      <c r="I19" s="38"/>
      <c r="J19" s="38"/>
      <c r="K19" s="38"/>
      <c r="L19" s="38"/>
      <c r="M19" s="38">
        <f>面积!Y8</f>
        <v>17651.66</v>
      </c>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4">
        <f t="shared" si="11"/>
        <v>0</v>
      </c>
      <c r="AW19" s="1794" t="str">
        <f t="shared" si="12"/>
        <v>土地</v>
      </c>
      <c r="AX19" s="1794" t="str">
        <f t="shared" si="13"/>
        <v>地下车库</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54" t="s">
        <v>3357</v>
      </c>
      <c r="C20" s="2955" t="s">
        <v>3095</v>
      </c>
      <c r="D20" s="2214" t="s">
        <v>3131</v>
      </c>
      <c r="E20" s="34">
        <f t="shared" si="7"/>
        <v>2101.02</v>
      </c>
      <c r="F20" s="35"/>
      <c r="G20" s="36">
        <f t="shared" si="8"/>
        <v>4370.25</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1505.25</v>
      </c>
      <c r="AD20" s="39"/>
      <c r="AE20" s="39"/>
      <c r="AF20" s="39"/>
      <c r="AG20" s="39"/>
      <c r="AH20" s="39"/>
      <c r="AI20" s="39"/>
      <c r="AJ20" s="39"/>
      <c r="AK20" s="39"/>
      <c r="AL20" s="39">
        <f>面积!Y9</f>
        <v>584.98</v>
      </c>
      <c r="AM20" s="39"/>
      <c r="AN20" s="39">
        <f>面积!Y10</f>
        <v>920.27</v>
      </c>
      <c r="AO20" s="39"/>
      <c r="AP20" s="39"/>
      <c r="AQ20" s="39"/>
      <c r="AR20" s="39"/>
      <c r="AS20" s="39"/>
      <c r="AT20" s="40">
        <f>面积!R46+面积!T46</f>
        <v>2865</v>
      </c>
      <c r="AU20" s="2215"/>
      <c r="AV20" s="1794">
        <f t="shared" si="11"/>
        <v>0</v>
      </c>
      <c r="AW20" s="1794" t="str">
        <f t="shared" si="12"/>
        <v>土地</v>
      </c>
      <c r="AX20" s="1794" t="str">
        <f t="shared" si="13"/>
        <v>设备用房</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4">
        <f t="shared" si="11"/>
        <v>0</v>
      </c>
      <c r="AW21" s="1794">
        <f t="shared" si="12"/>
        <v>0</v>
      </c>
      <c r="AX21" s="179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4">
        <f t="shared" si="11"/>
        <v>0</v>
      </c>
      <c r="AW22" s="1794">
        <f t="shared" si="12"/>
        <v>0</v>
      </c>
      <c r="AX22" s="179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4">
        <f t="shared" si="11"/>
        <v>0</v>
      </c>
      <c r="AW23" s="1794">
        <f t="shared" si="12"/>
        <v>0</v>
      </c>
      <c r="AX23" s="179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4">
        <f t="shared" si="11"/>
        <v>0</v>
      </c>
      <c r="AW24" s="1794">
        <f t="shared" si="12"/>
        <v>0</v>
      </c>
      <c r="AX24" s="179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4">
        <f t="shared" si="11"/>
        <v>0</v>
      </c>
      <c r="AW25" s="1794">
        <f t="shared" si="12"/>
        <v>0</v>
      </c>
      <c r="AX25" s="179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4">
        <f t="shared" si="11"/>
        <v>0</v>
      </c>
      <c r="AW26" s="1794">
        <f t="shared" si="12"/>
        <v>0</v>
      </c>
      <c r="AX26" s="179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4">
        <f t="shared" si="11"/>
        <v>0</v>
      </c>
      <c r="AW27" s="1794">
        <f t="shared" si="12"/>
        <v>0</v>
      </c>
      <c r="AX27" s="179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4">
        <f t="shared" si="11"/>
        <v>0</v>
      </c>
      <c r="AW28" s="1794">
        <f t="shared" si="12"/>
        <v>0</v>
      </c>
      <c r="AX28" s="179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4">
        <f t="shared" si="11"/>
        <v>0</v>
      </c>
      <c r="AW29" s="1794">
        <f t="shared" si="12"/>
        <v>0</v>
      </c>
      <c r="AX29" s="179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4">
        <f t="shared" si="11"/>
        <v>0</v>
      </c>
      <c r="AW30" s="1794">
        <f t="shared" si="12"/>
        <v>0</v>
      </c>
      <c r="AX30" s="179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4">
        <f t="shared" si="11"/>
        <v>0</v>
      </c>
      <c r="AW31" s="1794">
        <f t="shared" si="12"/>
        <v>0</v>
      </c>
      <c r="AX31" s="179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4">
        <f t="shared" si="11"/>
        <v>0</v>
      </c>
      <c r="AW32" s="1794">
        <f t="shared" si="12"/>
        <v>0</v>
      </c>
      <c r="AX32" s="179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4">
        <f t="shared" si="11"/>
        <v>0</v>
      </c>
      <c r="AW33" s="1794">
        <f t="shared" si="12"/>
        <v>0</v>
      </c>
      <c r="AX33" s="179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4">
        <f t="shared" si="11"/>
        <v>0</v>
      </c>
      <c r="AW34" s="1794">
        <f t="shared" si="12"/>
        <v>0</v>
      </c>
      <c r="AX34" s="179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4">
        <f t="shared" si="11"/>
        <v>0</v>
      </c>
      <c r="AW35" s="1794">
        <f t="shared" si="12"/>
        <v>0</v>
      </c>
      <c r="AX35" s="179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4">
        <f t="shared" si="11"/>
        <v>0</v>
      </c>
      <c r="AW37" s="1794">
        <f t="shared" si="12"/>
        <v>0</v>
      </c>
      <c r="AX37" s="179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4">
        <f t="shared" si="11"/>
        <v>0</v>
      </c>
      <c r="AW38" s="1794">
        <f t="shared" si="12"/>
        <v>0</v>
      </c>
      <c r="AX38" s="179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4">
        <f t="shared" si="11"/>
        <v>0</v>
      </c>
      <c r="AW39" s="1794">
        <f t="shared" si="12"/>
        <v>0</v>
      </c>
      <c r="AX39" s="179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4">
        <f t="shared" si="11"/>
        <v>0</v>
      </c>
      <c r="AW41" s="1794">
        <f t="shared" si="12"/>
        <v>0</v>
      </c>
      <c r="AX41" s="179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4">
        <f t="shared" si="11"/>
        <v>0</v>
      </c>
      <c r="AW43" s="1794">
        <f t="shared" si="12"/>
        <v>0</v>
      </c>
      <c r="AX43" s="179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4">
        <f t="shared" si="11"/>
        <v>0</v>
      </c>
      <c r="AW44" s="1794">
        <f t="shared" si="12"/>
        <v>0</v>
      </c>
      <c r="AX44" s="179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4">
        <f t="shared" si="11"/>
        <v>0</v>
      </c>
      <c r="AW45" s="1794">
        <f t="shared" si="12"/>
        <v>0</v>
      </c>
      <c r="AX45" s="179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4">
        <f t="shared" si="11"/>
        <v>0</v>
      </c>
      <c r="AW47" s="1794">
        <f t="shared" si="12"/>
        <v>0</v>
      </c>
      <c r="AX47" s="179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4">
        <f t="shared" si="11"/>
        <v>0</v>
      </c>
      <c r="AW48" s="1794">
        <f t="shared" si="12"/>
        <v>0</v>
      </c>
      <c r="AX48" s="179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4">
        <f t="shared" si="11"/>
        <v>0</v>
      </c>
      <c r="AW49" s="1794">
        <f t="shared" si="12"/>
        <v>0</v>
      </c>
      <c r="AX49" s="179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4">
        <f t="shared" si="11"/>
        <v>0</v>
      </c>
      <c r="AW50" s="1794">
        <f t="shared" si="12"/>
        <v>0</v>
      </c>
      <c r="AX50" s="179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4">
        <f t="shared" si="11"/>
        <v>0</v>
      </c>
      <c r="AW51" s="1794">
        <f t="shared" si="12"/>
        <v>0</v>
      </c>
      <c r="AX51" s="179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46.8">
      <c r="A3" s="3420"/>
      <c r="B3" s="3420"/>
      <c r="C3" s="3420"/>
      <c r="D3" s="3421"/>
      <c r="E3" s="342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55" zoomScaleNormal="55" workbookViewId="0">
      <selection activeCell="Y26" sqref="Y26"/>
    </sheetView>
  </sheetViews>
  <sheetFormatPr defaultRowHeight="14.4"/>
  <cols>
    <col min="1" max="1" width="15.44140625" customWidth="1"/>
    <col min="2" max="2" width="15.77734375" customWidth="1"/>
    <col min="3" max="4" width="12.21875" customWidth="1"/>
    <col min="6" max="6" width="14.109375" customWidth="1"/>
    <col min="7" max="7" width="10.44140625" bestFit="1" customWidth="1"/>
    <col min="8" max="8" width="15.5546875" customWidth="1"/>
    <col min="11" max="11" width="12.88671875" customWidth="1"/>
    <col min="12" max="12" width="10.109375" customWidth="1"/>
    <col min="13" max="13" width="10.33203125" customWidth="1"/>
    <col min="22" max="22" width="16.44140625" customWidth="1"/>
    <col min="24" max="24" width="13.88671875" bestFit="1" customWidth="1"/>
  </cols>
  <sheetData>
    <row r="1" spans="1:26">
      <c r="A1" s="2949" t="s">
        <v>3051</v>
      </c>
      <c r="B1">
        <v>114794800</v>
      </c>
      <c r="G1">
        <v>16185200</v>
      </c>
    </row>
    <row r="2" spans="1:26">
      <c r="A2" s="2949" t="s">
        <v>3052</v>
      </c>
      <c r="B2">
        <v>2185200</v>
      </c>
      <c r="G2">
        <v>114794800</v>
      </c>
      <c r="P2" s="2949" t="s">
        <v>3347</v>
      </c>
    </row>
    <row r="3" spans="1:26">
      <c r="A3" s="2949" t="s">
        <v>3053</v>
      </c>
      <c r="B3">
        <v>14000000</v>
      </c>
      <c r="C3">
        <f>B1+B2+B3</f>
        <v>130980000</v>
      </c>
      <c r="E3">
        <f>C3*0.03</f>
        <v>3929400</v>
      </c>
    </row>
    <row r="4" spans="1:26">
      <c r="A4" s="2949" t="s">
        <v>3054</v>
      </c>
      <c r="B4">
        <v>5436565</v>
      </c>
      <c r="P4" s="3725" t="s">
        <v>3300</v>
      </c>
      <c r="Q4" s="3725" t="s">
        <v>3301</v>
      </c>
      <c r="R4" s="3725" t="s">
        <v>3302</v>
      </c>
      <c r="S4" s="3725"/>
      <c r="T4" s="3725"/>
      <c r="U4" s="3725"/>
      <c r="V4" s="3722"/>
      <c r="W4" s="3726"/>
      <c r="X4" s="3726"/>
      <c r="Y4" s="3726"/>
    </row>
    <row r="5" spans="1:26">
      <c r="A5" s="2949" t="s">
        <v>3054</v>
      </c>
      <c r="B5">
        <v>8344978.5999999996</v>
      </c>
      <c r="C5">
        <f>B4+B5</f>
        <v>13781543.6</v>
      </c>
      <c r="P5" s="3725"/>
      <c r="Q5" s="3725"/>
      <c r="R5" s="3725" t="s">
        <v>3058</v>
      </c>
      <c r="S5" s="3725"/>
      <c r="T5" s="3725" t="s">
        <v>3060</v>
      </c>
      <c r="U5" s="3725"/>
      <c r="V5" s="3722"/>
      <c r="W5" s="3726" t="s">
        <v>3353</v>
      </c>
      <c r="X5" s="3726"/>
      <c r="Y5" s="3726"/>
    </row>
    <row r="6" spans="1:26">
      <c r="A6" s="2949" t="s">
        <v>3055</v>
      </c>
      <c r="B6">
        <v>3929400</v>
      </c>
      <c r="C6">
        <f>B6/0.03</f>
        <v>130980000</v>
      </c>
      <c r="K6" s="2949" t="s">
        <v>3348</v>
      </c>
      <c r="P6" s="3732" t="s">
        <v>3303</v>
      </c>
      <c r="Q6" s="3732">
        <v>7999.37</v>
      </c>
      <c r="R6" s="3734">
        <v>7999.37</v>
      </c>
      <c r="S6" s="3732" t="s">
        <v>3304</v>
      </c>
      <c r="T6" s="3732">
        <v>0</v>
      </c>
      <c r="U6" s="3732" t="s">
        <v>70</v>
      </c>
      <c r="V6" s="3724"/>
      <c r="W6" s="3728"/>
      <c r="X6" s="3727" t="s">
        <v>3123</v>
      </c>
      <c r="Y6" s="3726">
        <f>SUM(R6:R25)+SUM(R27:R33)+SUM(R35:R41)</f>
        <v>103099.21999999999</v>
      </c>
    </row>
    <row r="7" spans="1:26">
      <c r="A7" s="2949" t="s">
        <v>3495</v>
      </c>
      <c r="P7" s="3732" t="s">
        <v>3305</v>
      </c>
      <c r="Q7" s="3732">
        <v>3032.8</v>
      </c>
      <c r="R7" s="3734">
        <v>2474.61</v>
      </c>
      <c r="S7" s="3732" t="s">
        <v>3123</v>
      </c>
      <c r="T7" s="3735">
        <v>558.19000000000005</v>
      </c>
      <c r="U7" s="3732" t="s">
        <v>3123</v>
      </c>
      <c r="V7" s="3724"/>
      <c r="W7" s="3729"/>
      <c r="X7" s="3727" t="s">
        <v>3124</v>
      </c>
      <c r="Y7" s="3726">
        <f>SUM(T7:T25)+SUM(T27:T33)+SUM(T35:T41)+T45</f>
        <v>20924.37</v>
      </c>
    </row>
    <row r="8" spans="1:26">
      <c r="L8" s="2949" t="s">
        <v>3107</v>
      </c>
      <c r="M8" s="2949" t="s">
        <v>3106</v>
      </c>
      <c r="P8" s="3732" t="s">
        <v>3306</v>
      </c>
      <c r="Q8" s="3732">
        <v>3175.29</v>
      </c>
      <c r="R8" s="3734">
        <v>2469.9499999999998</v>
      </c>
      <c r="S8" s="3732" t="s">
        <v>3123</v>
      </c>
      <c r="T8" s="3735">
        <v>705.34</v>
      </c>
      <c r="U8" s="3732" t="s">
        <v>3123</v>
      </c>
      <c r="V8" s="3724"/>
      <c r="W8" s="3730"/>
      <c r="X8" s="3727" t="s">
        <v>48</v>
      </c>
      <c r="Y8" s="3726">
        <f>T43</f>
        <v>17651.66</v>
      </c>
    </row>
    <row r="9" spans="1:26">
      <c r="A9" s="2950"/>
      <c r="B9" s="3422" t="s">
        <v>3057</v>
      </c>
      <c r="C9" s="3424" t="s">
        <v>3155</v>
      </c>
      <c r="D9" s="3425"/>
      <c r="E9" s="3425"/>
      <c r="F9" s="3426"/>
      <c r="G9" s="3422" t="s">
        <v>3156</v>
      </c>
      <c r="H9" s="2950"/>
      <c r="I9" s="2950"/>
      <c r="K9" s="2949" t="s">
        <v>3066</v>
      </c>
      <c r="L9">
        <f>C18+C40-C35</f>
        <v>45800.5</v>
      </c>
      <c r="M9" s="2953">
        <f>I11</f>
        <v>0.8</v>
      </c>
      <c r="N9" s="2949" t="s">
        <v>3160</v>
      </c>
      <c r="P9" s="3732" t="s">
        <v>3307</v>
      </c>
      <c r="Q9" s="3732">
        <v>3110.69</v>
      </c>
      <c r="R9" s="3734">
        <v>2443.83</v>
      </c>
      <c r="S9" s="3732" t="s">
        <v>3123</v>
      </c>
      <c r="T9" s="3735">
        <v>666.86</v>
      </c>
      <c r="U9" s="3732" t="s">
        <v>3123</v>
      </c>
      <c r="V9" s="3724"/>
      <c r="W9" s="3731"/>
      <c r="X9" s="3727" t="s">
        <v>3355</v>
      </c>
      <c r="Y9" s="3726">
        <f>R26+R34</f>
        <v>584.98</v>
      </c>
    </row>
    <row r="10" spans="1:26">
      <c r="A10" s="2950"/>
      <c r="B10" s="3422"/>
      <c r="C10" s="2951" t="s">
        <v>3059</v>
      </c>
      <c r="D10" s="2951"/>
      <c r="E10" s="2951" t="s">
        <v>3061</v>
      </c>
      <c r="F10" s="2950"/>
      <c r="G10" s="3423"/>
      <c r="H10" s="2950"/>
      <c r="I10" s="2950"/>
      <c r="K10" s="2949" t="s">
        <v>3350</v>
      </c>
      <c r="L10">
        <f>R42</f>
        <v>30000</v>
      </c>
      <c r="M10" s="2953">
        <f>W42</f>
        <v>0.3</v>
      </c>
      <c r="N10" s="2949"/>
      <c r="P10" s="3732" t="s">
        <v>3309</v>
      </c>
      <c r="Q10" s="3732">
        <v>2969.98</v>
      </c>
      <c r="R10" s="3734">
        <v>2474.61</v>
      </c>
      <c r="S10" s="3732" t="s">
        <v>3123</v>
      </c>
      <c r="T10" s="3735">
        <v>495.37</v>
      </c>
      <c r="U10" s="3732" t="s">
        <v>3123</v>
      </c>
      <c r="V10" s="3724"/>
      <c r="W10" s="3731"/>
      <c r="X10" s="3727" t="s">
        <v>3356</v>
      </c>
      <c r="Y10" s="3726">
        <f>T44</f>
        <v>920.27</v>
      </c>
    </row>
    <row r="11" spans="1:26">
      <c r="A11" s="2951" t="s">
        <v>3056</v>
      </c>
      <c r="B11" s="2950">
        <v>9571.7999999999993</v>
      </c>
      <c r="C11" s="2950">
        <v>9571.7999999999993</v>
      </c>
      <c r="D11" s="2950"/>
      <c r="E11" s="2950"/>
      <c r="F11" s="2950"/>
      <c r="G11" s="2950">
        <v>5</v>
      </c>
      <c r="H11" s="2951" t="s">
        <v>3299</v>
      </c>
      <c r="I11" s="2957">
        <v>0.8</v>
      </c>
      <c r="K11" s="2949" t="s">
        <v>3351</v>
      </c>
      <c r="L11">
        <f>L9+L10</f>
        <v>75800.5</v>
      </c>
      <c r="M11" s="2953">
        <f>ROUND((L9*M9+L10*M10)/L11,2)</f>
        <v>0.6</v>
      </c>
      <c r="P11" s="3732" t="s">
        <v>3310</v>
      </c>
      <c r="Q11" s="3732">
        <v>2918.7</v>
      </c>
      <c r="R11" s="3734">
        <v>2443.83</v>
      </c>
      <c r="S11" s="3732" t="s">
        <v>3123</v>
      </c>
      <c r="T11" s="3735">
        <v>474.87</v>
      </c>
      <c r="U11" s="3732" t="s">
        <v>3123</v>
      </c>
      <c r="V11" s="3724"/>
      <c r="W11" s="3726"/>
      <c r="X11" s="3726" t="s">
        <v>3351</v>
      </c>
      <c r="Y11" s="3726">
        <f>SUM(Y6:Y10)</f>
        <v>143180.49999999997</v>
      </c>
    </row>
    <row r="12" spans="1:26">
      <c r="A12" s="2951" t="s">
        <v>3062</v>
      </c>
      <c r="B12" s="2950">
        <v>8243.7999999999993</v>
      </c>
      <c r="C12" s="2950">
        <v>8243.7999999999993</v>
      </c>
      <c r="D12" s="2950"/>
      <c r="E12" s="2950"/>
      <c r="F12" s="2950"/>
      <c r="G12" s="2950">
        <v>6</v>
      </c>
      <c r="H12" s="2951" t="s">
        <v>3299</v>
      </c>
      <c r="I12" s="2957">
        <f>$I$11</f>
        <v>0.8</v>
      </c>
      <c r="P12" s="3732" t="s">
        <v>3311</v>
      </c>
      <c r="Q12" s="3732">
        <v>3247.6099999999997</v>
      </c>
      <c r="R12" s="3734">
        <v>2469.9499999999998</v>
      </c>
      <c r="S12" s="3732" t="s">
        <v>3123</v>
      </c>
      <c r="T12" s="3735">
        <v>777.66</v>
      </c>
      <c r="U12" s="3732" t="s">
        <v>3123</v>
      </c>
      <c r="V12" s="3724"/>
      <c r="X12" s="2949" t="s">
        <v>3090</v>
      </c>
      <c r="Y12" s="2949" t="s">
        <v>3091</v>
      </c>
    </row>
    <row r="13" spans="1:26">
      <c r="A13" s="2951" t="s">
        <v>3063</v>
      </c>
      <c r="B13" s="2950">
        <v>10797.9</v>
      </c>
      <c r="C13" s="2950"/>
      <c r="D13" s="2950"/>
      <c r="E13" s="2950">
        <v>10797.9</v>
      </c>
      <c r="F13" s="2950"/>
      <c r="G13" s="2950">
        <v>-1</v>
      </c>
      <c r="H13" s="2951"/>
      <c r="I13" s="2957">
        <f>$I$11</f>
        <v>0.8</v>
      </c>
      <c r="P13" s="3732" t="s">
        <v>3312</v>
      </c>
      <c r="Q13" s="3732">
        <v>3171.8</v>
      </c>
      <c r="R13" s="3734">
        <v>2474.61</v>
      </c>
      <c r="S13" s="3732" t="s">
        <v>3123</v>
      </c>
      <c r="T13" s="3735">
        <v>697.19</v>
      </c>
      <c r="U13" s="3732" t="s">
        <v>3123</v>
      </c>
      <c r="V13" s="3724"/>
      <c r="W13" s="2949" t="s">
        <v>3354</v>
      </c>
      <c r="X13">
        <f>Y11</f>
        <v>143180.49999999997</v>
      </c>
      <c r="Y13">
        <f>ROUND(X13/X14*Y14,2)</f>
        <v>68834.89</v>
      </c>
    </row>
    <row r="14" spans="1:26">
      <c r="A14" s="2950"/>
      <c r="B14" s="2950"/>
      <c r="C14" s="2950"/>
      <c r="D14" s="2950"/>
      <c r="E14" s="2950">
        <v>5426.86</v>
      </c>
      <c r="F14" s="2951" t="s">
        <v>3064</v>
      </c>
      <c r="G14" s="2950"/>
      <c r="H14" s="2950"/>
      <c r="I14" s="2950"/>
      <c r="K14" s="2949" t="s">
        <v>3102</v>
      </c>
      <c r="L14">
        <f>E16+E38</f>
        <v>8295.2800000000007</v>
      </c>
      <c r="M14" s="2953">
        <v>0.8</v>
      </c>
      <c r="P14" s="3732" t="s">
        <v>3313</v>
      </c>
      <c r="Q14" s="3732">
        <v>4734.53</v>
      </c>
      <c r="R14" s="3734">
        <v>4734.53</v>
      </c>
      <c r="S14" s="3732" t="s">
        <v>3123</v>
      </c>
      <c r="T14" s="3736">
        <v>0</v>
      </c>
      <c r="U14" s="3732" t="s">
        <v>3123</v>
      </c>
      <c r="V14" s="3724"/>
      <c r="W14" s="2949" t="s">
        <v>3089</v>
      </c>
      <c r="X14">
        <f>L26</f>
        <v>249349.94000000003</v>
      </c>
      <c r="Y14">
        <f>M26</f>
        <v>119876.49</v>
      </c>
    </row>
    <row r="15" spans="1:26">
      <c r="A15" s="2950"/>
      <c r="B15" s="2950"/>
      <c r="C15" s="2950"/>
      <c r="D15" s="2950"/>
      <c r="E15" s="2950">
        <v>1420.23</v>
      </c>
      <c r="F15" s="2951" t="s">
        <v>3065</v>
      </c>
      <c r="G15" s="2950"/>
      <c r="H15" s="2950"/>
      <c r="I15" s="2950"/>
      <c r="K15" s="2949" t="s">
        <v>3103</v>
      </c>
      <c r="L15">
        <f>E14+E37</f>
        <v>12648.5</v>
      </c>
      <c r="M15" s="2953">
        <v>0.8</v>
      </c>
      <c r="P15" s="3732" t="s">
        <v>3314</v>
      </c>
      <c r="Q15" s="3732">
        <v>4845.84</v>
      </c>
      <c r="R15" s="3734">
        <v>4247.1099999999997</v>
      </c>
      <c r="S15" s="3732" t="s">
        <v>3123</v>
      </c>
      <c r="T15" s="3735">
        <v>598.73</v>
      </c>
      <c r="U15" s="3732" t="s">
        <v>3123</v>
      </c>
      <c r="V15" s="3724"/>
      <c r="W15" s="3726"/>
      <c r="X15" s="3726"/>
      <c r="Y15" s="3726"/>
    </row>
    <row r="16" spans="1:26">
      <c r="A16" s="2950"/>
      <c r="B16" s="2950"/>
      <c r="C16" s="2950"/>
      <c r="D16" s="2950"/>
      <c r="E16" s="2950">
        <v>686.73</v>
      </c>
      <c r="F16" s="2951" t="s">
        <v>3066</v>
      </c>
      <c r="G16" s="2950"/>
      <c r="H16" s="2950"/>
      <c r="I16" s="2950"/>
      <c r="K16" s="2949" t="s">
        <v>3351</v>
      </c>
      <c r="L16">
        <f>L14+L15</f>
        <v>20943.78</v>
      </c>
      <c r="M16" s="2953">
        <f>ROUND((L14*M14+L15*M15)/L16,2)</f>
        <v>0.8</v>
      </c>
      <c r="P16" s="3732" t="s">
        <v>3315</v>
      </c>
      <c r="Q16" s="3732">
        <v>3062.62</v>
      </c>
      <c r="R16" s="3734">
        <v>2443.83</v>
      </c>
      <c r="S16" s="3732" t="s">
        <v>3123</v>
      </c>
      <c r="T16" s="3735">
        <v>618.79</v>
      </c>
      <c r="U16" s="3732" t="s">
        <v>3123</v>
      </c>
      <c r="V16" s="3724" t="s">
        <v>3491</v>
      </c>
      <c r="W16" s="3726"/>
      <c r="X16" s="3727"/>
      <c r="Y16" s="3726" t="s">
        <v>3496</v>
      </c>
      <c r="Z16" t="s">
        <v>3498</v>
      </c>
    </row>
    <row r="17" spans="1:26">
      <c r="A17" s="2950"/>
      <c r="B17" s="2950"/>
      <c r="C17" s="2950"/>
      <c r="D17" s="2950"/>
      <c r="E17" s="2950">
        <v>3264.08</v>
      </c>
      <c r="F17" s="2951" t="s">
        <v>3067</v>
      </c>
      <c r="G17" s="2950"/>
      <c r="H17" s="2950"/>
      <c r="I17" s="2950"/>
      <c r="P17" s="3732" t="s">
        <v>3316</v>
      </c>
      <c r="Q17" s="3732">
        <v>3087.36</v>
      </c>
      <c r="R17" s="3734">
        <v>2474.61</v>
      </c>
      <c r="S17" s="3732" t="s">
        <v>3123</v>
      </c>
      <c r="T17" s="3735">
        <v>612.75</v>
      </c>
      <c r="U17" s="3732" t="s">
        <v>3123</v>
      </c>
      <c r="V17" s="3724"/>
      <c r="W17" s="3726" t="s">
        <v>3124</v>
      </c>
      <c r="X17" s="3726">
        <f>Y7</f>
        <v>20924.37</v>
      </c>
      <c r="Y17" s="3726">
        <f>ROUND(C3/179814*1/3,0)</f>
        <v>243</v>
      </c>
      <c r="Z17">
        <f>ROUND(X17*Y17*1.0305/10000,0)</f>
        <v>524</v>
      </c>
    </row>
    <row r="18" spans="1:26">
      <c r="A18" s="2951" t="s">
        <v>3086</v>
      </c>
      <c r="B18" s="2950">
        <v>28613.5</v>
      </c>
      <c r="C18" s="2950">
        <v>17815.599999999999</v>
      </c>
      <c r="D18" s="2950"/>
      <c r="E18" s="2950">
        <v>10797.9</v>
      </c>
      <c r="F18" s="2951"/>
      <c r="G18" s="2952"/>
      <c r="H18" s="2950"/>
      <c r="I18" s="2950"/>
      <c r="K18" s="2949" t="s">
        <v>3104</v>
      </c>
      <c r="L18">
        <f>C35</f>
        <v>272.16000000000003</v>
      </c>
      <c r="M18" s="2953">
        <f>M9</f>
        <v>0.8</v>
      </c>
      <c r="P18" s="3732" t="s">
        <v>3317</v>
      </c>
      <c r="Q18" s="3732">
        <v>2992.26</v>
      </c>
      <c r="R18" s="3734">
        <v>2474.61</v>
      </c>
      <c r="S18" s="3732" t="s">
        <v>3123</v>
      </c>
      <c r="T18" s="3735">
        <v>517.65</v>
      </c>
      <c r="U18" s="3732" t="s">
        <v>3123</v>
      </c>
      <c r="V18" s="3724"/>
      <c r="W18" s="3726" t="s">
        <v>48</v>
      </c>
      <c r="X18" s="3726">
        <f>Y8</f>
        <v>17651.66</v>
      </c>
      <c r="Y18" s="3726">
        <v>30</v>
      </c>
      <c r="Z18">
        <f>ROUND(X18*Y18*1.0305/10000,0)</f>
        <v>55</v>
      </c>
    </row>
    <row r="19" spans="1:26">
      <c r="A19" s="2951" t="s">
        <v>3068</v>
      </c>
      <c r="B19" s="2950">
        <v>1470.43</v>
      </c>
      <c r="C19" s="2950">
        <v>1470.43</v>
      </c>
      <c r="D19" s="2950"/>
      <c r="E19" s="2950"/>
      <c r="F19" s="2950"/>
      <c r="G19" s="2950">
        <v>3</v>
      </c>
      <c r="H19" s="2951" t="s">
        <v>3299</v>
      </c>
      <c r="I19" s="2957">
        <f t="shared" ref="I19:I36" si="0">$I$11</f>
        <v>0.8</v>
      </c>
      <c r="K19" s="2949" t="s">
        <v>3105</v>
      </c>
      <c r="L19">
        <f>E15+E17+E39+T42</f>
        <v>6288</v>
      </c>
      <c r="M19" s="2953">
        <v>0.8</v>
      </c>
      <c r="P19" s="3732" t="s">
        <v>3318</v>
      </c>
      <c r="Q19" s="3732">
        <v>3220.09</v>
      </c>
      <c r="R19" s="3734">
        <v>2474.61</v>
      </c>
      <c r="S19" s="3732" t="s">
        <v>3123</v>
      </c>
      <c r="T19" s="3735">
        <v>745.48</v>
      </c>
      <c r="U19" s="3732" t="s">
        <v>3123</v>
      </c>
      <c r="V19" s="3724"/>
      <c r="W19" s="3726" t="s">
        <v>40</v>
      </c>
      <c r="X19" s="3726">
        <f>X17+X18</f>
        <v>38576.03</v>
      </c>
      <c r="Y19" s="3726"/>
      <c r="Z19">
        <f>Z17+Z18</f>
        <v>579</v>
      </c>
    </row>
    <row r="20" spans="1:26">
      <c r="A20" s="2951" t="s">
        <v>3069</v>
      </c>
      <c r="B20" s="2950">
        <v>1119.98</v>
      </c>
      <c r="C20" s="2950">
        <v>1119.98</v>
      </c>
      <c r="D20" s="2950"/>
      <c r="E20" s="2950"/>
      <c r="F20" s="2950"/>
      <c r="G20" s="2950">
        <v>3</v>
      </c>
      <c r="H20" s="2951" t="s">
        <v>3299</v>
      </c>
      <c r="I20" s="2957">
        <f t="shared" si="0"/>
        <v>0.8</v>
      </c>
      <c r="K20" s="2949" t="s">
        <v>3351</v>
      </c>
      <c r="L20">
        <f>L18+L19</f>
        <v>6560.16</v>
      </c>
      <c r="M20" s="2953">
        <f>ROUND((L18*M18+L19*M19)/L20,2)</f>
        <v>0.8</v>
      </c>
      <c r="P20" s="3732" t="s">
        <v>3319</v>
      </c>
      <c r="Q20" s="3732">
        <v>3050.8</v>
      </c>
      <c r="R20" s="3734">
        <v>2443.83</v>
      </c>
      <c r="S20" s="3732" t="s">
        <v>3123</v>
      </c>
      <c r="T20" s="3735">
        <v>606.97</v>
      </c>
      <c r="U20" s="3732" t="s">
        <v>3123</v>
      </c>
      <c r="V20" s="3724"/>
      <c r="W20" s="3726"/>
      <c r="X20" s="3726"/>
      <c r="Y20" s="3726"/>
    </row>
    <row r="21" spans="1:26">
      <c r="A21" s="2951" t="s">
        <v>3070</v>
      </c>
      <c r="B21" s="2950">
        <v>2055.7600000000002</v>
      </c>
      <c r="C21" s="2950">
        <v>2055.7600000000002</v>
      </c>
      <c r="D21" s="2950"/>
      <c r="E21" s="2950"/>
      <c r="F21" s="2950"/>
      <c r="G21" s="2950">
        <v>3</v>
      </c>
      <c r="H21" s="2951" t="s">
        <v>3299</v>
      </c>
      <c r="I21" s="2957">
        <f t="shared" si="0"/>
        <v>0.8</v>
      </c>
      <c r="P21" s="3732" t="s">
        <v>3320</v>
      </c>
      <c r="Q21" s="3732">
        <v>2958.83</v>
      </c>
      <c r="R21" s="3734">
        <v>2474.61</v>
      </c>
      <c r="S21" s="3732" t="s">
        <v>3123</v>
      </c>
      <c r="T21" s="3735">
        <v>484.22</v>
      </c>
      <c r="U21" s="3732" t="s">
        <v>3123</v>
      </c>
      <c r="V21" s="3724"/>
      <c r="W21" s="3726"/>
      <c r="X21" s="3726"/>
      <c r="Y21" s="3726"/>
    </row>
    <row r="22" spans="1:26">
      <c r="A22" s="2951" t="s">
        <v>3071</v>
      </c>
      <c r="B22" s="2950">
        <v>2011.07</v>
      </c>
      <c r="C22" s="2950">
        <v>2011.07</v>
      </c>
      <c r="D22" s="2950"/>
      <c r="E22" s="2950"/>
      <c r="F22" s="2950"/>
      <c r="G22" s="2950">
        <v>4</v>
      </c>
      <c r="H22" s="2951" t="s">
        <v>3299</v>
      </c>
      <c r="I22" s="2957">
        <f t="shared" si="0"/>
        <v>0.8</v>
      </c>
      <c r="P22" s="3732" t="s">
        <v>3321</v>
      </c>
      <c r="Q22" s="3732">
        <v>5348.37</v>
      </c>
      <c r="R22" s="3734">
        <v>4739.26</v>
      </c>
      <c r="S22" s="3732" t="s">
        <v>3123</v>
      </c>
      <c r="T22" s="3735">
        <v>609.11</v>
      </c>
      <c r="U22" s="3732" t="s">
        <v>3123</v>
      </c>
      <c r="V22" s="3724"/>
      <c r="W22" s="3726"/>
      <c r="X22" s="3726"/>
      <c r="Y22" s="3726"/>
    </row>
    <row r="23" spans="1:26">
      <c r="A23" s="2951" t="s">
        <v>3072</v>
      </c>
      <c r="B23" s="2950">
        <v>1926.41</v>
      </c>
      <c r="C23" s="2950">
        <v>1926.41</v>
      </c>
      <c r="D23" s="2950"/>
      <c r="E23" s="2950"/>
      <c r="F23" s="2950"/>
      <c r="G23" s="2950">
        <v>4</v>
      </c>
      <c r="H23" s="2951" t="s">
        <v>3299</v>
      </c>
      <c r="I23" s="2957">
        <f t="shared" si="0"/>
        <v>0.8</v>
      </c>
      <c r="P23" s="3732" t="s">
        <v>3322</v>
      </c>
      <c r="Q23" s="3732">
        <v>4953.33</v>
      </c>
      <c r="R23" s="3734">
        <v>4253.07</v>
      </c>
      <c r="S23" s="3732" t="s">
        <v>3123</v>
      </c>
      <c r="T23" s="3735">
        <v>700.26</v>
      </c>
      <c r="U23" s="3732" t="s">
        <v>3123</v>
      </c>
      <c r="V23" s="3724"/>
      <c r="W23" s="3726"/>
      <c r="X23" s="3726"/>
      <c r="Y23" s="3726"/>
    </row>
    <row r="24" spans="1:26">
      <c r="A24" s="2951" t="s">
        <v>3073</v>
      </c>
      <c r="B24" s="2950">
        <v>1119.98</v>
      </c>
      <c r="C24" s="2950">
        <v>1119.98</v>
      </c>
      <c r="D24" s="2950"/>
      <c r="E24" s="2950"/>
      <c r="F24" s="2950"/>
      <c r="G24" s="2950">
        <v>3</v>
      </c>
      <c r="H24" s="2951" t="s">
        <v>3299</v>
      </c>
      <c r="I24" s="2957">
        <f t="shared" si="0"/>
        <v>0.8</v>
      </c>
      <c r="L24" s="2949" t="s">
        <v>3090</v>
      </c>
      <c r="M24" s="2949" t="s">
        <v>3091</v>
      </c>
      <c r="P24" s="3732" t="s">
        <v>3323</v>
      </c>
      <c r="Q24" s="3732">
        <v>5218.43</v>
      </c>
      <c r="R24" s="3734">
        <v>4617.99</v>
      </c>
      <c r="S24" s="3732" t="s">
        <v>3123</v>
      </c>
      <c r="T24" s="3735">
        <v>600.44000000000005</v>
      </c>
      <c r="U24" s="3732" t="s">
        <v>3123</v>
      </c>
      <c r="V24" s="3724"/>
    </row>
    <row r="25" spans="1:26">
      <c r="A25" s="2951" t="s">
        <v>3074</v>
      </c>
      <c r="B25" s="2950">
        <v>2055.7600000000002</v>
      </c>
      <c r="C25" s="2950">
        <v>2055.7600000000002</v>
      </c>
      <c r="D25" s="2950"/>
      <c r="E25" s="2950"/>
      <c r="F25" s="2950"/>
      <c r="G25" s="2950">
        <v>3</v>
      </c>
      <c r="H25" s="2951" t="s">
        <v>3299</v>
      </c>
      <c r="I25" s="2957">
        <f t="shared" si="0"/>
        <v>0.8</v>
      </c>
      <c r="K25" s="2949" t="s">
        <v>3352</v>
      </c>
      <c r="L25">
        <f>L11+L16+L20</f>
        <v>103304.44</v>
      </c>
      <c r="M25">
        <f>ROUND(L25/L26*M26,2)</f>
        <v>49664.23</v>
      </c>
      <c r="P25" s="3732" t="s">
        <v>3324</v>
      </c>
      <c r="Q25" s="3732">
        <v>4920.2099999999991</v>
      </c>
      <c r="R25" s="3734">
        <v>4249.6899999999996</v>
      </c>
      <c r="S25" s="3732" t="s">
        <v>3123</v>
      </c>
      <c r="T25" s="3735">
        <v>670.52</v>
      </c>
      <c r="U25" s="3732" t="s">
        <v>3123</v>
      </c>
      <c r="V25" s="3724"/>
    </row>
    <row r="26" spans="1:26">
      <c r="A26" s="2951" t="s">
        <v>3075</v>
      </c>
      <c r="B26" s="2950">
        <v>2011.07</v>
      </c>
      <c r="C26" s="2950">
        <v>2011.07</v>
      </c>
      <c r="D26" s="2950"/>
      <c r="E26" s="2950"/>
      <c r="F26" s="2950"/>
      <c r="G26" s="2950">
        <v>4</v>
      </c>
      <c r="H26" s="2951" t="s">
        <v>3299</v>
      </c>
      <c r="I26" s="2957">
        <f t="shared" si="0"/>
        <v>0.8</v>
      </c>
      <c r="K26" s="2949" t="s">
        <v>3089</v>
      </c>
      <c r="L26">
        <f>B41+Q47</f>
        <v>249349.94000000003</v>
      </c>
      <c r="M26">
        <v>119876.49</v>
      </c>
      <c r="P26" s="3732" t="s">
        <v>3325</v>
      </c>
      <c r="Q26" s="3732">
        <v>302.74</v>
      </c>
      <c r="R26" s="3733">
        <v>302.74</v>
      </c>
      <c r="S26" s="3737" t="s">
        <v>3326</v>
      </c>
      <c r="T26" s="3736">
        <v>0</v>
      </c>
      <c r="U26" s="3732" t="s">
        <v>70</v>
      </c>
      <c r="V26" s="3724"/>
    </row>
    <row r="27" spans="1:26">
      <c r="A27" s="2951" t="s">
        <v>3076</v>
      </c>
      <c r="B27" s="2950">
        <v>1119.98</v>
      </c>
      <c r="C27" s="2950">
        <v>1119.98</v>
      </c>
      <c r="D27" s="2950"/>
      <c r="E27" s="2950"/>
      <c r="F27" s="2950"/>
      <c r="G27" s="2950">
        <v>3</v>
      </c>
      <c r="H27" s="2951" t="s">
        <v>3299</v>
      </c>
      <c r="I27" s="2957">
        <f t="shared" si="0"/>
        <v>0.8</v>
      </c>
      <c r="P27" s="3732" t="s">
        <v>3327</v>
      </c>
      <c r="Q27" s="3732">
        <v>5258.8</v>
      </c>
      <c r="R27" s="3734">
        <v>4280.22</v>
      </c>
      <c r="S27" s="3737" t="s">
        <v>3123</v>
      </c>
      <c r="T27" s="3735">
        <v>978.58</v>
      </c>
      <c r="U27" s="3732" t="s">
        <v>3123</v>
      </c>
      <c r="V27" s="3724"/>
    </row>
    <row r="28" spans="1:26">
      <c r="A28" s="2951" t="s">
        <v>3077</v>
      </c>
      <c r="B28" s="2950">
        <v>2011.07</v>
      </c>
      <c r="C28" s="2950">
        <v>2011.07</v>
      </c>
      <c r="D28" s="2950"/>
      <c r="E28" s="2950"/>
      <c r="F28" s="2950"/>
      <c r="G28" s="2950">
        <v>4</v>
      </c>
      <c r="H28" s="2951" t="s">
        <v>3299</v>
      </c>
      <c r="I28" s="2957">
        <f t="shared" si="0"/>
        <v>0.8</v>
      </c>
      <c r="P28" s="3732" t="s">
        <v>3328</v>
      </c>
      <c r="Q28" s="3732">
        <v>3088.35</v>
      </c>
      <c r="R28" s="3734">
        <v>2443.83</v>
      </c>
      <c r="S28" s="3737" t="s">
        <v>3123</v>
      </c>
      <c r="T28" s="3735">
        <v>644.52</v>
      </c>
      <c r="U28" s="3732" t="s">
        <v>3123</v>
      </c>
      <c r="V28" s="3724"/>
    </row>
    <row r="29" spans="1:26">
      <c r="A29" s="2951" t="s">
        <v>3078</v>
      </c>
      <c r="B29" s="2950">
        <v>1119.98</v>
      </c>
      <c r="C29" s="2950">
        <v>1119.98</v>
      </c>
      <c r="D29" s="2950"/>
      <c r="E29" s="2950"/>
      <c r="F29" s="2950"/>
      <c r="G29" s="2950">
        <v>3</v>
      </c>
      <c r="H29" s="2951" t="s">
        <v>3299</v>
      </c>
      <c r="I29" s="2957">
        <f t="shared" si="0"/>
        <v>0.8</v>
      </c>
      <c r="J29" s="2949" t="s">
        <v>3492</v>
      </c>
      <c r="M29" s="2949" t="s">
        <v>3497</v>
      </c>
      <c r="N29" s="2949" t="s">
        <v>3499</v>
      </c>
      <c r="P29" s="3732" t="s">
        <v>3329</v>
      </c>
      <c r="Q29" s="3732">
        <v>2979.06</v>
      </c>
      <c r="R29" s="3734">
        <v>2474.61</v>
      </c>
      <c r="S29" s="3737" t="s">
        <v>3123</v>
      </c>
      <c r="T29" s="3735">
        <v>504.45</v>
      </c>
      <c r="U29" s="3732" t="s">
        <v>3123</v>
      </c>
      <c r="V29" s="3724"/>
    </row>
    <row r="30" spans="1:26">
      <c r="A30" s="2951" t="s">
        <v>3079</v>
      </c>
      <c r="B30" s="2950">
        <v>1926.41</v>
      </c>
      <c r="C30" s="2950">
        <v>1926.41</v>
      </c>
      <c r="D30" s="2950"/>
      <c r="E30" s="2950"/>
      <c r="F30" s="2950"/>
      <c r="G30" s="2950">
        <v>4</v>
      </c>
      <c r="H30" s="2951" t="s">
        <v>3299</v>
      </c>
      <c r="I30" s="2957">
        <f t="shared" si="0"/>
        <v>0.8</v>
      </c>
      <c r="K30" s="2949" t="s">
        <v>3493</v>
      </c>
      <c r="L30">
        <f>L14</f>
        <v>8295.2800000000007</v>
      </c>
      <c r="M30" s="2949">
        <f>ROUND(C3/179814*1/3,0)</f>
        <v>243</v>
      </c>
      <c r="N30">
        <f>ROUND(L30*M30*1.0305/10000,0)</f>
        <v>208</v>
      </c>
      <c r="P30" s="3732" t="s">
        <v>3330</v>
      </c>
      <c r="Q30" s="3732">
        <v>3009.5299999999997</v>
      </c>
      <c r="R30" s="3734">
        <v>2443.83</v>
      </c>
      <c r="S30" s="3737" t="s">
        <v>3123</v>
      </c>
      <c r="T30" s="3735">
        <v>565.70000000000005</v>
      </c>
      <c r="U30" s="3732" t="s">
        <v>3123</v>
      </c>
      <c r="V30" s="3724"/>
    </row>
    <row r="31" spans="1:26">
      <c r="A31" s="2951" t="s">
        <v>3080</v>
      </c>
      <c r="B31" s="2950">
        <v>2055.7600000000002</v>
      </c>
      <c r="C31" s="2950">
        <v>2055.7600000000002</v>
      </c>
      <c r="D31" s="2950"/>
      <c r="E31" s="2950"/>
      <c r="F31" s="2950"/>
      <c r="G31" s="2950">
        <v>3</v>
      </c>
      <c r="H31" s="2951" t="s">
        <v>3299</v>
      </c>
      <c r="I31" s="2957">
        <f t="shared" si="0"/>
        <v>0.8</v>
      </c>
      <c r="K31" s="2949" t="s">
        <v>3494</v>
      </c>
      <c r="L31">
        <f>L15</f>
        <v>12648.5</v>
      </c>
      <c r="M31">
        <v>30</v>
      </c>
      <c r="N31">
        <f>ROUND(L31*M31*1.0305/10000,0)</f>
        <v>39</v>
      </c>
      <c r="P31" s="3732" t="s">
        <v>3331</v>
      </c>
      <c r="Q31" s="3732">
        <v>3032.52</v>
      </c>
      <c r="R31" s="3734">
        <v>2443.83</v>
      </c>
      <c r="S31" s="3737" t="s">
        <v>3123</v>
      </c>
      <c r="T31" s="3735">
        <v>588.69000000000005</v>
      </c>
      <c r="U31" s="3732" t="s">
        <v>3123</v>
      </c>
      <c r="V31" s="3724"/>
    </row>
    <row r="32" spans="1:26">
      <c r="A32" s="2951" t="s">
        <v>3081</v>
      </c>
      <c r="B32" s="2950">
        <v>1999.07</v>
      </c>
      <c r="C32" s="2950">
        <v>1999.07</v>
      </c>
      <c r="D32" s="2950"/>
      <c r="E32" s="2950"/>
      <c r="F32" s="2950"/>
      <c r="G32" s="2950">
        <v>4</v>
      </c>
      <c r="H32" s="2951" t="s">
        <v>3299</v>
      </c>
      <c r="I32" s="2957">
        <f t="shared" si="0"/>
        <v>0.8</v>
      </c>
      <c r="K32" s="2949" t="s">
        <v>3500</v>
      </c>
      <c r="L32">
        <f>L30+L31</f>
        <v>20943.78</v>
      </c>
      <c r="N32">
        <f>N30+N31</f>
        <v>247</v>
      </c>
      <c r="P32" s="3732" t="s">
        <v>3332</v>
      </c>
      <c r="Q32" s="3732">
        <v>3031.57</v>
      </c>
      <c r="R32" s="3734">
        <v>2474.61</v>
      </c>
      <c r="S32" s="3737" t="s">
        <v>3123</v>
      </c>
      <c r="T32" s="3735">
        <v>556.96</v>
      </c>
      <c r="U32" s="3732" t="s">
        <v>3123</v>
      </c>
      <c r="V32" s="3724"/>
    </row>
    <row r="33" spans="1:23">
      <c r="A33" s="2951" t="s">
        <v>3082</v>
      </c>
      <c r="B33" s="2950">
        <v>2055.7600000000002</v>
      </c>
      <c r="C33" s="2950">
        <v>2055.7600000000002</v>
      </c>
      <c r="D33" s="2950"/>
      <c r="E33" s="2950"/>
      <c r="F33" s="2950"/>
      <c r="G33" s="2950">
        <v>3</v>
      </c>
      <c r="H33" s="2951" t="s">
        <v>3299</v>
      </c>
      <c r="I33" s="2957">
        <f t="shared" si="0"/>
        <v>0.8</v>
      </c>
      <c r="P33" s="3732" t="s">
        <v>3333</v>
      </c>
      <c r="Q33" s="3732">
        <v>3040.12</v>
      </c>
      <c r="R33" s="3734">
        <v>2443.83</v>
      </c>
      <c r="S33" s="3737" t="s">
        <v>3123</v>
      </c>
      <c r="T33" s="3735">
        <v>596.29</v>
      </c>
      <c r="U33" s="3732" t="s">
        <v>3123</v>
      </c>
      <c r="V33" s="3724"/>
    </row>
    <row r="34" spans="1:23">
      <c r="A34" s="2951" t="s">
        <v>3083</v>
      </c>
      <c r="B34" s="2950">
        <v>1926.41</v>
      </c>
      <c r="C34" s="2950">
        <v>1926.41</v>
      </c>
      <c r="D34" s="2950"/>
      <c r="E34" s="2950"/>
      <c r="F34" s="2950"/>
      <c r="G34" s="2950">
        <v>4</v>
      </c>
      <c r="H34" s="2951" t="s">
        <v>3299</v>
      </c>
      <c r="I34" s="2957">
        <f t="shared" si="0"/>
        <v>0.8</v>
      </c>
      <c r="K34" t="s">
        <v>3346</v>
      </c>
      <c r="L34">
        <f>L32+X19</f>
        <v>59519.81</v>
      </c>
      <c r="N34">
        <f t="shared" ref="N34" si="1">N32+Z19</f>
        <v>826</v>
      </c>
      <c r="P34" s="3732" t="s">
        <v>3334</v>
      </c>
      <c r="Q34" s="3732">
        <v>282.24</v>
      </c>
      <c r="R34" s="3733">
        <v>282.24</v>
      </c>
      <c r="S34" s="3737" t="s">
        <v>3326</v>
      </c>
      <c r="T34" s="3736">
        <v>0</v>
      </c>
      <c r="U34" s="3732" t="s">
        <v>70</v>
      </c>
      <c r="V34" s="3724"/>
    </row>
    <row r="35" spans="1:23">
      <c r="A35" s="2951" t="s">
        <v>3084</v>
      </c>
      <c r="B35" s="2950">
        <v>272.16000000000003</v>
      </c>
      <c r="C35" s="2950">
        <v>272.16000000000003</v>
      </c>
      <c r="D35" s="2950"/>
      <c r="E35" s="2950"/>
      <c r="F35" s="2950"/>
      <c r="G35" s="2950">
        <v>1</v>
      </c>
      <c r="H35" s="2951" t="s">
        <v>3299</v>
      </c>
      <c r="I35" s="2957">
        <f t="shared" si="0"/>
        <v>0.8</v>
      </c>
      <c r="P35" s="3732" t="s">
        <v>3335</v>
      </c>
      <c r="Q35" s="3732">
        <v>3192.48</v>
      </c>
      <c r="R35" s="3734">
        <v>2474.61</v>
      </c>
      <c r="S35" s="3737" t="s">
        <v>3123</v>
      </c>
      <c r="T35" s="3735">
        <v>717.87</v>
      </c>
      <c r="U35" s="3732" t="s">
        <v>3123</v>
      </c>
      <c r="V35" s="3724"/>
    </row>
    <row r="36" spans="1:23">
      <c r="A36" s="2951" t="s">
        <v>3085</v>
      </c>
      <c r="B36" s="2950">
        <v>15663.88</v>
      </c>
      <c r="C36" s="2950"/>
      <c r="D36" s="2950"/>
      <c r="E36" s="2950">
        <v>15663.88</v>
      </c>
      <c r="F36" s="2950"/>
      <c r="G36" s="2950">
        <v>-1</v>
      </c>
      <c r="H36" s="2950"/>
      <c r="I36" s="2957">
        <f t="shared" si="0"/>
        <v>0.8</v>
      </c>
      <c r="P36" s="3732" t="s">
        <v>3336</v>
      </c>
      <c r="Q36" s="3732">
        <v>3049.99</v>
      </c>
      <c r="R36" s="3734">
        <v>2443.83</v>
      </c>
      <c r="S36" s="3737" t="s">
        <v>3123</v>
      </c>
      <c r="T36" s="3736">
        <v>606.16</v>
      </c>
      <c r="U36" s="3732" t="s">
        <v>3123</v>
      </c>
      <c r="V36" s="3724"/>
    </row>
    <row r="37" spans="1:23">
      <c r="A37" s="2950"/>
      <c r="B37" s="2950"/>
      <c r="C37" s="2950"/>
      <c r="D37" s="2950"/>
      <c r="E37" s="2950">
        <v>7221.64</v>
      </c>
      <c r="F37" s="2951" t="s">
        <v>3064</v>
      </c>
      <c r="G37" s="2950"/>
      <c r="H37" s="2950"/>
      <c r="I37" s="2950"/>
      <c r="P37" s="3732" t="s">
        <v>3337</v>
      </c>
      <c r="Q37" s="3732">
        <v>3102.67</v>
      </c>
      <c r="R37" s="3734">
        <v>2469.9499999999998</v>
      </c>
      <c r="S37" s="3737" t="s">
        <v>3123</v>
      </c>
      <c r="T37" s="3736">
        <v>632.72</v>
      </c>
      <c r="U37" s="3732" t="s">
        <v>3123</v>
      </c>
      <c r="V37" s="3724"/>
    </row>
    <row r="38" spans="1:23">
      <c r="A38" s="2950"/>
      <c r="B38" s="2950"/>
      <c r="C38" s="2950"/>
      <c r="D38" s="2950"/>
      <c r="E38" s="2950">
        <v>7608.55</v>
      </c>
      <c r="F38" s="2951" t="s">
        <v>3066</v>
      </c>
      <c r="G38" s="2950"/>
      <c r="H38" s="2950"/>
      <c r="I38" s="2950"/>
      <c r="P38" s="3732" t="s">
        <v>3338</v>
      </c>
      <c r="Q38" s="3732">
        <v>3090.49</v>
      </c>
      <c r="R38" s="3734">
        <v>2443.83</v>
      </c>
      <c r="S38" s="3737" t="s">
        <v>3123</v>
      </c>
      <c r="T38" s="3736">
        <v>646.66</v>
      </c>
      <c r="U38" s="3732" t="s">
        <v>3123</v>
      </c>
      <c r="V38" s="3724"/>
    </row>
    <row r="39" spans="1:23">
      <c r="A39" s="2950"/>
      <c r="B39" s="2950"/>
      <c r="C39" s="2950"/>
      <c r="D39" s="2950"/>
      <c r="E39" s="2950">
        <v>833.69</v>
      </c>
      <c r="F39" s="2951" t="s">
        <v>3067</v>
      </c>
      <c r="G39" s="2950"/>
      <c r="H39" s="2950"/>
      <c r="I39" s="2950"/>
      <c r="P39" s="3732" t="s">
        <v>3339</v>
      </c>
      <c r="Q39" s="3732">
        <v>3288.6899999999996</v>
      </c>
      <c r="R39" s="3734">
        <v>2469.9499999999998</v>
      </c>
      <c r="S39" s="3737" t="s">
        <v>3123</v>
      </c>
      <c r="T39" s="3736">
        <v>818.74</v>
      </c>
      <c r="U39" s="3732" t="s">
        <v>3123</v>
      </c>
      <c r="V39" s="3724"/>
    </row>
    <row r="40" spans="1:23">
      <c r="A40" s="2951" t="s">
        <v>3087</v>
      </c>
      <c r="B40" s="2950">
        <v>43920.94</v>
      </c>
      <c r="C40" s="2950">
        <v>28257.06</v>
      </c>
      <c r="D40" s="2950"/>
      <c r="E40" s="2950">
        <v>15663.88</v>
      </c>
      <c r="F40" s="2950"/>
      <c r="G40" s="2950"/>
      <c r="H40" s="2950"/>
      <c r="I40" s="2950"/>
      <c r="P40" s="3732" t="s">
        <v>3340</v>
      </c>
      <c r="Q40" s="3732">
        <v>3352.04</v>
      </c>
      <c r="R40" s="3734">
        <v>2443.83</v>
      </c>
      <c r="S40" s="3737" t="s">
        <v>3123</v>
      </c>
      <c r="T40" s="3736">
        <v>908.21</v>
      </c>
      <c r="U40" s="3732" t="s">
        <v>3123</v>
      </c>
      <c r="V40" s="3724"/>
    </row>
    <row r="41" spans="1:23">
      <c r="A41" s="2951" t="s">
        <v>3088</v>
      </c>
      <c r="B41" s="2950">
        <f>B18+B40</f>
        <v>72534.44</v>
      </c>
      <c r="C41" s="2950">
        <f>C18+C40</f>
        <v>46072.66</v>
      </c>
      <c r="D41" s="2950"/>
      <c r="E41" s="2950">
        <f>E18+E40</f>
        <v>26461.78</v>
      </c>
      <c r="F41" s="2950"/>
      <c r="G41" s="2950"/>
      <c r="H41" s="2950"/>
      <c r="I41" s="2950"/>
      <c r="P41" s="3732" t="s">
        <v>3341</v>
      </c>
      <c r="Q41" s="3732">
        <v>3253.02</v>
      </c>
      <c r="R41" s="3734">
        <v>2469.9499999999998</v>
      </c>
      <c r="S41" s="3737" t="s">
        <v>3123</v>
      </c>
      <c r="T41" s="3736">
        <v>783.07</v>
      </c>
      <c r="U41" s="3732" t="s">
        <v>3123</v>
      </c>
      <c r="V41" s="3724"/>
    </row>
    <row r="42" spans="1:23">
      <c r="P42" s="3732" t="s">
        <v>3342</v>
      </c>
      <c r="Q42" s="3732">
        <v>30770</v>
      </c>
      <c r="R42" s="3734">
        <v>30000</v>
      </c>
      <c r="S42" s="3737" t="s">
        <v>3123</v>
      </c>
      <c r="T42" s="3738">
        <v>770</v>
      </c>
      <c r="U42" s="3732" t="s">
        <v>3308</v>
      </c>
      <c r="V42" s="3724" t="s">
        <v>3349</v>
      </c>
      <c r="W42" s="2953">
        <v>0.3</v>
      </c>
    </row>
    <row r="43" spans="1:23">
      <c r="P43" s="3732" t="s">
        <v>48</v>
      </c>
      <c r="Q43" s="3732">
        <v>17651.66</v>
      </c>
      <c r="R43" s="3734">
        <v>0</v>
      </c>
      <c r="S43" s="3739"/>
      <c r="T43" s="3740">
        <v>17651.66</v>
      </c>
      <c r="U43" s="3732" t="s">
        <v>48</v>
      </c>
      <c r="V43" s="3724"/>
    </row>
    <row r="44" spans="1:23">
      <c r="D44" s="2949"/>
      <c r="P44" s="3732" t="s">
        <v>3343</v>
      </c>
      <c r="Q44" s="3732">
        <v>920.27</v>
      </c>
      <c r="R44" s="3734">
        <v>0</v>
      </c>
      <c r="S44" s="3739"/>
      <c r="T44" s="3733">
        <v>920.27</v>
      </c>
      <c r="U44" s="3732" t="s">
        <v>3308</v>
      </c>
      <c r="V44" s="3724"/>
    </row>
    <row r="45" spans="1:23">
      <c r="P45" s="3732" t="s">
        <v>3344</v>
      </c>
      <c r="Q45" s="3732">
        <v>235.34999999999991</v>
      </c>
      <c r="R45" s="3734">
        <v>0</v>
      </c>
      <c r="S45" s="3739"/>
      <c r="T45" s="3735">
        <v>235.34999999999991</v>
      </c>
      <c r="U45" s="3732" t="s">
        <v>3123</v>
      </c>
      <c r="V45" s="3724"/>
    </row>
    <row r="46" spans="1:23">
      <c r="P46" s="3732" t="s">
        <v>3345</v>
      </c>
      <c r="Q46" s="3732">
        <v>2865</v>
      </c>
      <c r="R46" s="3741">
        <v>56</v>
      </c>
      <c r="S46" s="3739"/>
      <c r="T46" s="3741">
        <v>2809</v>
      </c>
      <c r="U46" s="3732"/>
      <c r="V46" s="3724"/>
    </row>
    <row r="47" spans="1:23">
      <c r="P47" s="3732" t="s">
        <v>3346</v>
      </c>
      <c r="Q47" s="3732">
        <v>176815.50000000003</v>
      </c>
      <c r="R47" s="3739">
        <v>133740.20000000001</v>
      </c>
      <c r="S47" s="3739"/>
      <c r="T47" s="3739">
        <v>43075.3</v>
      </c>
      <c r="U47" s="3739"/>
      <c r="V47" s="3723"/>
    </row>
  </sheetData>
  <mergeCells count="8">
    <mergeCell ref="R5:S5"/>
    <mergeCell ref="T5:U5"/>
    <mergeCell ref="R4:U4"/>
    <mergeCell ref="B9:B10"/>
    <mergeCell ref="G9:G10"/>
    <mergeCell ref="C9:F9"/>
    <mergeCell ref="Q4:Q5"/>
    <mergeCell ref="P4:P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H9" sqref="H9"/>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1934</v>
      </c>
      <c r="B1" s="1391"/>
      <c r="C1" s="1391"/>
      <c r="D1" s="1391"/>
      <c r="E1" s="1391"/>
      <c r="F1" s="1391"/>
      <c r="G1" s="1391"/>
      <c r="H1" s="1391"/>
      <c r="I1" s="1391"/>
      <c r="J1" s="1391"/>
      <c r="K1" s="1391"/>
      <c r="L1" s="1391"/>
      <c r="M1" s="1391"/>
      <c r="N1" s="1391"/>
      <c r="O1" s="1391"/>
      <c r="P1" s="1391"/>
    </row>
    <row r="2" spans="1:16" ht="14.4">
      <c r="A2" s="3436" t="s">
        <v>1935</v>
      </c>
      <c r="B2" s="3436"/>
      <c r="C2" s="3436"/>
      <c r="D2" s="966" t="s">
        <v>1911</v>
      </c>
      <c r="E2" s="2223" t="s">
        <v>1912</v>
      </c>
      <c r="F2" s="1391"/>
      <c r="G2" s="2224"/>
      <c r="H2" s="2225"/>
      <c r="I2" s="2226" t="s">
        <v>1936</v>
      </c>
      <c r="J2" s="1391"/>
      <c r="K2" s="1391"/>
      <c r="L2" s="1391"/>
      <c r="M2" s="1391"/>
      <c r="N2" s="1426"/>
      <c r="O2" s="1391"/>
      <c r="P2" s="1391"/>
    </row>
    <row r="3" spans="1:16" ht="15" thickBot="1">
      <c r="A3" s="3437" t="s">
        <v>1909</v>
      </c>
      <c r="B3" s="3437"/>
      <c r="C3" s="3437"/>
      <c r="D3" s="45">
        <f>'数据-基础表'!AY6</f>
        <v>49664.23</v>
      </c>
      <c r="E3" s="45">
        <f>'数据-基础表'!AZ5</f>
        <v>103304.44</v>
      </c>
      <c r="F3" s="1391"/>
      <c r="G3" s="1398"/>
      <c r="H3" s="1246" t="s">
        <v>1910</v>
      </c>
      <c r="I3" s="54">
        <f>ROUND('数据-基础表'!B3/'数据-基础表'!A3,2)</f>
        <v>2.08</v>
      </c>
      <c r="J3" s="1391"/>
      <c r="K3" s="1391"/>
      <c r="L3" s="1391"/>
      <c r="M3" s="1391"/>
      <c r="N3" s="1426"/>
      <c r="O3" s="1391"/>
      <c r="P3" s="1391"/>
    </row>
    <row r="4" spans="1:16" ht="14.4">
      <c r="A4" s="3438"/>
      <c r="B4" s="3439"/>
      <c r="C4" s="3440"/>
      <c r="D4" s="2227" t="s">
        <v>1911</v>
      </c>
      <c r="E4" s="2228" t="s">
        <v>1912</v>
      </c>
      <c r="F4" s="1391"/>
      <c r="G4" s="2229" t="s">
        <v>1937</v>
      </c>
      <c r="H4" s="1246" t="s">
        <v>1917</v>
      </c>
      <c r="I4" s="54">
        <f>ROUND(SUMIF('数据-基础表'!I9:AS9,"地上",'数据-基础表'!I5:AS5)/'数据-基础表'!A3,2)</f>
        <v>1.5</v>
      </c>
      <c r="J4" s="1391"/>
      <c r="K4" s="1391"/>
      <c r="L4" s="1391"/>
      <c r="M4" s="1391"/>
      <c r="N4" s="1426"/>
      <c r="O4" s="1391"/>
      <c r="P4" s="1391"/>
    </row>
    <row r="5" spans="1:16" ht="14.4">
      <c r="A5" s="46" t="s">
        <v>1913</v>
      </c>
      <c r="B5" s="3441" t="s">
        <v>1914</v>
      </c>
      <c r="C5" s="3441"/>
      <c r="D5" s="47">
        <f>ROUND($D$3*E5/$E$3,2)</f>
        <v>0</v>
      </c>
      <c r="E5" s="48">
        <f>SUMIF('数据-基础表'!$11:$11,"住宅",'数据-基础表'!$5:$5)</f>
        <v>0</v>
      </c>
      <c r="F5" s="1391"/>
      <c r="G5" s="1398"/>
      <c r="H5" s="1246" t="s">
        <v>1910</v>
      </c>
      <c r="I5" s="54">
        <f>ROUND(E31/D31,2)</f>
        <v>2.08</v>
      </c>
      <c r="J5" s="1391"/>
      <c r="K5" s="1391"/>
      <c r="L5" s="1391"/>
      <c r="M5" s="1391"/>
      <c r="N5" s="1391"/>
      <c r="O5" s="1391"/>
      <c r="P5" s="1391"/>
    </row>
    <row r="6" spans="1:16" ht="15" thickBot="1">
      <c r="A6" s="2230"/>
      <c r="B6" s="3441" t="s">
        <v>1915</v>
      </c>
      <c r="C6" s="3441"/>
      <c r="D6" s="47">
        <f>ROUND($D$3*E6/$E$3,2)</f>
        <v>49664.23</v>
      </c>
      <c r="E6" s="48">
        <f>E3-E5</f>
        <v>103304.44</v>
      </c>
      <c r="F6" s="1391"/>
      <c r="G6" s="2231" t="s">
        <v>1916</v>
      </c>
      <c r="H6" s="1398" t="s">
        <v>1917</v>
      </c>
      <c r="I6" s="938">
        <f>ROUND(F31/D31,2)</f>
        <v>1.53</v>
      </c>
      <c r="J6" s="1391"/>
      <c r="K6" s="1391"/>
      <c r="L6" s="1391"/>
      <c r="M6" s="1391"/>
      <c r="N6" s="1391"/>
      <c r="O6" s="1391"/>
      <c r="P6" s="1391"/>
    </row>
    <row r="7" spans="1:16" ht="14.4">
      <c r="A7" s="3433"/>
      <c r="B7" s="3434"/>
      <c r="C7" s="3435"/>
      <c r="D7" s="2227" t="s">
        <v>1911</v>
      </c>
      <c r="E7" s="2232" t="s">
        <v>1918</v>
      </c>
      <c r="F7" s="1391"/>
      <c r="G7" s="2224" t="s">
        <v>1919</v>
      </c>
      <c r="H7" s="63"/>
      <c r="I7" s="418"/>
      <c r="J7" s="1391"/>
      <c r="K7" s="1391"/>
      <c r="L7" s="1391"/>
      <c r="M7" s="1391"/>
      <c r="N7" s="1391"/>
      <c r="O7" s="1391"/>
      <c r="P7" s="1391"/>
    </row>
    <row r="8" spans="1:16" ht="14.4">
      <c r="A8" s="46" t="s">
        <v>1920</v>
      </c>
      <c r="B8" s="49" t="s">
        <v>1921</v>
      </c>
      <c r="C8" s="47" t="s">
        <v>1922</v>
      </c>
      <c r="D8" s="47">
        <f t="shared" ref="D8:D15" si="0">ROUND($D$3*E8/$E$3,2)</f>
        <v>36441.550000000003</v>
      </c>
      <c r="E8" s="50">
        <f>SUMIF('数据-基础表'!BB10:BK10,"地上",'数据-基础表'!BB5:BK5)</f>
        <v>75800.5</v>
      </c>
      <c r="F8" s="1391"/>
      <c r="G8" s="2233"/>
      <c r="H8" s="2233"/>
      <c r="I8" s="1391"/>
      <c r="J8" s="1391"/>
      <c r="K8" s="1391"/>
      <c r="L8" s="1391"/>
      <c r="M8" s="1391"/>
      <c r="N8" s="1391"/>
      <c r="O8" s="1391"/>
      <c r="P8" s="1391"/>
    </row>
    <row r="9" spans="1:16" ht="14.4">
      <c r="A9" s="2234"/>
      <c r="B9" s="2235"/>
      <c r="C9" s="47" t="s">
        <v>1923</v>
      </c>
      <c r="D9" s="47">
        <f t="shared" si="0"/>
        <v>0</v>
      </c>
      <c r="E9" s="51">
        <v>0</v>
      </c>
      <c r="F9" s="1391"/>
      <c r="G9" s="2233"/>
      <c r="H9" s="2233"/>
      <c r="I9" s="1391"/>
      <c r="J9" s="1391"/>
      <c r="K9" s="1391"/>
      <c r="L9" s="1391"/>
      <c r="M9" s="1391"/>
      <c r="N9" s="1391"/>
      <c r="O9" s="1391"/>
      <c r="P9" s="1391"/>
    </row>
    <row r="10" spans="1:16" ht="14.4">
      <c r="A10" s="2234"/>
      <c r="B10" s="2235"/>
      <c r="C10" s="47" t="s">
        <v>1932</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7" t="s">
        <v>1924</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7" t="s">
        <v>1925</v>
      </c>
      <c r="D12" s="47">
        <f t="shared" si="0"/>
        <v>3988.01</v>
      </c>
      <c r="E12" s="50">
        <f>SUMPRODUCT(('数据-基础表'!BB10:BK10="地下")*('数据-基础表'!BB11:BK11="仓储")*('数据-基础表'!BB5:BK5))</f>
        <v>8295.2800000000007</v>
      </c>
      <c r="F12" s="1391"/>
      <c r="G12" s="2233"/>
      <c r="H12" s="2233"/>
      <c r="I12" s="1391"/>
      <c r="J12" s="1391"/>
      <c r="K12" s="1391"/>
      <c r="L12" s="1391"/>
      <c r="M12" s="1391"/>
      <c r="N12" s="1391"/>
      <c r="O12" s="1391"/>
      <c r="P12" s="1391"/>
    </row>
    <row r="13" spans="1:16" ht="14.4">
      <c r="A13" s="2234"/>
      <c r="B13" s="2235"/>
      <c r="C13" s="47" t="s">
        <v>1926</v>
      </c>
      <c r="D13" s="47">
        <f t="shared" si="0"/>
        <v>6080.84</v>
      </c>
      <c r="E13" s="50">
        <f>SUMPRODUCT(('数据-基础表'!BB10:BK10="地下")*('数据-基础表'!BB11:BK11="车库")*('数据-基础表'!BB5:BK5))</f>
        <v>12648.5</v>
      </c>
      <c r="F13" s="1391"/>
      <c r="G13" s="2233"/>
      <c r="H13" s="2233"/>
      <c r="I13" s="1391"/>
      <c r="J13" s="1391"/>
      <c r="K13" s="1391"/>
      <c r="L13" s="1391"/>
      <c r="M13" s="1391"/>
      <c r="N13" s="1391"/>
      <c r="O13" s="1391"/>
      <c r="P13" s="1391"/>
    </row>
    <row r="14" spans="1:16" ht="14.4">
      <c r="A14" s="2234"/>
      <c r="B14" s="2235"/>
      <c r="C14" s="47" t="s">
        <v>1938</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1933</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49" t="s">
        <v>1927</v>
      </c>
      <c r="D16" s="49">
        <f>SUM(D8:D15)</f>
        <v>46510.400000000009</v>
      </c>
      <c r="E16" s="52">
        <f>SUM(E8:E15)</f>
        <v>96744.28</v>
      </c>
      <c r="F16" s="1391"/>
      <c r="G16" s="2233"/>
      <c r="H16" s="2236" t="s">
        <v>1939</v>
      </c>
      <c r="I16" s="2237"/>
      <c r="J16" s="1391"/>
      <c r="K16" s="3430" t="s">
        <v>1939</v>
      </c>
      <c r="L16" s="3431"/>
      <c r="M16" s="3431"/>
      <c r="N16" s="3431"/>
      <c r="O16" s="3431"/>
      <c r="P16" s="3432"/>
    </row>
    <row r="17" spans="1:19" ht="14.4">
      <c r="A17" s="2238" t="s">
        <v>1940</v>
      </c>
      <c r="B17" s="2239" t="s">
        <v>1941</v>
      </c>
      <c r="C17" s="2240" t="s">
        <v>1942</v>
      </c>
      <c r="D17" s="2241" t="s">
        <v>1930</v>
      </c>
      <c r="E17" s="2242" t="s">
        <v>1931</v>
      </c>
      <c r="F17" s="2243"/>
      <c r="G17" s="2244"/>
      <c r="H17" s="2245" t="s">
        <v>1943</v>
      </c>
      <c r="I17" s="2246" t="s">
        <v>1928</v>
      </c>
      <c r="J17" s="1391"/>
      <c r="K17" s="3427" t="s">
        <v>1944</v>
      </c>
      <c r="L17" s="3428"/>
      <c r="M17" s="3429"/>
      <c r="N17" s="3427" t="s">
        <v>1945</v>
      </c>
      <c r="O17" s="3428"/>
      <c r="P17" s="3429"/>
      <c r="R17" s="2224" t="s">
        <v>1946</v>
      </c>
      <c r="S17" s="63"/>
    </row>
    <row r="18" spans="1:19" ht="14.4">
      <c r="A18" s="2234"/>
      <c r="B18" s="2247"/>
      <c r="C18" s="2248"/>
      <c r="D18" s="2249"/>
      <c r="E18" s="2250" t="s">
        <v>1947</v>
      </c>
      <c r="F18" s="2251" t="s">
        <v>1948</v>
      </c>
      <c r="G18" s="2252" t="s">
        <v>1949</v>
      </c>
      <c r="H18" s="1261" t="s">
        <v>1950</v>
      </c>
      <c r="I18" s="2253" t="s">
        <v>1951</v>
      </c>
      <c r="J18" s="1391"/>
      <c r="K18" s="1261" t="s">
        <v>1952</v>
      </c>
      <c r="L18" s="2254" t="s">
        <v>1953</v>
      </c>
      <c r="M18" s="1045" t="s">
        <v>1954</v>
      </c>
      <c r="N18" s="1261" t="s">
        <v>1952</v>
      </c>
      <c r="O18" s="2254" t="s">
        <v>1953</v>
      </c>
      <c r="P18" s="1045" t="s">
        <v>1954</v>
      </c>
      <c r="R18" s="1246" t="s">
        <v>1955</v>
      </c>
      <c r="S18" s="1246" t="s">
        <v>1956</v>
      </c>
    </row>
    <row r="19" spans="1:19" ht="14.4">
      <c r="A19" s="2255"/>
      <c r="B19" s="49" t="s">
        <v>1929</v>
      </c>
      <c r="C19" s="2956" t="s">
        <v>3099</v>
      </c>
      <c r="D19" s="47">
        <f>ROUND($D$3*E19/$E$3,2)</f>
        <v>36441.550000000003</v>
      </c>
      <c r="E19" s="55">
        <f t="shared" ref="E19:E26" si="1">SUM(F19:G19)</f>
        <v>75800.5</v>
      </c>
      <c r="F19" s="56">
        <f>'数据-基础表'!I13</f>
        <v>75800.5</v>
      </c>
      <c r="G19" s="57"/>
      <c r="H19" s="721">
        <f>ROUND($D$3*I19/$E$3,2)</f>
        <v>2471.08</v>
      </c>
      <c r="I19" s="50">
        <f t="shared" ref="I19:I26" si="2">IF($I$17="自定义",P19,M19)</f>
        <v>5139.9799999999996</v>
      </c>
      <c r="J19" s="1391"/>
      <c r="K19" s="1390">
        <f t="shared" ref="K19:K26" si="3">ROUND(E$28*E19/E$27,2)</f>
        <v>5139.9799999999996</v>
      </c>
      <c r="L19" s="1246">
        <f t="shared" ref="L19:L26" si="4">ROUND(IF(COUNTIF(C19,"*住宅*")&gt;0,E$29*E19/E$32,0),2)</f>
        <v>0</v>
      </c>
      <c r="M19" s="1402">
        <f>K19+L19</f>
        <v>5139.9799999999996</v>
      </c>
      <c r="N19" s="2256"/>
      <c r="O19" s="2257"/>
      <c r="P19" s="1402">
        <f>N19+O19</f>
        <v>0</v>
      </c>
      <c r="R19" s="1246">
        <f t="shared" ref="R19:S26" si="5">D19+H19</f>
        <v>38912.630000000005</v>
      </c>
      <c r="S19" s="1247">
        <f t="shared" si="5"/>
        <v>80940.479999999996</v>
      </c>
    </row>
    <row r="20" spans="1:19" ht="14.4">
      <c r="A20" s="2258"/>
      <c r="B20" s="49" t="s">
        <v>1957</v>
      </c>
      <c r="C20" s="2956" t="s">
        <v>3100</v>
      </c>
      <c r="D20" s="47">
        <f t="shared" ref="D20:D26" si="6">ROUND($D$3*E20/$E$3,2)</f>
        <v>3988.01</v>
      </c>
      <c r="E20" s="55">
        <f t="shared" si="1"/>
        <v>8295.2800000000007</v>
      </c>
      <c r="F20" s="56"/>
      <c r="G20" s="57">
        <f>'数据-基础表'!K14</f>
        <v>8295.2800000000007</v>
      </c>
      <c r="H20" s="721">
        <f t="shared" ref="H20:H26" si="7">ROUND($D$3*I20/$E$3,2)</f>
        <v>270.43</v>
      </c>
      <c r="I20" s="50">
        <f t="shared" si="2"/>
        <v>562.5</v>
      </c>
      <c r="J20" s="1391"/>
      <c r="K20" s="1390">
        <f t="shared" si="3"/>
        <v>562.5</v>
      </c>
      <c r="L20" s="1246">
        <f t="shared" si="4"/>
        <v>0</v>
      </c>
      <c r="M20" s="1402">
        <f t="shared" ref="M20:M26" si="8">K20+L20</f>
        <v>562.5</v>
      </c>
      <c r="N20" s="2256"/>
      <c r="O20" s="2257"/>
      <c r="P20" s="1402">
        <f t="shared" ref="P20:P26" si="9">N20+O20</f>
        <v>0</v>
      </c>
      <c r="R20" s="1246">
        <f t="shared" si="5"/>
        <v>4258.4400000000005</v>
      </c>
      <c r="S20" s="1247">
        <f t="shared" si="5"/>
        <v>8857.7800000000007</v>
      </c>
    </row>
    <row r="21" spans="1:19" ht="14.4">
      <c r="A21" s="2258"/>
      <c r="B21" s="49" t="s">
        <v>1957</v>
      </c>
      <c r="C21" s="2956" t="s">
        <v>3101</v>
      </c>
      <c r="D21" s="47">
        <f t="shared" si="6"/>
        <v>6080.84</v>
      </c>
      <c r="E21" s="55">
        <f t="shared" si="1"/>
        <v>12648.5</v>
      </c>
      <c r="F21" s="56"/>
      <c r="G21" s="57">
        <f>'数据-基础表'!M15</f>
        <v>12648.5</v>
      </c>
      <c r="H21" s="721">
        <f t="shared" si="7"/>
        <v>412.34</v>
      </c>
      <c r="I21" s="50">
        <f t="shared" si="2"/>
        <v>857.69</v>
      </c>
      <c r="J21" s="1391"/>
      <c r="K21" s="1390">
        <f t="shared" si="3"/>
        <v>857.69</v>
      </c>
      <c r="L21" s="1246">
        <f t="shared" si="4"/>
        <v>0</v>
      </c>
      <c r="M21" s="1402">
        <f t="shared" si="8"/>
        <v>857.69</v>
      </c>
      <c r="N21" s="2256"/>
      <c r="O21" s="2257"/>
      <c r="P21" s="1402">
        <f t="shared" si="9"/>
        <v>0</v>
      </c>
      <c r="R21" s="1246">
        <f t="shared" si="5"/>
        <v>6493.18</v>
      </c>
      <c r="S21" s="1247">
        <f t="shared" si="5"/>
        <v>13506.19</v>
      </c>
    </row>
    <row r="22" spans="1:19" ht="14.4">
      <c r="A22" s="2258"/>
      <c r="B22" s="49" t="s">
        <v>1957</v>
      </c>
      <c r="C22" s="59"/>
      <c r="D22" s="47">
        <f t="shared" si="6"/>
        <v>0</v>
      </c>
      <c r="E22" s="55">
        <f t="shared" si="1"/>
        <v>0</v>
      </c>
      <c r="F22" s="60"/>
      <c r="G22" s="61"/>
      <c r="H22" s="721">
        <f t="shared" si="7"/>
        <v>0</v>
      </c>
      <c r="I22" s="50">
        <f t="shared" si="2"/>
        <v>0</v>
      </c>
      <c r="J22" s="1391"/>
      <c r="K22" s="1390">
        <f t="shared" si="3"/>
        <v>0</v>
      </c>
      <c r="L22" s="1246">
        <f t="shared" si="4"/>
        <v>0</v>
      </c>
      <c r="M22" s="1402">
        <f t="shared" si="8"/>
        <v>0</v>
      </c>
      <c r="N22" s="2256"/>
      <c r="O22" s="2257"/>
      <c r="P22" s="1402">
        <f t="shared" si="9"/>
        <v>0</v>
      </c>
      <c r="R22" s="1246">
        <f t="shared" si="5"/>
        <v>0</v>
      </c>
      <c r="S22" s="1247">
        <f t="shared" si="5"/>
        <v>0</v>
      </c>
    </row>
    <row r="23" spans="1:19" ht="14.4">
      <c r="A23" s="2258"/>
      <c r="B23" s="49" t="s">
        <v>1957</v>
      </c>
      <c r="C23" s="59"/>
      <c r="D23" s="47">
        <f>ROUND($D$3*E23/$E$3,2)</f>
        <v>0</v>
      </c>
      <c r="E23" s="55">
        <f>SUM(F23:G23)</f>
        <v>0</v>
      </c>
      <c r="F23" s="60"/>
      <c r="G23" s="61"/>
      <c r="H23" s="721">
        <f>ROUND($D$3*I23/$E$3,2)</f>
        <v>0</v>
      </c>
      <c r="I23" s="50">
        <f t="shared" si="2"/>
        <v>0</v>
      </c>
      <c r="J23" s="1391"/>
      <c r="K23" s="1390">
        <f t="shared" si="3"/>
        <v>0</v>
      </c>
      <c r="L23" s="1246">
        <f t="shared" si="4"/>
        <v>0</v>
      </c>
      <c r="M23" s="1402">
        <f t="shared" si="8"/>
        <v>0</v>
      </c>
      <c r="N23" s="2256"/>
      <c r="O23" s="2257"/>
      <c r="P23" s="1402">
        <f t="shared" si="9"/>
        <v>0</v>
      </c>
      <c r="R23" s="1246">
        <f t="shared" si="5"/>
        <v>0</v>
      </c>
      <c r="S23" s="1247">
        <f t="shared" si="5"/>
        <v>0</v>
      </c>
    </row>
    <row r="24" spans="1:19" ht="14.4">
      <c r="A24" s="2258"/>
      <c r="B24" s="49" t="s">
        <v>1957</v>
      </c>
      <c r="C24" s="59"/>
      <c r="D24" s="47">
        <f>ROUND($D$3*E24/$E$3,2)</f>
        <v>0</v>
      </c>
      <c r="E24" s="55">
        <f>SUM(F24:G24)</f>
        <v>0</v>
      </c>
      <c r="F24" s="60"/>
      <c r="G24" s="61"/>
      <c r="H24" s="721">
        <f>ROUND($D$3*I24/$E$3,2)</f>
        <v>0</v>
      </c>
      <c r="I24" s="50">
        <f t="shared" si="2"/>
        <v>0</v>
      </c>
      <c r="J24" s="1391"/>
      <c r="K24" s="1390">
        <f t="shared" si="3"/>
        <v>0</v>
      </c>
      <c r="L24" s="1246">
        <f t="shared" si="4"/>
        <v>0</v>
      </c>
      <c r="M24" s="1402">
        <f t="shared" si="8"/>
        <v>0</v>
      </c>
      <c r="N24" s="2256"/>
      <c r="O24" s="2257"/>
      <c r="P24" s="1402">
        <f t="shared" si="9"/>
        <v>0</v>
      </c>
      <c r="R24" s="1246">
        <f t="shared" si="5"/>
        <v>0</v>
      </c>
      <c r="S24" s="1247">
        <f t="shared" si="5"/>
        <v>0</v>
      </c>
    </row>
    <row r="25" spans="1:19" ht="14.4">
      <c r="A25" s="2258"/>
      <c r="B25" s="49" t="s">
        <v>1957</v>
      </c>
      <c r="C25" s="59"/>
      <c r="D25" s="47">
        <f t="shared" si="6"/>
        <v>0</v>
      </c>
      <c r="E25" s="55">
        <f t="shared" si="1"/>
        <v>0</v>
      </c>
      <c r="F25" s="60"/>
      <c r="G25" s="61"/>
      <c r="H25" s="46">
        <f t="shared" si="7"/>
        <v>0</v>
      </c>
      <c r="I25" s="50">
        <f t="shared" si="2"/>
        <v>0</v>
      </c>
      <c r="J25" s="1391"/>
      <c r="K25" s="1390">
        <f t="shared" si="3"/>
        <v>0</v>
      </c>
      <c r="L25" s="1246">
        <f t="shared" si="4"/>
        <v>0</v>
      </c>
      <c r="M25" s="1402">
        <f t="shared" si="8"/>
        <v>0</v>
      </c>
      <c r="N25" s="2256"/>
      <c r="O25" s="2257"/>
      <c r="P25" s="1402">
        <f t="shared" si="9"/>
        <v>0</v>
      </c>
      <c r="R25" s="1246">
        <f t="shared" si="5"/>
        <v>0</v>
      </c>
      <c r="S25" s="1247">
        <f t="shared" si="5"/>
        <v>0</v>
      </c>
    </row>
    <row r="26" spans="1:19" ht="14.4">
      <c r="A26" s="2258"/>
      <c r="B26" s="49" t="s">
        <v>1957</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59"/>
      <c r="O26" s="2260"/>
      <c r="P26" s="66">
        <f t="shared" si="9"/>
        <v>0</v>
      </c>
      <c r="R26" s="1246">
        <f t="shared" si="5"/>
        <v>0</v>
      </c>
      <c r="S26" s="1247">
        <f t="shared" si="5"/>
        <v>0</v>
      </c>
    </row>
    <row r="27" spans="1:19" ht="15" thickBot="1">
      <c r="A27" s="2258"/>
      <c r="B27" s="47"/>
      <c r="C27" s="2261" t="s">
        <v>1958</v>
      </c>
      <c r="D27" s="1392">
        <f>SUM(D19:D26)</f>
        <v>46510.400000000009</v>
      </c>
      <c r="E27" s="1393">
        <f>IF(SUM(E19:E26)='数据-基础表'!BA5,SUM(E19:E26),IF(F27="地上面积有误","面积有误","地下面积有误"))</f>
        <v>96744.28</v>
      </c>
      <c r="F27" s="1392">
        <f>IF(SUM(F19:F26)=E8,SUM(F19:F26),"地上面积有误")</f>
        <v>75800.5</v>
      </c>
      <c r="G27" s="1394">
        <f>SUM(G19:G26)</f>
        <v>20943.78</v>
      </c>
      <c r="H27" s="1395">
        <f>SUM(H19:H26)</f>
        <v>3153.85</v>
      </c>
      <c r="I27" s="1396">
        <f>SUM(I19:I26)</f>
        <v>6560.17</v>
      </c>
      <c r="J27" s="1391"/>
      <c r="K27" s="1399">
        <f>SUM(K19:K26)</f>
        <v>6560.17</v>
      </c>
      <c r="L27" s="1400">
        <f>SUM(L19:L26)</f>
        <v>0</v>
      </c>
      <c r="M27" s="1403">
        <f>SUM(M19:M26)</f>
        <v>6560.17</v>
      </c>
      <c r="N27" s="1399">
        <f t="shared" ref="N27:O27" si="10">SUM(N19:N26)</f>
        <v>0</v>
      </c>
      <c r="O27" s="1400">
        <f t="shared" si="10"/>
        <v>0</v>
      </c>
      <c r="P27" s="1401">
        <f>SUM(P19:P26)</f>
        <v>0</v>
      </c>
      <c r="R27" s="1248" t="str">
        <f>IF(SUM(R19:R26)=$D$3,SUM(R19:R26),SUM(R19:R26)&amp;"误差"&amp;ROUND(SUM(R19:R26)-$D$3,2))</f>
        <v>49664.25误差0.02</v>
      </c>
      <c r="S27" s="1246" t="str">
        <f>IF(SUM(S19:S26)=$E$3,SUM(S19:S26),SUM(S19:S26)&amp;"误差"&amp;ROUND(SUM(S19:S26)-E3,2))</f>
        <v>103304.45误差0.01</v>
      </c>
    </row>
    <row r="28" spans="1:19" ht="14.4">
      <c r="A28" s="2258"/>
      <c r="B28" s="49" t="s">
        <v>1959</v>
      </c>
      <c r="C28" s="1258" t="s">
        <v>1960</v>
      </c>
      <c r="D28" s="47">
        <f>ROUND($D$3*E28/$E$3,2)</f>
        <v>3153.84</v>
      </c>
      <c r="E28" s="55">
        <f>SUM(F28:G28)</f>
        <v>6560.16</v>
      </c>
      <c r="F28" s="63">
        <f>'数据-基础表'!BQ5+'数据-基础表'!BS5</f>
        <v>272.16000000000003</v>
      </c>
      <c r="G28" s="64">
        <f>'数据-基础表'!BR5+'数据-基础表'!BT5</f>
        <v>6288</v>
      </c>
      <c r="H28" s="1391"/>
      <c r="I28" s="1391"/>
      <c r="J28" s="1391"/>
      <c r="K28" s="1391"/>
      <c r="L28" s="1391"/>
      <c r="M28" s="1391"/>
      <c r="N28" s="1391"/>
      <c r="O28" s="1391"/>
      <c r="P28" s="1391"/>
    </row>
    <row r="29" spans="1:19" ht="14.4">
      <c r="A29" s="2258"/>
      <c r="B29" s="49" t="s">
        <v>1959</v>
      </c>
      <c r="C29" s="2262" t="s">
        <v>1961</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4.4">
      <c r="A30" s="2258"/>
      <c r="B30" s="49"/>
      <c r="C30" s="2263" t="s">
        <v>1958</v>
      </c>
      <c r="D30" s="1392">
        <f>SUM(D28:D29)</f>
        <v>3153.84</v>
      </c>
      <c r="E30" s="1392">
        <f>SUM(E28:E29)</f>
        <v>6560.16</v>
      </c>
      <c r="F30" s="1392">
        <f>SUM(F28:F29)</f>
        <v>272.16000000000003</v>
      </c>
      <c r="G30" s="1394">
        <f>SUM(G28:G29)</f>
        <v>6288</v>
      </c>
      <c r="H30" s="1391"/>
      <c r="I30" s="1391"/>
      <c r="J30" s="1391"/>
      <c r="K30" s="1391"/>
      <c r="L30" s="1391"/>
      <c r="M30" s="1391"/>
      <c r="N30" s="1391"/>
      <c r="O30" s="1391"/>
      <c r="P30" s="1391"/>
    </row>
    <row r="31" spans="1:19" ht="15" thickBot="1">
      <c r="A31" s="2264"/>
      <c r="B31" s="2265"/>
      <c r="C31" s="1006" t="s">
        <v>1962</v>
      </c>
      <c r="D31" s="726">
        <f>D27+D30</f>
        <v>49664.240000000005</v>
      </c>
      <c r="E31" s="726">
        <f>E27+E30</f>
        <v>103304.44</v>
      </c>
      <c r="F31" s="727">
        <f>F27+F30</f>
        <v>76072.66</v>
      </c>
      <c r="G31" s="728">
        <f>G27+G30</f>
        <v>27231.78</v>
      </c>
      <c r="H31" s="1391"/>
      <c r="I31" s="1391"/>
      <c r="J31" s="1391"/>
      <c r="K31" s="1391"/>
      <c r="L31" s="1391"/>
      <c r="M31" s="1391"/>
      <c r="N31" s="1391"/>
      <c r="O31" s="1391"/>
      <c r="P31" s="1391"/>
    </row>
    <row r="32" spans="1:19" ht="14.4">
      <c r="A32" s="2229"/>
      <c r="B32" s="2229" t="s">
        <v>1963</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I24" activePane="bottomRight" state="frozen"/>
      <selection activeCell="C50" sqref="C50"/>
      <selection pane="topRight" activeCell="C50" sqref="C50"/>
      <selection pane="bottomLeft" activeCell="C50" sqref="C50"/>
      <selection pane="bottomRight" activeCell="AL30" sqref="AL30"/>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5"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24" width="6.77734375" style="2270" customWidth="1"/>
    <col min="25" max="25" width="9.109375" style="2270" customWidth="1"/>
    <col min="26"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1964</v>
      </c>
      <c r="B1" s="729"/>
      <c r="C1" s="1580"/>
      <c r="D1" s="2268"/>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1" t="s">
        <v>1965</v>
      </c>
      <c r="B2" s="1265">
        <f>项目基本情况!D3</f>
        <v>43424</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4.4" thickBot="1">
      <c r="A3" s="2028"/>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7"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57.6">
      <c r="A5" s="2284" t="s">
        <v>1972</v>
      </c>
      <c r="B5" s="2285" t="s">
        <v>1973</v>
      </c>
      <c r="C5" s="2286" t="s">
        <v>1974</v>
      </c>
      <c r="D5" s="2287" t="s">
        <v>1975</v>
      </c>
      <c r="E5" s="1267" t="s">
        <v>1976</v>
      </c>
      <c r="F5" s="2288" t="s">
        <v>1977</v>
      </c>
      <c r="G5" s="1267" t="s">
        <v>1978</v>
      </c>
      <c r="H5" s="1267" t="s">
        <v>1979</v>
      </c>
      <c r="I5" s="1267" t="s">
        <v>1980</v>
      </c>
      <c r="J5" s="2289" t="s">
        <v>1981</v>
      </c>
      <c r="K5" s="2290" t="s">
        <v>1982</v>
      </c>
      <c r="L5" s="2291" t="s">
        <v>1983</v>
      </c>
      <c r="M5" s="2292" t="s">
        <v>1984</v>
      </c>
      <c r="N5" s="2293" t="s">
        <v>1985</v>
      </c>
      <c r="O5" s="2291" t="s">
        <v>1986</v>
      </c>
      <c r="P5" s="2294" t="s">
        <v>1987</v>
      </c>
      <c r="Q5" s="68" t="s">
        <v>1988</v>
      </c>
      <c r="R5" s="2295" t="s">
        <v>1989</v>
      </c>
      <c r="S5" s="2296" t="s">
        <v>1990</v>
      </c>
      <c r="T5" s="2297" t="s">
        <v>1991</v>
      </c>
      <c r="U5" s="1266" t="s">
        <v>1992</v>
      </c>
      <c r="V5" s="1267" t="s">
        <v>1993</v>
      </c>
      <c r="W5" s="1267" t="s">
        <v>1994</v>
      </c>
      <c r="X5" s="70"/>
      <c r="Y5" s="69" t="s">
        <v>1995</v>
      </c>
      <c r="Z5" s="2298" t="s">
        <v>1992</v>
      </c>
      <c r="AA5" s="1267" t="s">
        <v>1993</v>
      </c>
      <c r="AB5" s="1267" t="s">
        <v>1994</v>
      </c>
      <c r="AC5" s="70"/>
      <c r="AD5" s="70" t="s">
        <v>1995</v>
      </c>
      <c r="AE5" s="1266" t="s">
        <v>1996</v>
      </c>
      <c r="AF5" s="1267" t="s">
        <v>1997</v>
      </c>
      <c r="AG5" s="69" t="s">
        <v>1998</v>
      </c>
      <c r="AH5" s="1266" t="s">
        <v>1999</v>
      </c>
      <c r="AI5" s="2298" t="s">
        <v>2000</v>
      </c>
      <c r="AJ5" s="2298" t="s">
        <v>2001</v>
      </c>
      <c r="AK5" s="1267" t="s">
        <v>2002</v>
      </c>
      <c r="AL5" s="1267" t="s">
        <v>2003</v>
      </c>
      <c r="AM5" s="69" t="s">
        <v>2004</v>
      </c>
      <c r="AN5" s="2299" t="s">
        <v>2005</v>
      </c>
      <c r="AO5" s="2070" t="s">
        <v>2006</v>
      </c>
      <c r="AP5" s="1248" t="s">
        <v>2007</v>
      </c>
      <c r="AQ5" s="2300" t="s">
        <v>2008</v>
      </c>
      <c r="AR5" s="2300"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3.8">
      <c r="A6" s="2301" t="str">
        <f>'数据-汇总表'!C19</f>
        <v>厂房</v>
      </c>
      <c r="B6" s="2302" t="str">
        <f>IF(A6=0,"","经营性")</f>
        <v>经营性</v>
      </c>
      <c r="C6" s="2303" t="s">
        <v>6</v>
      </c>
      <c r="D6" s="1050">
        <f>SUMIF(项目基本情况!D$12:I$12,C6,项目基本情况!D$14:I$14)</f>
        <v>50</v>
      </c>
      <c r="E6" s="1047">
        <f>IF(B6="","",SUMIF(项目基本情况!D$12:I$12,C6,项目基本情况!D$13:I$13))</f>
        <v>59926</v>
      </c>
      <c r="F6" s="71">
        <f>SUMIF(项目基本情况!D$12:I$12,C6,项目基本情况!D$15:I$15)</f>
        <v>45.21</v>
      </c>
      <c r="G6" s="72">
        <f>IF(ISERROR(ROUND(POWER(1+H6,D6-F6)*(POWER(1+H6,F6)-1)/(POWER(1+H6,D6)-1),3)),0,ROUND(POWER(1+H6,D6-F6)*(POWER(1+H6,F6)-1)/(POWER(1+H6,D6)-1),3))</f>
        <v>0.97099999999999997</v>
      </c>
      <c r="H6" s="798">
        <v>4.4999999999999998E-2</v>
      </c>
      <c r="I6" s="798">
        <f>H6+0.005</f>
        <v>4.9999999999999996E-2</v>
      </c>
      <c r="J6" s="73">
        <v>0.08</v>
      </c>
      <c r="K6" s="1250">
        <f>SUMIF('数据-汇总表'!C$19:C$33,A6,'数据-汇总表'!E$19:E$33)</f>
        <v>75800.5</v>
      </c>
      <c r="L6" s="2965">
        <v>2500</v>
      </c>
      <c r="M6" s="74">
        <f t="shared" ref="M6:M14" si="0">ROUND(K6*L6/10000,0)</f>
        <v>18950</v>
      </c>
      <c r="N6" s="2958">
        <f>面积!M11</f>
        <v>0.6</v>
      </c>
      <c r="O6" s="74">
        <f>IF($N$5="成新度","——",ROUND(M6*N6,0))</f>
        <v>11370</v>
      </c>
      <c r="P6" s="75">
        <f>IF($N$5="成新度","——",M6-O6)</f>
        <v>7580</v>
      </c>
      <c r="Q6" s="800">
        <v>0.15</v>
      </c>
      <c r="R6" s="76">
        <f ca="1">SUMIF('数据-汇总表'!C$19:C$33,A6,'数据-汇总表'!R$19:R$27)</f>
        <v>38912.630000000005</v>
      </c>
      <c r="S6" s="53">
        <f>IF('数据-汇总表'!$I$17="按面积比例",SUMIF('数据-汇总表'!C$19:C$33,A6,'数据-汇总表'!K$19:K$33),SUMIF('数据-汇总表'!C$19:C$33,A6,'数据-汇总表'!N$19:N$33))</f>
        <v>5139.9799999999996</v>
      </c>
      <c r="T6" s="1442">
        <f>ROUND($L$14*S6/10000,0)</f>
        <v>1028</v>
      </c>
      <c r="U6" s="77">
        <v>1.5</v>
      </c>
      <c r="V6" s="78">
        <v>0.01</v>
      </c>
      <c r="W6" s="78">
        <v>0.1</v>
      </c>
      <c r="X6" s="1260"/>
      <c r="Y6" s="79">
        <v>1</v>
      </c>
      <c r="Z6" s="80"/>
      <c r="AA6" s="73"/>
      <c r="AB6" s="73"/>
      <c r="AC6" s="1260"/>
      <c r="AD6" s="81"/>
      <c r="AE6" s="1261">
        <f ca="1">IF(AN6="",0,SUMIF(INDIRECT("'"&amp;AN6&amp;"'"&amp;"!E:E"),$AE$5,INDIRECT("'"&amp;AN6&amp;"'"&amp;"!F:F")))</f>
        <v>44.51</v>
      </c>
      <c r="AF6" s="1803"/>
      <c r="AG6" s="145">
        <f>IF(AF6="",0,AE6-AF6)</f>
        <v>0</v>
      </c>
      <c r="AH6" s="82"/>
      <c r="AI6" s="84">
        <v>365</v>
      </c>
      <c r="AJ6" s="85"/>
      <c r="AK6" s="86">
        <v>1.4999999999999999E-2</v>
      </c>
      <c r="AL6" s="87">
        <v>1.5E-3</v>
      </c>
      <c r="AM6" s="88">
        <v>0.01</v>
      </c>
      <c r="AN6" s="2304" t="s">
        <v>3126</v>
      </c>
      <c r="AO6" s="54">
        <f ca="1">SUMIF(INDIRECT("'"&amp;AN6&amp;"'"&amp;"!A:A"),"总价",INDIRECT("'"&amp;AN6&amp;"'"&amp;"!B:B"))</f>
        <v>52578</v>
      </c>
      <c r="AP6" s="2305">
        <f>IF(C6="住宅",K6*L6,0)</f>
        <v>0</v>
      </c>
      <c r="AQ6" s="54">
        <f>ROUND($L$14*$N$14*S6/10000,0)</f>
        <v>822</v>
      </c>
      <c r="AR6" s="54">
        <f>ROUND($L$14*(1-$N$14)*S6/10000,0)</f>
        <v>206</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3.8">
      <c r="A7" s="2301" t="str">
        <f>'数据-汇总表'!C20</f>
        <v>地下厂房</v>
      </c>
      <c r="B7" s="2302" t="str">
        <f t="shared" ref="B7:B13" si="1">IF(A7=0,"","经营性")</f>
        <v>经营性</v>
      </c>
      <c r="C7" s="2303" t="s">
        <v>6</v>
      </c>
      <c r="D7" s="1050">
        <f>SUMIF(项目基本情况!D$12:I$12,C7,项目基本情况!D$14:I$14)</f>
        <v>50</v>
      </c>
      <c r="E7" s="1047">
        <f>IF(B7="","",SUMIF(项目基本情况!D$12:I$12,C7,项目基本情况!D$13:I$13))</f>
        <v>59926</v>
      </c>
      <c r="F7" s="71">
        <f>SUMIF(项目基本情况!D$12:I$12,C7,项目基本情况!D$15:I$15)</f>
        <v>45.21</v>
      </c>
      <c r="G7" s="72">
        <f t="shared" ref="G7:G11" si="2">IF(ISERROR(ROUND(POWER(1+H7,D7-F7)*(POWER(1+H7,F7)-1)/(POWER(1+H7,D7)-1),3)),0,ROUND(POWER(1+H7,D7-F7)*(POWER(1+H7,F7)-1)/(POWER(1+H7,D7)-1),3))</f>
        <v>0.97099999999999997</v>
      </c>
      <c r="H7" s="798">
        <v>4.4999999999999998E-2</v>
      </c>
      <c r="I7" s="798">
        <f t="shared" ref="I7:I8" si="3">H7+0.005</f>
        <v>4.9999999999999996E-2</v>
      </c>
      <c r="J7" s="73">
        <v>0.08</v>
      </c>
      <c r="K7" s="1250">
        <f>SUMIF('数据-汇总表'!C$19:C$33,A7,'数据-汇总表'!E$19:E$33)</f>
        <v>8295.2800000000007</v>
      </c>
      <c r="L7" s="2965">
        <v>2500</v>
      </c>
      <c r="M7" s="74">
        <f t="shared" si="0"/>
        <v>2074</v>
      </c>
      <c r="N7" s="2958">
        <f>面积!M16</f>
        <v>0.8</v>
      </c>
      <c r="O7" s="74">
        <f t="shared" ref="O7:O14" si="4">IF($N$5="成新度","——",ROUND(M7*N7,0))</f>
        <v>1659</v>
      </c>
      <c r="P7" s="75">
        <f t="shared" ref="P7:P14" si="5">IF($N$5="成新度","——",M7-O7)</f>
        <v>415</v>
      </c>
      <c r="Q7" s="800">
        <v>0.15</v>
      </c>
      <c r="R7" s="76">
        <f ca="1">SUMIF('数据-汇总表'!C$19:C$33,A7,'数据-汇总表'!R$19:R$27)</f>
        <v>4258.4400000000005</v>
      </c>
      <c r="S7" s="53">
        <f>IF('数据-汇总表'!$I$17="按面积比例",SUMIF('数据-汇总表'!C$19:C$33,A7,'数据-汇总表'!K$19:K$33),SUMIF('数据-汇总表'!C$19:C$33,A7,'数据-汇总表'!N$19:N$33))</f>
        <v>562.5</v>
      </c>
      <c r="T7" s="1442">
        <f t="shared" ref="T7:T13" si="6">ROUND($L$14*S7/10000,0)</f>
        <v>113</v>
      </c>
      <c r="U7" s="77">
        <v>0.9</v>
      </c>
      <c r="V7" s="78">
        <v>5.0000000000000001E-3</v>
      </c>
      <c r="W7" s="78">
        <v>0.1</v>
      </c>
      <c r="X7" s="1260"/>
      <c r="Y7" s="79">
        <v>1</v>
      </c>
      <c r="Z7" s="80"/>
      <c r="AA7" s="73"/>
      <c r="AB7" s="73"/>
      <c r="AC7" s="1260"/>
      <c r="AD7" s="81"/>
      <c r="AE7" s="1261">
        <f t="shared" ref="AE7:AE13" ca="1" si="7">IF(AN7="",0,SUMIF(INDIRECT("'"&amp;AN7&amp;"'"&amp;"!E:E"),$AE$5,INDIRECT("'"&amp;AN7&amp;"'"&amp;"!F:F")))</f>
        <v>44.51</v>
      </c>
      <c r="AF7" s="1803"/>
      <c r="AG7" s="145">
        <f t="shared" ref="AG7:AG13" si="8">IF(AF7="",0,AE7-AF7)</f>
        <v>0</v>
      </c>
      <c r="AH7" s="82"/>
      <c r="AI7" s="84">
        <v>365</v>
      </c>
      <c r="AJ7" s="85"/>
      <c r="AK7" s="86">
        <v>1.4999999999999999E-2</v>
      </c>
      <c r="AL7" s="87">
        <v>1.5E-3</v>
      </c>
      <c r="AM7" s="88">
        <v>0.01</v>
      </c>
      <c r="AN7" s="2304" t="s">
        <v>3134</v>
      </c>
      <c r="AO7" s="54">
        <f t="shared" ref="AO7:AO13" ca="1" si="9">SUMIF(INDIRECT("'"&amp;AN7&amp;"'"&amp;"!A:A"),"总价",INDIRECT("'"&amp;AN7&amp;"'"&amp;"!B:B"))</f>
        <v>2764</v>
      </c>
      <c r="AP7" s="2305">
        <f t="shared" ref="AP7:AP13" si="10">IF(C7="住宅",K7*L7,0)</f>
        <v>0</v>
      </c>
      <c r="AQ7" s="54">
        <f t="shared" ref="AQ7:AQ13" si="11">ROUND($L$14*$N$14*S7/10000,0)</f>
        <v>90</v>
      </c>
      <c r="AR7" s="54">
        <f t="shared" ref="AR7:AR13" si="12">ROUND($L$14*(1-$N$14)*S7/10000,0)</f>
        <v>23</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3.8">
      <c r="A8" s="2301" t="str">
        <f>'数据-汇总表'!C21</f>
        <v>地下车库</v>
      </c>
      <c r="B8" s="2302" t="str">
        <f t="shared" si="1"/>
        <v>经营性</v>
      </c>
      <c r="C8" s="2303" t="s">
        <v>3097</v>
      </c>
      <c r="D8" s="1050">
        <f>SUMIF(项目基本情况!D$12:I$12,C8,项目基本情况!D$14:I$14)</f>
        <v>50</v>
      </c>
      <c r="E8" s="1047">
        <f>IF(B8="","",SUMIF(项目基本情况!D$12:I$12,C8,项目基本情况!D$13:I$13))</f>
        <v>59926</v>
      </c>
      <c r="F8" s="71">
        <f>SUMIF(项目基本情况!D$12:I$12,C8,项目基本情况!D$15:I$15)</f>
        <v>45.21</v>
      </c>
      <c r="G8" s="72">
        <f t="shared" si="2"/>
        <v>0.96599999999999997</v>
      </c>
      <c r="H8" s="798">
        <v>0.04</v>
      </c>
      <c r="I8" s="798">
        <f t="shared" si="3"/>
        <v>4.4999999999999998E-2</v>
      </c>
      <c r="J8" s="73">
        <v>0.08</v>
      </c>
      <c r="K8" s="1250">
        <f>SUMIF('数据-汇总表'!C$19:C$33,A8,'数据-汇总表'!E$19:E$33)</f>
        <v>12648.5</v>
      </c>
      <c r="L8" s="2965">
        <v>2000</v>
      </c>
      <c r="M8" s="74">
        <f>ROUND(K8*L8/10000,0)</f>
        <v>2530</v>
      </c>
      <c r="N8" s="2958">
        <f>面积!M15</f>
        <v>0.8</v>
      </c>
      <c r="O8" s="74">
        <f t="shared" si="4"/>
        <v>2024</v>
      </c>
      <c r="P8" s="75">
        <f t="shared" si="5"/>
        <v>506</v>
      </c>
      <c r="Q8" s="800">
        <v>0.05</v>
      </c>
      <c r="R8" s="76">
        <f ca="1">SUMIF('数据-汇总表'!C$19:C$33,A8,'数据-汇总表'!R$19:R$27)</f>
        <v>6493.18</v>
      </c>
      <c r="S8" s="53">
        <f>IF('数据-汇总表'!$I$17="按面积比例",SUMIF('数据-汇总表'!C$19:C$33,A8,'数据-汇总表'!K$19:K$33),SUMIF('数据-汇总表'!C$19:C$33,A8,'数据-汇总表'!N$19:N$33))</f>
        <v>857.69</v>
      </c>
      <c r="T8" s="1442">
        <f t="shared" si="6"/>
        <v>172</v>
      </c>
      <c r="U8" s="801">
        <v>0.8</v>
      </c>
      <c r="V8" s="802">
        <v>5.0000000000000001E-3</v>
      </c>
      <c r="W8" s="802">
        <v>0.1</v>
      </c>
      <c r="X8" s="1260"/>
      <c r="Y8" s="803">
        <v>1</v>
      </c>
      <c r="Z8" s="80"/>
      <c r="AA8" s="73"/>
      <c r="AB8" s="73"/>
      <c r="AC8" s="1260"/>
      <c r="AD8" s="81"/>
      <c r="AE8" s="1261">
        <f t="shared" ca="1" si="7"/>
        <v>44.51</v>
      </c>
      <c r="AF8" s="1803"/>
      <c r="AG8" s="145">
        <f t="shared" si="8"/>
        <v>0</v>
      </c>
      <c r="AH8" s="804"/>
      <c r="AI8" s="84">
        <v>365</v>
      </c>
      <c r="AJ8" s="85"/>
      <c r="AK8" s="805">
        <v>1.4999999999999999E-2</v>
      </c>
      <c r="AL8" s="806">
        <v>1.5E-3</v>
      </c>
      <c r="AM8" s="807">
        <v>0.01</v>
      </c>
      <c r="AN8" s="2304" t="s">
        <v>3132</v>
      </c>
      <c r="AO8" s="54">
        <f t="shared" ca="1" si="9"/>
        <v>4285</v>
      </c>
      <c r="AP8" s="2305">
        <f t="shared" si="10"/>
        <v>0</v>
      </c>
      <c r="AQ8" s="54">
        <f t="shared" si="11"/>
        <v>137</v>
      </c>
      <c r="AR8" s="54">
        <f t="shared" si="12"/>
        <v>34</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3.8">
      <c r="A9" s="2301">
        <f>'数据-汇总表'!C22</f>
        <v>0</v>
      </c>
      <c r="B9" s="2302" t="str">
        <f t="shared" si="1"/>
        <v/>
      </c>
      <c r="C9" s="2303"/>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50">
        <f>SUMIF('数据-汇总表'!C$19:C$33,A9,'数据-汇总表'!E$19:E$33)</f>
        <v>0</v>
      </c>
      <c r="L9" s="799"/>
      <c r="M9" s="74">
        <f t="shared" si="0"/>
        <v>0</v>
      </c>
      <c r="N9" s="2958"/>
      <c r="O9" s="74">
        <f t="shared" si="4"/>
        <v>0</v>
      </c>
      <c r="P9" s="75">
        <f t="shared" si="5"/>
        <v>0</v>
      </c>
      <c r="Q9" s="89"/>
      <c r="R9" s="76">
        <f ca="1">SUMIF('数据-汇总表'!C$19:C$33,A9,'数据-汇总表'!R$19:R$27)</f>
        <v>0</v>
      </c>
      <c r="S9" s="53">
        <f>IF('数据-汇总表'!$I$17="按面积比例",SUMIF('数据-汇总表'!C$19:C$33,A9,'数据-汇总表'!K$19:K$33),SUMIF('数据-汇总表'!C$19:C$33,A9,'数据-汇总表'!N$19:N$33))</f>
        <v>0</v>
      </c>
      <c r="T9" s="1442">
        <f t="shared" si="6"/>
        <v>0</v>
      </c>
      <c r="U9" s="77"/>
      <c r="V9" s="78"/>
      <c r="W9" s="78"/>
      <c r="X9" s="1260"/>
      <c r="Y9" s="79"/>
      <c r="Z9" s="80"/>
      <c r="AA9" s="73"/>
      <c r="AB9" s="73"/>
      <c r="AC9" s="1260"/>
      <c r="AD9" s="81"/>
      <c r="AE9" s="1261">
        <f t="shared" ca="1" si="7"/>
        <v>0</v>
      </c>
      <c r="AF9" s="1803"/>
      <c r="AG9" s="145">
        <f t="shared" si="8"/>
        <v>0</v>
      </c>
      <c r="AH9" s="82"/>
      <c r="AI9" s="84"/>
      <c r="AJ9" s="85"/>
      <c r="AK9" s="86"/>
      <c r="AL9" s="87"/>
      <c r="AM9" s="88"/>
      <c r="AN9" s="2304"/>
      <c r="AO9" s="54" t="e">
        <f t="shared" ca="1" si="9"/>
        <v>#REF!</v>
      </c>
      <c r="AP9" s="2305">
        <f t="shared" si="10"/>
        <v>0</v>
      </c>
      <c r="AQ9" s="54">
        <f t="shared" si="11"/>
        <v>0</v>
      </c>
      <c r="AR9" s="54">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3.8">
      <c r="A10" s="2301">
        <f>'数据-汇总表'!C23</f>
        <v>0</v>
      </c>
      <c r="B10" s="2302" t="str">
        <f t="shared" si="1"/>
        <v/>
      </c>
      <c r="C10" s="2303"/>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50">
        <f>SUMIF('数据-汇总表'!C$19:C$33,A10,'数据-汇总表'!E$19:E$33)</f>
        <v>0</v>
      </c>
      <c r="L10" s="799"/>
      <c r="M10" s="74">
        <f t="shared" si="0"/>
        <v>0</v>
      </c>
      <c r="N10" s="2958"/>
      <c r="O10" s="74">
        <f t="shared" si="4"/>
        <v>0</v>
      </c>
      <c r="P10" s="75">
        <f t="shared" si="5"/>
        <v>0</v>
      </c>
      <c r="Q10" s="89"/>
      <c r="R10" s="76">
        <f ca="1">SUMIF('数据-汇总表'!C$19:C$33,A10,'数据-汇总表'!R$19:R$27)</f>
        <v>0</v>
      </c>
      <c r="S10" s="53">
        <f>IF('数据-汇总表'!$I$17="按面积比例",SUMIF('数据-汇总表'!C$19:C$33,A10,'数据-汇总表'!K$19:K$33),SUMIF('数据-汇总表'!C$19:C$33,A10,'数据-汇总表'!N$19:N$33))</f>
        <v>0</v>
      </c>
      <c r="T10" s="1442">
        <f t="shared" si="6"/>
        <v>0</v>
      </c>
      <c r="U10" s="77"/>
      <c r="V10" s="78"/>
      <c r="W10" s="78"/>
      <c r="X10" s="1260"/>
      <c r="Y10" s="79"/>
      <c r="Z10" s="80"/>
      <c r="AA10" s="73"/>
      <c r="AB10" s="73"/>
      <c r="AC10" s="1260"/>
      <c r="AD10" s="81"/>
      <c r="AE10" s="1261">
        <f t="shared" ca="1" si="7"/>
        <v>0</v>
      </c>
      <c r="AF10" s="1803"/>
      <c r="AG10" s="145">
        <f t="shared" si="8"/>
        <v>0</v>
      </c>
      <c r="AH10" s="82"/>
      <c r="AI10" s="84"/>
      <c r="AJ10" s="85"/>
      <c r="AK10" s="86"/>
      <c r="AL10" s="87"/>
      <c r="AM10" s="88"/>
      <c r="AN10" s="2304"/>
      <c r="AO10" s="54" t="e">
        <f t="shared" ca="1" si="9"/>
        <v>#REF!</v>
      </c>
      <c r="AP10" s="2305">
        <f t="shared" si="10"/>
        <v>0</v>
      </c>
      <c r="AQ10" s="54">
        <f t="shared" si="11"/>
        <v>0</v>
      </c>
      <c r="AR10" s="54">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3.8">
      <c r="A11" s="2301">
        <f>'数据-汇总表'!C24</f>
        <v>0</v>
      </c>
      <c r="B11" s="2302" t="str">
        <f t="shared" si="1"/>
        <v/>
      </c>
      <c r="C11" s="2303"/>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50">
        <f>SUMIF('数据-汇总表'!C$19:C$33,A11,'数据-汇总表'!E$19:E$33)</f>
        <v>0</v>
      </c>
      <c r="L11" s="90"/>
      <c r="M11" s="74">
        <f t="shared" si="0"/>
        <v>0</v>
      </c>
      <c r="N11" s="2959"/>
      <c r="O11" s="74">
        <f t="shared" si="4"/>
        <v>0</v>
      </c>
      <c r="P11" s="75">
        <f t="shared" si="5"/>
        <v>0</v>
      </c>
      <c r="Q11" s="89"/>
      <c r="R11" s="76">
        <f ca="1">SUMIF('数据-汇总表'!C$19:C$33,A11,'数据-汇总表'!R$19:R$27)</f>
        <v>0</v>
      </c>
      <c r="S11" s="53">
        <f>IF('数据-汇总表'!$I$17="按面积比例",SUMIF('数据-汇总表'!C$19:C$33,A11,'数据-汇总表'!K$19:K$33),SUMIF('数据-汇总表'!C$19:C$33,A11,'数据-汇总表'!N$19:N$33))</f>
        <v>0</v>
      </c>
      <c r="T11" s="1442">
        <f t="shared" si="6"/>
        <v>0</v>
      </c>
      <c r="U11" s="82"/>
      <c r="V11" s="73"/>
      <c r="W11" s="73"/>
      <c r="X11" s="1260"/>
      <c r="Y11" s="79"/>
      <c r="Z11" s="91"/>
      <c r="AA11" s="73"/>
      <c r="AB11" s="73"/>
      <c r="AC11" s="1260"/>
      <c r="AD11" s="81"/>
      <c r="AE11" s="1261">
        <f t="shared" ca="1" si="7"/>
        <v>0</v>
      </c>
      <c r="AF11" s="1803"/>
      <c r="AG11" s="145">
        <f t="shared" si="8"/>
        <v>0</v>
      </c>
      <c r="AH11" s="82"/>
      <c r="AI11" s="84"/>
      <c r="AJ11" s="85"/>
      <c r="AK11" s="92"/>
      <c r="AL11" s="93"/>
      <c r="AM11" s="94"/>
      <c r="AN11" s="2304"/>
      <c r="AO11" s="54" t="e">
        <f t="shared" ca="1" si="9"/>
        <v>#REF!</v>
      </c>
      <c r="AP11" s="2305">
        <f t="shared" si="10"/>
        <v>0</v>
      </c>
      <c r="AQ11" s="54">
        <f t="shared" si="11"/>
        <v>0</v>
      </c>
      <c r="AR11" s="54">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3.8">
      <c r="A12" s="2301">
        <f>'数据-汇总表'!C25</f>
        <v>0</v>
      </c>
      <c r="B12" s="2302" t="str">
        <f t="shared" si="1"/>
        <v/>
      </c>
      <c r="C12" s="2303"/>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0">
        <f>SUMIF('数据-汇总表'!C$19:C$33,A12,'数据-汇总表'!E$19:E$33)</f>
        <v>0</v>
      </c>
      <c r="L12" s="90"/>
      <c r="M12" s="74">
        <f>ROUND(K12*L12/10000,0)</f>
        <v>0</v>
      </c>
      <c r="N12" s="2959"/>
      <c r="O12" s="74">
        <f t="shared" si="4"/>
        <v>0</v>
      </c>
      <c r="P12" s="75">
        <f t="shared" si="5"/>
        <v>0</v>
      </c>
      <c r="Q12" s="89"/>
      <c r="R12" s="76">
        <f ca="1">SUMIF('数据-汇总表'!C$19:C$33,A12,'数据-汇总表'!R$19:R$27)</f>
        <v>0</v>
      </c>
      <c r="S12" s="53">
        <f>IF('数据-汇总表'!$I$17="按面积比例",SUMIF('数据-汇总表'!C$19:C$33,A12,'数据-汇总表'!K$19:K$33),SUMIF('数据-汇总表'!C$19:C$33,A12,'数据-汇总表'!N$19:N$33))</f>
        <v>0</v>
      </c>
      <c r="T12" s="1442">
        <f t="shared" si="6"/>
        <v>0</v>
      </c>
      <c r="U12" s="82"/>
      <c r="V12" s="73"/>
      <c r="W12" s="73"/>
      <c r="X12" s="1260"/>
      <c r="Y12" s="79"/>
      <c r="Z12" s="91"/>
      <c r="AA12" s="73"/>
      <c r="AB12" s="73"/>
      <c r="AC12" s="1260"/>
      <c r="AD12" s="81"/>
      <c r="AE12" s="1261">
        <f t="shared" ca="1" si="7"/>
        <v>0</v>
      </c>
      <c r="AF12" s="1803"/>
      <c r="AG12" s="145">
        <f t="shared" si="8"/>
        <v>0</v>
      </c>
      <c r="AH12" s="82"/>
      <c r="AI12" s="84"/>
      <c r="AJ12" s="85"/>
      <c r="AK12" s="92"/>
      <c r="AL12" s="93"/>
      <c r="AM12" s="94"/>
      <c r="AN12" s="2304"/>
      <c r="AO12" s="54" t="e">
        <f t="shared" ca="1" si="9"/>
        <v>#REF!</v>
      </c>
      <c r="AP12" s="2305">
        <f t="shared" si="10"/>
        <v>0</v>
      </c>
      <c r="AQ12" s="54">
        <f t="shared" si="11"/>
        <v>0</v>
      </c>
      <c r="AR12" s="54">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3.8">
      <c r="A13" s="2301">
        <f>'数据-汇总表'!C26</f>
        <v>0</v>
      </c>
      <c r="B13" s="2302" t="str">
        <f t="shared" si="1"/>
        <v/>
      </c>
      <c r="C13" s="2303"/>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0">
        <f>SUMIF('数据-汇总表'!C$19:C$33,A13,'数据-汇总表'!E$19:E$33)</f>
        <v>0</v>
      </c>
      <c r="L13" s="90"/>
      <c r="M13" s="74">
        <f>ROUND(K13*L13/10000,0)</f>
        <v>0</v>
      </c>
      <c r="N13" s="2959"/>
      <c r="O13" s="74">
        <f t="shared" si="4"/>
        <v>0</v>
      </c>
      <c r="P13" s="75">
        <f t="shared" si="5"/>
        <v>0</v>
      </c>
      <c r="Q13" s="89"/>
      <c r="R13" s="76">
        <f ca="1">SUMIF('数据-汇总表'!C$19:C$33,A13,'数据-汇总表'!R$19:R$27)</f>
        <v>0</v>
      </c>
      <c r="S13" s="53">
        <f>IF('数据-汇总表'!$I$17="按面积比例",SUMIF('数据-汇总表'!C$19:C$33,A13,'数据-汇总表'!K$19:K$33),SUMIF('数据-汇总表'!C$19:C$33,A13,'数据-汇总表'!N$19:N$33))</f>
        <v>0</v>
      </c>
      <c r="T13" s="1442">
        <f t="shared" si="6"/>
        <v>0</v>
      </c>
      <c r="U13" s="77"/>
      <c r="V13" s="78"/>
      <c r="W13" s="78"/>
      <c r="X13" s="1260"/>
      <c r="Y13" s="79"/>
      <c r="Z13" s="80"/>
      <c r="AA13" s="73"/>
      <c r="AB13" s="73"/>
      <c r="AC13" s="1260"/>
      <c r="AD13" s="81"/>
      <c r="AE13" s="1261">
        <f t="shared" ca="1" si="7"/>
        <v>0</v>
      </c>
      <c r="AF13" s="1803"/>
      <c r="AG13" s="145">
        <f t="shared" si="8"/>
        <v>0</v>
      </c>
      <c r="AH13" s="82"/>
      <c r="AI13" s="84"/>
      <c r="AJ13" s="85"/>
      <c r="AK13" s="86"/>
      <c r="AL13" s="87"/>
      <c r="AM13" s="88"/>
      <c r="AN13" s="2304"/>
      <c r="AO13" s="54" t="e">
        <f t="shared" ca="1" si="9"/>
        <v>#REF!</v>
      </c>
      <c r="AP13" s="2305">
        <f t="shared" si="10"/>
        <v>0</v>
      </c>
      <c r="AQ13" s="54">
        <f t="shared" si="11"/>
        <v>0</v>
      </c>
      <c r="AR13" s="54">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4">
      <c r="A14" s="2306" t="s">
        <v>2010</v>
      </c>
      <c r="B14" s="2302" t="s">
        <v>2011</v>
      </c>
      <c r="C14" s="2307" t="s">
        <v>2010</v>
      </c>
      <c r="D14" s="1050"/>
      <c r="E14" s="1047"/>
      <c r="F14" s="71"/>
      <c r="G14" s="72"/>
      <c r="H14" s="1249"/>
      <c r="I14" s="1249"/>
      <c r="J14" s="1249"/>
      <c r="K14" s="1250">
        <f>SUMIF('数据-汇总表'!C$19:C$33,A14,'数据-汇总表'!E$19:E$33)</f>
        <v>6560.16</v>
      </c>
      <c r="L14" s="90">
        <v>2000</v>
      </c>
      <c r="M14" s="74">
        <f t="shared" si="0"/>
        <v>1312</v>
      </c>
      <c r="N14" s="2959">
        <f>面积!M20</f>
        <v>0.8</v>
      </c>
      <c r="O14" s="74">
        <f t="shared" si="4"/>
        <v>1050</v>
      </c>
      <c r="P14" s="75">
        <f t="shared" si="5"/>
        <v>262</v>
      </c>
      <c r="Q14" s="1253"/>
      <c r="R14" s="76"/>
      <c r="S14" s="53"/>
      <c r="T14" s="1442"/>
      <c r="U14" s="721"/>
      <c r="V14" s="1255"/>
      <c r="W14" s="1255"/>
      <c r="X14" s="1256"/>
      <c r="Y14" s="1257"/>
      <c r="Z14" s="1258"/>
      <c r="AA14" s="1259"/>
      <c r="AB14" s="1259"/>
      <c r="AC14" s="1260"/>
      <c r="AD14" s="1256"/>
      <c r="AE14" s="1261"/>
      <c r="AF14" s="54"/>
      <c r="AG14" s="145"/>
      <c r="AH14" s="1261"/>
      <c r="AI14" s="1814"/>
      <c r="AJ14" s="770"/>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8.8">
      <c r="A15" s="2306" t="s">
        <v>2012</v>
      </c>
      <c r="B15" s="2302" t="s">
        <v>2011</v>
      </c>
      <c r="C15" s="2307" t="s">
        <v>2013</v>
      </c>
      <c r="D15" s="1050"/>
      <c r="E15" s="1047"/>
      <c r="F15" s="71"/>
      <c r="G15" s="72"/>
      <c r="H15" s="1249"/>
      <c r="I15" s="1249"/>
      <c r="J15" s="1249"/>
      <c r="K15" s="1250">
        <f>SUMIF('数据-汇总表'!C$19:C$33,A15,'数据-汇总表'!E$19:E$33)</f>
        <v>0</v>
      </c>
      <c r="L15" s="1251"/>
      <c r="M15" s="74"/>
      <c r="N15" s="1252"/>
      <c r="O15" s="74"/>
      <c r="P15" s="75"/>
      <c r="Q15" s="1253"/>
      <c r="R15" s="76"/>
      <c r="S15" s="53"/>
      <c r="T15" s="1442"/>
      <c r="U15" s="721"/>
      <c r="V15" s="1255"/>
      <c r="W15" s="1255"/>
      <c r="X15" s="1256"/>
      <c r="Y15" s="1257"/>
      <c r="Z15" s="1258"/>
      <c r="AA15" s="1259"/>
      <c r="AB15" s="1259"/>
      <c r="AC15" s="1260"/>
      <c r="AD15" s="1256"/>
      <c r="AE15" s="1261"/>
      <c r="AF15" s="54"/>
      <c r="AG15" s="145"/>
      <c r="AH15" s="1261"/>
      <c r="AI15" s="1814"/>
      <c r="AJ15" s="770"/>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 thickBot="1">
      <c r="A16" s="2308" t="s">
        <v>2014</v>
      </c>
      <c r="B16" s="95"/>
      <c r="C16" s="1004"/>
      <c r="D16" s="2309"/>
      <c r="E16" s="95"/>
      <c r="F16" s="95"/>
      <c r="G16" s="96">
        <f>ROUND(SUMPRODUCT(G6:G13,K6:K13)/SUMPRODUCT((G6:G13&gt;0)*(K6:K13)),3)</f>
        <v>0.97</v>
      </c>
      <c r="H16" s="97">
        <f>ROUND(SUMPRODUCT(H6:H13,K6:K13)/SUMPRODUCT((H6:H13&gt;0)*(K6:K13)),3)</f>
        <v>4.3999999999999997E-2</v>
      </c>
      <c r="I16" s="98"/>
      <c r="J16" s="98"/>
      <c r="K16" s="99">
        <f>SUM(K6:K15)</f>
        <v>103304.44</v>
      </c>
      <c r="L16" s="100">
        <f>ROUND(M16*10000/SUM(K6:K14),0)</f>
        <v>2407</v>
      </c>
      <c r="M16" s="100">
        <f>SUM(M6:M14)</f>
        <v>24866</v>
      </c>
      <c r="N16" s="101">
        <f>ROUND(SUMPRODUCT(M6:M14,N6:N14)/M16,3)</f>
        <v>0.64800000000000002</v>
      </c>
      <c r="O16" s="100">
        <f>SUM(O6:O14)</f>
        <v>16103</v>
      </c>
      <c r="P16" s="100">
        <f>SUM(P6:P14)</f>
        <v>8763</v>
      </c>
      <c r="Q16" s="102">
        <f>ROUND(SUMPRODUCT(Q6:Q13,K6:K13)/SUMPRODUCT((Q6:Q13&gt;0)*(K6:K13)),2)</f>
        <v>0.14000000000000001</v>
      </c>
      <c r="R16" s="1254">
        <f ca="1">SUM(R6:R13)</f>
        <v>49664.250000000007</v>
      </c>
      <c r="S16" s="103">
        <f>SUM(S6:S13)</f>
        <v>6560.17</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29"/>
      <c r="C17" s="1580"/>
      <c r="D17" s="2268"/>
      <c r="E17" s="2268"/>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2015</v>
      </c>
      <c r="B18" s="2275"/>
      <c r="C18" s="2272"/>
      <c r="D18" s="2273"/>
      <c r="E18" s="2272"/>
      <c r="F18" s="2272"/>
      <c r="G18" s="2272"/>
      <c r="H18" s="2272"/>
      <c r="I18" s="2272"/>
      <c r="J18" s="2272"/>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1" t="s">
        <v>2016</v>
      </c>
      <c r="B19" s="110">
        <v>0</v>
      </c>
      <c r="C19" s="2272" t="s">
        <v>2017</v>
      </c>
      <c r="D19" s="2273"/>
      <c r="E19" s="2272"/>
      <c r="F19" s="2272"/>
      <c r="G19" s="2272"/>
      <c r="H19" s="2272"/>
      <c r="I19" s="2272"/>
      <c r="J19" s="2272"/>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2" t="s">
        <v>2018</v>
      </c>
      <c r="B20" s="111">
        <v>2</v>
      </c>
      <c r="C20" s="2272" t="s">
        <v>2019</v>
      </c>
      <c r="D20" s="2273"/>
      <c r="E20" s="2272"/>
      <c r="F20" s="2272"/>
      <c r="G20" s="2272"/>
      <c r="H20" s="2272"/>
      <c r="I20" s="2272"/>
      <c r="J20" s="2272"/>
      <c r="K20" s="3344">
        <f>K6</f>
        <v>75800.5</v>
      </c>
      <c r="L20" s="166">
        <f>ROUND(K20/K22,2)</f>
        <v>0.94</v>
      </c>
      <c r="M20" s="1580"/>
      <c r="N20" s="2268">
        <f>K7</f>
        <v>8295.2800000000007</v>
      </c>
      <c r="O20" s="166">
        <f>ROUND(N20/N22,2)</f>
        <v>0.94</v>
      </c>
      <c r="P20" s="1580"/>
      <c r="Q20" s="2268">
        <f>K8</f>
        <v>12648.5</v>
      </c>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3" t="s">
        <v>2020</v>
      </c>
      <c r="B21" s="111">
        <f>ROUND(B20*N16,1)</f>
        <v>1.3</v>
      </c>
      <c r="C21" s="2272"/>
      <c r="D21" s="2273"/>
      <c r="E21" s="2272"/>
      <c r="F21" s="2272"/>
      <c r="G21" s="2272"/>
      <c r="H21" s="2272"/>
      <c r="I21" s="2272"/>
      <c r="J21" s="2272"/>
      <c r="K21" s="166">
        <f>'数据-汇总表'!I19</f>
        <v>5139.9799999999996</v>
      </c>
      <c r="L21" s="166">
        <f>ROUND(K21/K22,2)</f>
        <v>0.06</v>
      </c>
      <c r="M21" s="1580"/>
      <c r="N21" s="1580">
        <f>'数据-汇总表'!I20</f>
        <v>562.5</v>
      </c>
      <c r="O21" s="166">
        <f>ROUND(N21/N22,2)</f>
        <v>0.06</v>
      </c>
      <c r="P21" s="1580"/>
      <c r="Q21" s="1580">
        <f>'数据-汇总表'!I21</f>
        <v>857.69</v>
      </c>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2" t="s">
        <v>2021</v>
      </c>
      <c r="B22" s="112">
        <f>B19+B20</f>
        <v>2</v>
      </c>
      <c r="C22" s="2272"/>
      <c r="D22" s="2273"/>
      <c r="E22" s="2272"/>
      <c r="F22" s="2272"/>
      <c r="G22" s="2272"/>
      <c r="H22" s="2272"/>
      <c r="I22" s="2272"/>
      <c r="J22" s="2272"/>
      <c r="K22" s="3344">
        <f>K20+K21</f>
        <v>80940.479999999996</v>
      </c>
      <c r="L22" s="3344"/>
      <c r="M22" s="3344"/>
      <c r="N22" s="3344">
        <f t="shared" ref="N22:Q22" si="13">N20+N21</f>
        <v>8857.7800000000007</v>
      </c>
      <c r="O22" s="3344"/>
      <c r="P22" s="3344"/>
      <c r="Q22" s="3344">
        <f t="shared" si="13"/>
        <v>13506.19</v>
      </c>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3" t="s">
        <v>2022</v>
      </c>
      <c r="B23" s="112">
        <f>B19+B21</f>
        <v>1.3</v>
      </c>
      <c r="C23" s="2272"/>
      <c r="D23" s="2273"/>
      <c r="E23" s="2272"/>
      <c r="F23" s="2272"/>
      <c r="G23" s="2272"/>
      <c r="H23" s="2272"/>
      <c r="I23" s="2272"/>
      <c r="J23" s="2272"/>
      <c r="K23" s="166">
        <f>L20*L6+L21*L14</f>
        <v>2470</v>
      </c>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2023</v>
      </c>
      <c r="B24" s="113">
        <f>B20-B21</f>
        <v>0.7</v>
      </c>
      <c r="C24" s="2272"/>
      <c r="D24" s="2273"/>
      <c r="E24" s="2272"/>
      <c r="F24" s="2272"/>
      <c r="G24" s="2272"/>
      <c r="H24" s="2272"/>
      <c r="I24" s="2272"/>
      <c r="J24" s="2272"/>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5"/>
      <c r="C25" s="2272"/>
      <c r="D25" s="2273"/>
      <c r="E25" s="2272"/>
      <c r="F25" s="2272"/>
      <c r="G25" s="2272"/>
      <c r="H25" s="2272"/>
      <c r="I25" s="2272"/>
      <c r="J25" s="2272"/>
      <c r="K25" s="3344"/>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2024</v>
      </c>
      <c r="B26" s="2315" t="s">
        <v>2025</v>
      </c>
      <c r="C26" s="2316" t="s">
        <v>2026</v>
      </c>
      <c r="D26" s="2273"/>
      <c r="E26" s="2272"/>
      <c r="F26" s="2272"/>
      <c r="G26" s="2272"/>
      <c r="H26" s="2272"/>
      <c r="I26" s="2272"/>
      <c r="J26" s="2272"/>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8.8">
      <c r="A27" s="2317" t="s">
        <v>2027</v>
      </c>
      <c r="B27" s="114"/>
      <c r="C27" s="1763" t="s">
        <v>2028</v>
      </c>
      <c r="D27" s="2318"/>
      <c r="E27" s="1426"/>
      <c r="F27" s="1426"/>
      <c r="G27" s="2272"/>
      <c r="H27" s="2272"/>
      <c r="I27" s="2272"/>
      <c r="J27" s="2272"/>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8.8">
      <c r="A28" s="2320" t="s">
        <v>2029</v>
      </c>
      <c r="B28" s="117">
        <v>190</v>
      </c>
      <c r="C28" s="2321"/>
      <c r="D28" s="2318"/>
      <c r="E28" s="1426"/>
      <c r="F28" s="1426"/>
      <c r="G28" s="2272"/>
      <c r="H28" s="2272"/>
      <c r="I28" s="2272"/>
      <c r="J28" s="2272"/>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9.4" thickBot="1">
      <c r="A29" s="2322" t="s">
        <v>2030</v>
      </c>
      <c r="B29" s="119">
        <v>0</v>
      </c>
      <c r="C29" s="1763" t="s">
        <v>2031</v>
      </c>
      <c r="D29" s="2318"/>
      <c r="E29" s="1426"/>
      <c r="F29" s="1426"/>
      <c r="G29" s="2272"/>
      <c r="H29" s="2272"/>
      <c r="I29" s="2272"/>
      <c r="J29" s="2272"/>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8.8">
      <c r="A30" s="2323" t="s">
        <v>2032</v>
      </c>
      <c r="B30" s="722">
        <v>190</v>
      </c>
      <c r="C30" s="2321"/>
      <c r="D30" s="2318"/>
      <c r="E30" s="1426"/>
      <c r="F30" s="1426"/>
      <c r="G30" s="2272"/>
      <c r="H30" s="2272"/>
      <c r="I30" s="2272"/>
      <c r="J30" s="2272"/>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8.8">
      <c r="A31" s="2320" t="s">
        <v>2033</v>
      </c>
      <c r="B31" s="118">
        <f>B30-B32</f>
        <v>190</v>
      </c>
      <c r="C31" s="1763"/>
      <c r="D31" s="2318"/>
      <c r="E31" s="1426"/>
      <c r="F31" s="1426"/>
      <c r="G31" s="2272"/>
      <c r="H31" s="2272"/>
      <c r="I31" s="2272"/>
      <c r="J31" s="2272"/>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9.4" thickBot="1">
      <c r="A32" s="2324" t="s">
        <v>2034</v>
      </c>
      <c r="B32" s="3345">
        <v>0</v>
      </c>
      <c r="C32" s="2321"/>
      <c r="D32" s="2273"/>
      <c r="E32" s="2272"/>
      <c r="F32" s="2272"/>
      <c r="G32" s="2272"/>
      <c r="H32" s="2272"/>
      <c r="I32" s="2272"/>
      <c r="J32" s="2272"/>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4">
      <c r="A33" s="2317" t="s">
        <v>2035</v>
      </c>
      <c r="B33" s="723">
        <v>0.04</v>
      </c>
      <c r="C33" s="1762" t="s">
        <v>2036</v>
      </c>
      <c r="D33" s="2273"/>
      <c r="E33" s="2272"/>
      <c r="F33" s="2272"/>
      <c r="G33" s="2272"/>
      <c r="H33" s="2272"/>
      <c r="I33" s="2272"/>
      <c r="J33" s="2272"/>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4">
      <c r="A34" s="2320" t="s">
        <v>2037</v>
      </c>
      <c r="B34" s="120">
        <v>0.05</v>
      </c>
      <c r="C34" s="1762" t="s">
        <v>2038</v>
      </c>
      <c r="D34" s="2273" t="s">
        <v>2039</v>
      </c>
      <c r="E34" s="729"/>
      <c r="F34" s="2272"/>
      <c r="G34" s="2272"/>
      <c r="H34" s="2272"/>
      <c r="I34" s="2272"/>
      <c r="J34" s="2272"/>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4">
      <c r="A35" s="2320" t="s">
        <v>2040</v>
      </c>
      <c r="B35" s="117">
        <v>200</v>
      </c>
      <c r="C35" s="1762" t="s">
        <v>2041</v>
      </c>
      <c r="D35" s="2318"/>
      <c r="E35" s="1426"/>
      <c r="F35" s="1426"/>
      <c r="G35" s="2272"/>
      <c r="H35" s="2272"/>
      <c r="I35" s="2272"/>
      <c r="J35" s="2272"/>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2042</v>
      </c>
      <c r="B36" s="121">
        <v>1.4999999999999999E-2</v>
      </c>
      <c r="C36" s="1762" t="s">
        <v>2043</v>
      </c>
      <c r="D36" s="2273"/>
      <c r="E36" s="2272"/>
      <c r="F36" s="2272"/>
      <c r="G36" s="2272"/>
      <c r="H36" s="2272"/>
      <c r="I36" s="2272"/>
      <c r="J36" s="2272"/>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3" t="s">
        <v>2044</v>
      </c>
      <c r="B37" s="122">
        <v>0.02</v>
      </c>
      <c r="C37" s="1762" t="s">
        <v>2045</v>
      </c>
      <c r="D37" s="2273"/>
      <c r="E37" s="2272"/>
      <c r="F37" s="2272"/>
      <c r="G37" s="2272"/>
      <c r="H37" s="2272"/>
      <c r="I37" s="2272"/>
      <c r="J37" s="2272"/>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0" t="s">
        <v>2046</v>
      </c>
      <c r="B38" s="120">
        <v>0.02</v>
      </c>
      <c r="C38" s="1762" t="s">
        <v>2045</v>
      </c>
      <c r="D38" s="2273"/>
      <c r="E38" s="2272"/>
      <c r="F38" s="2272"/>
      <c r="G38" s="2272"/>
      <c r="H38" s="2272"/>
      <c r="I38" s="2272"/>
      <c r="J38" s="2272"/>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4" t="s">
        <v>2047</v>
      </c>
      <c r="B39" s="360">
        <f ca="1">存贷款利率!I1</f>
        <v>1.4999999999999999E-2</v>
      </c>
      <c r="C39" s="1762"/>
      <c r="D39" s="2273"/>
      <c r="E39" s="2272"/>
      <c r="F39" s="2272"/>
      <c r="G39" s="2272"/>
      <c r="H39" s="2272"/>
      <c r="I39" s="2272"/>
      <c r="J39" s="2272"/>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2048</v>
      </c>
      <c r="B40" s="1299">
        <f ca="1">存贷款利率!G1</f>
        <v>4.7500000000000001E-2</v>
      </c>
      <c r="C40" s="1762" t="s">
        <v>2049</v>
      </c>
      <c r="D40" s="1580"/>
      <c r="E40" s="2273"/>
      <c r="F40" s="2272"/>
      <c r="G40" s="2272"/>
      <c r="H40" s="2272"/>
      <c r="I40" s="2272"/>
      <c r="J40" s="2272"/>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7" t="s">
        <v>2050</v>
      </c>
      <c r="B41" s="123">
        <f>B42+B43</f>
        <v>5.5000000000000007E-2</v>
      </c>
      <c r="C41" s="1763"/>
      <c r="D41" s="1580"/>
      <c r="E41" s="2273"/>
      <c r="F41" s="2272"/>
      <c r="G41" s="2272"/>
      <c r="H41" s="2272"/>
      <c r="I41" s="2272"/>
      <c r="J41" s="2272"/>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5" t="s">
        <v>2051</v>
      </c>
      <c r="B42" s="124">
        <v>0.05</v>
      </c>
      <c r="C42" s="2326">
        <f>IF(B2&lt;DATE(2016,5,1),0,B42)</f>
        <v>0.05</v>
      </c>
      <c r="D42" s="2273"/>
      <c r="E42" s="2272"/>
      <c r="F42" s="2272"/>
      <c r="G42" s="2272"/>
      <c r="H42" s="2272"/>
      <c r="I42" s="2272"/>
      <c r="J42" s="2272"/>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5" t="s">
        <v>2052</v>
      </c>
      <c r="B43" s="125">
        <f>B42*(B44+B45+B46)+B47</f>
        <v>5.000000000000001E-3</v>
      </c>
      <c r="C43" s="1763"/>
      <c r="D43" s="2273"/>
      <c r="E43" s="2272"/>
      <c r="F43" s="2272"/>
      <c r="G43" s="2272"/>
      <c r="H43" s="2272"/>
      <c r="I43" s="2272"/>
      <c r="J43" s="2272"/>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7" t="s">
        <v>2053</v>
      </c>
      <c r="B44" s="126">
        <v>0.05</v>
      </c>
      <c r="C44" s="1762" t="s">
        <v>2054</v>
      </c>
      <c r="D44" s="2273"/>
      <c r="E44" s="2272"/>
      <c r="F44" s="2272"/>
      <c r="G44" s="2272"/>
      <c r="H44" s="2272"/>
      <c r="I44" s="2272"/>
      <c r="J44" s="2272"/>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7" t="s">
        <v>2055</v>
      </c>
      <c r="B45" s="124">
        <v>0.03</v>
      </c>
      <c r="C45" s="1763" t="s">
        <v>2056</v>
      </c>
      <c r="D45" s="2273"/>
      <c r="E45" s="2272"/>
      <c r="F45" s="2272"/>
      <c r="G45" s="2272"/>
      <c r="H45" s="2272"/>
      <c r="I45" s="2272"/>
      <c r="J45" s="2272"/>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7" t="s">
        <v>2057</v>
      </c>
      <c r="B46" s="124">
        <v>0.02</v>
      </c>
      <c r="C46" s="1763" t="s">
        <v>2058</v>
      </c>
      <c r="D46" s="2273"/>
      <c r="E46" s="2272"/>
      <c r="F46" s="2272"/>
      <c r="G46" s="2272"/>
      <c r="H46" s="2272"/>
      <c r="I46" s="2272"/>
      <c r="J46" s="2272"/>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2059</v>
      </c>
      <c r="B47" s="127"/>
      <c r="C47" s="1763" t="s">
        <v>2060</v>
      </c>
      <c r="D47" s="2273"/>
      <c r="E47" s="2272"/>
      <c r="F47" s="2272"/>
      <c r="G47" s="2272"/>
      <c r="H47" s="2272"/>
      <c r="I47" s="2272"/>
      <c r="J47" s="2272"/>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9" t="s">
        <v>2061</v>
      </c>
      <c r="B48" s="128">
        <v>0.03</v>
      </c>
      <c r="C48" s="1770" t="s">
        <v>2062</v>
      </c>
      <c r="D48" s="2273"/>
      <c r="E48" s="2272"/>
      <c r="F48" s="2272"/>
      <c r="G48" s="2272"/>
      <c r="H48" s="2272"/>
      <c r="I48" s="2272"/>
      <c r="J48" s="2272"/>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2063</v>
      </c>
      <c r="B49" s="124">
        <v>5.0000000000000001E-4</v>
      </c>
      <c r="C49" s="1770" t="s">
        <v>2064</v>
      </c>
      <c r="D49" s="2273"/>
      <c r="E49" s="2272"/>
      <c r="F49" s="2272"/>
      <c r="G49" s="2272"/>
      <c r="H49" s="2272"/>
      <c r="I49" s="2272"/>
      <c r="J49" s="2272"/>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0" t="s">
        <v>2065</v>
      </c>
      <c r="B50" s="129">
        <v>1.2E-2</v>
      </c>
      <c r="C50" s="1426"/>
      <c r="D50" s="2273"/>
      <c r="E50" s="2272"/>
      <c r="F50" s="2272"/>
      <c r="G50" s="2272"/>
      <c r="H50" s="2272"/>
      <c r="I50" s="2272"/>
      <c r="J50" s="2272"/>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2066</v>
      </c>
      <c r="B51" s="130">
        <v>0.12</v>
      </c>
      <c r="C51" s="1426"/>
      <c r="D51" s="2273"/>
      <c r="E51" s="2272"/>
      <c r="F51" s="2272"/>
      <c r="G51" s="2272"/>
      <c r="H51" s="2272"/>
      <c r="I51" s="2272"/>
      <c r="J51" s="2272"/>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0" t="s">
        <v>2067</v>
      </c>
      <c r="B52" s="131">
        <f>SUMIF(A54:A63,B53,B54:B63)</f>
        <v>1.5</v>
      </c>
      <c r="C52" s="1426"/>
      <c r="D52" s="2273"/>
      <c r="E52" s="2272"/>
      <c r="F52" s="2272"/>
      <c r="G52" s="2272"/>
      <c r="H52" s="2272"/>
      <c r="I52" s="2272"/>
      <c r="J52" s="2272"/>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0" t="s">
        <v>2068</v>
      </c>
      <c r="B53" s="2331" t="s">
        <v>56</v>
      </c>
      <c r="C53" s="1426" t="s">
        <v>2069</v>
      </c>
      <c r="D53" s="2332" t="s">
        <v>2070</v>
      </c>
      <c r="E53" s="2272"/>
      <c r="F53" s="2272"/>
      <c r="G53" s="2272"/>
      <c r="H53" s="2272"/>
      <c r="I53" s="2272"/>
      <c r="J53" s="2272"/>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3" t="s">
        <v>2071</v>
      </c>
      <c r="B54" s="83"/>
      <c r="C54" s="1426">
        <v>30</v>
      </c>
      <c r="D54" s="2273"/>
      <c r="E54" s="2272"/>
      <c r="F54" s="2272"/>
      <c r="G54" s="2272"/>
      <c r="H54" s="2272"/>
      <c r="I54" s="2272"/>
      <c r="J54" s="2272"/>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3" t="s">
        <v>2072</v>
      </c>
      <c r="B55" s="83"/>
      <c r="C55" s="1426">
        <v>24</v>
      </c>
      <c r="D55" s="2273"/>
      <c r="E55" s="2272"/>
      <c r="F55" s="2272"/>
      <c r="G55" s="2272"/>
      <c r="H55" s="2272"/>
      <c r="I55" s="2334"/>
      <c r="J55" s="2272"/>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3" t="s">
        <v>2073</v>
      </c>
      <c r="B56" s="83"/>
      <c r="C56" s="1426">
        <v>18</v>
      </c>
      <c r="D56" s="2273"/>
      <c r="E56" s="2272"/>
      <c r="F56" s="2272"/>
      <c r="G56" s="2272"/>
      <c r="H56" s="2272"/>
      <c r="I56" s="2272"/>
      <c r="J56" s="2272"/>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3" t="s">
        <v>2074</v>
      </c>
      <c r="B57" s="83"/>
      <c r="C57" s="1426">
        <v>12</v>
      </c>
      <c r="D57" s="2273"/>
      <c r="E57" s="2272"/>
      <c r="F57" s="2272"/>
      <c r="G57" s="2272"/>
      <c r="H57" s="2272"/>
      <c r="I57" s="2272"/>
      <c r="J57" s="2272"/>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3" t="s">
        <v>2075</v>
      </c>
      <c r="B58" s="83"/>
      <c r="C58" s="1426">
        <v>3</v>
      </c>
      <c r="D58" s="2273"/>
      <c r="E58" s="2272"/>
      <c r="F58" s="2272"/>
      <c r="G58" s="2272"/>
      <c r="H58" s="2272"/>
      <c r="I58" s="2272"/>
      <c r="J58" s="2272"/>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3" t="s">
        <v>2076</v>
      </c>
      <c r="B59" s="83">
        <v>1.5</v>
      </c>
      <c r="C59" s="1426">
        <v>1.5</v>
      </c>
      <c r="D59" s="2273"/>
      <c r="E59" s="2272"/>
      <c r="F59" s="2272"/>
      <c r="G59" s="2272"/>
      <c r="H59" s="2272"/>
      <c r="I59" s="2272"/>
      <c r="J59" s="2272"/>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3" t="s">
        <v>2077</v>
      </c>
      <c r="B60" s="83"/>
      <c r="C60" s="2272"/>
      <c r="D60" s="2273"/>
      <c r="E60" s="2272"/>
      <c r="F60" s="2272"/>
      <c r="G60" s="2272"/>
      <c r="H60" s="2272"/>
      <c r="I60" s="2272"/>
      <c r="J60" s="2272"/>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3" t="s">
        <v>2078</v>
      </c>
      <c r="B61" s="83"/>
      <c r="C61" s="2272"/>
      <c r="D61" s="2273"/>
      <c r="E61" s="2272"/>
      <c r="F61" s="2272"/>
      <c r="G61" s="2272"/>
      <c r="H61" s="2272"/>
      <c r="I61" s="2272"/>
      <c r="J61" s="2272"/>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3" t="s">
        <v>2079</v>
      </c>
      <c r="B62" s="83"/>
      <c r="C62" s="2272"/>
      <c r="D62" s="2273"/>
      <c r="E62" s="2272"/>
      <c r="F62" s="2272"/>
      <c r="G62" s="2272"/>
      <c r="H62" s="2272"/>
      <c r="I62" s="2272"/>
      <c r="J62" s="2272"/>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2080</v>
      </c>
      <c r="B63" s="132"/>
      <c r="C63" s="2272"/>
      <c r="D63" s="2273"/>
      <c r="E63" s="2272"/>
      <c r="F63" s="2272"/>
      <c r="G63" s="2272"/>
      <c r="H63" s="2272"/>
      <c r="I63" s="2272"/>
      <c r="J63" s="2272"/>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5"/>
      <c r="L64" s="795"/>
    </row>
    <row r="65" spans="1:12" s="963" customFormat="1">
      <c r="A65" s="2336"/>
      <c r="D65" s="2337"/>
      <c r="K65" s="795"/>
      <c r="L65" s="795"/>
    </row>
    <row r="66" spans="1:12" s="963" customFormat="1">
      <c r="A66" s="2336"/>
      <c r="D66" s="2337"/>
      <c r="K66" s="795"/>
      <c r="L66" s="795"/>
    </row>
    <row r="67" spans="1:12" s="963" customFormat="1">
      <c r="A67" s="2336"/>
      <c r="D67" s="2337"/>
      <c r="K67" s="795"/>
      <c r="L67" s="795"/>
    </row>
    <row r="68" spans="1:12" s="963" customFormat="1">
      <c r="A68" s="2336"/>
      <c r="D68" s="2337"/>
      <c r="K68" s="795"/>
      <c r="L68" s="795"/>
    </row>
    <row r="69" spans="1:12" s="963" customFormat="1">
      <c r="A69" s="2336"/>
      <c r="D69" s="2337"/>
      <c r="K69" s="795"/>
      <c r="L69" s="795"/>
    </row>
    <row r="70" spans="1:12" s="963" customFormat="1">
      <c r="A70" s="2336"/>
      <c r="D70" s="2337"/>
      <c r="K70" s="795"/>
      <c r="L70" s="795"/>
    </row>
    <row r="71" spans="1:12" s="963" customFormat="1">
      <c r="A71" s="2336"/>
      <c r="D71" s="2337"/>
      <c r="K71" s="795"/>
      <c r="L71" s="795"/>
    </row>
    <row r="72" spans="1:12" s="963" customFormat="1">
      <c r="A72" s="2336"/>
      <c r="D72" s="2337"/>
      <c r="K72" s="795"/>
      <c r="L72" s="795"/>
    </row>
    <row r="73" spans="1:12" s="963" customFormat="1">
      <c r="A73" s="2336"/>
      <c r="D73" s="2337"/>
      <c r="K73" s="795"/>
      <c r="L73" s="795"/>
    </row>
    <row r="74" spans="1:12" s="963" customFormat="1">
      <c r="A74" s="2336"/>
      <c r="D74" s="2337"/>
      <c r="K74" s="795"/>
      <c r="L74" s="795"/>
    </row>
    <row r="75" spans="1:12" s="963" customFormat="1">
      <c r="A75" s="2336"/>
      <c r="D75" s="2337"/>
      <c r="K75" s="795"/>
      <c r="L75" s="795"/>
    </row>
    <row r="76" spans="1:12" s="963" customFormat="1">
      <c r="A76" s="2336"/>
      <c r="D76" s="2337"/>
      <c r="K76" s="795"/>
      <c r="L76" s="795"/>
    </row>
    <row r="77" spans="1:12" s="963" customFormat="1">
      <c r="A77" s="2336"/>
      <c r="D77" s="2337"/>
      <c r="K77" s="795"/>
      <c r="L77" s="795"/>
    </row>
    <row r="78" spans="1:12" s="963" customFormat="1">
      <c r="A78" s="2336"/>
      <c r="D78" s="2337"/>
      <c r="K78" s="795"/>
      <c r="L78" s="795"/>
    </row>
    <row r="79" spans="1:12" s="963" customFormat="1">
      <c r="A79" s="2336"/>
      <c r="D79" s="2337"/>
      <c r="K79" s="795"/>
      <c r="L79" s="795"/>
    </row>
    <row r="80" spans="1:12" s="963" customFormat="1">
      <c r="A80" s="2336"/>
      <c r="D80" s="2337"/>
      <c r="K80" s="795"/>
      <c r="L80" s="795"/>
    </row>
    <row r="81" spans="1:12" s="963" customFormat="1">
      <c r="A81" s="2336"/>
      <c r="D81" s="2337"/>
      <c r="K81" s="795"/>
      <c r="L81" s="795"/>
    </row>
    <row r="82" spans="1:12" s="963" customFormat="1">
      <c r="A82" s="2336"/>
      <c r="D82" s="2337"/>
      <c r="K82" s="795"/>
      <c r="L82" s="795"/>
    </row>
    <row r="83" spans="1:12" s="963" customFormat="1">
      <c r="A83" s="2336"/>
      <c r="D83" s="2337"/>
      <c r="K83" s="795"/>
      <c r="L83" s="795"/>
    </row>
    <row r="84" spans="1:12" s="963" customFormat="1">
      <c r="A84" s="2336"/>
      <c r="D84" s="2337"/>
      <c r="K84" s="795"/>
      <c r="L84" s="795"/>
    </row>
    <row r="85" spans="1:12" s="963" customFormat="1">
      <c r="A85" s="2336"/>
      <c r="D85" s="2337"/>
      <c r="K85" s="795"/>
      <c r="L85" s="795"/>
    </row>
    <row r="86" spans="1:12" s="963" customFormat="1">
      <c r="A86" s="2336"/>
      <c r="D86" s="2337"/>
      <c r="K86" s="795"/>
      <c r="L86" s="795"/>
    </row>
    <row r="87" spans="1:12" s="963" customFormat="1">
      <c r="A87" s="2336"/>
      <c r="D87" s="2337"/>
      <c r="K87" s="795"/>
      <c r="L87" s="795"/>
    </row>
    <row r="88" spans="1:12" s="963" customFormat="1">
      <c r="A88" s="2336"/>
      <c r="D88" s="2337"/>
      <c r="K88" s="795"/>
      <c r="L88" s="795"/>
    </row>
    <row r="89" spans="1:12" s="963" customFormat="1">
      <c r="A89" s="2336"/>
      <c r="D89" s="2337"/>
      <c r="K89" s="795"/>
      <c r="L89" s="795"/>
    </row>
    <row r="90" spans="1:12" s="963" customFormat="1">
      <c r="A90" s="2336"/>
      <c r="D90" s="2337"/>
      <c r="K90" s="795"/>
      <c r="L90" s="795"/>
    </row>
    <row r="91" spans="1:12" s="963" customFormat="1">
      <c r="A91" s="2336"/>
      <c r="D91" s="2337"/>
      <c r="K91" s="795"/>
      <c r="L91" s="795"/>
    </row>
    <row r="92" spans="1:12" s="963" customFormat="1">
      <c r="A92" s="2336"/>
      <c r="D92" s="2337"/>
      <c r="K92" s="795"/>
      <c r="L92" s="795"/>
    </row>
    <row r="93" spans="1:12" s="963" customFormat="1">
      <c r="A93" s="2336"/>
      <c r="D93" s="2337"/>
      <c r="K93" s="795"/>
      <c r="L93" s="795"/>
    </row>
    <row r="94" spans="1:12" s="963" customFormat="1">
      <c r="A94" s="2336"/>
      <c r="D94" s="2337"/>
      <c r="K94" s="795"/>
      <c r="L94" s="795"/>
    </row>
    <row r="95" spans="1:12" s="963" customFormat="1">
      <c r="A95" s="2336"/>
      <c r="D95" s="2337"/>
      <c r="K95" s="795"/>
      <c r="L95" s="795"/>
    </row>
    <row r="96" spans="1:12" s="963" customFormat="1">
      <c r="A96" s="2336"/>
      <c r="D96" s="2337"/>
      <c r="K96" s="795"/>
      <c r="L96" s="795"/>
    </row>
    <row r="97" spans="1:12" s="963" customFormat="1">
      <c r="A97" s="2336"/>
      <c r="D97" s="2337"/>
      <c r="K97" s="795"/>
      <c r="L97" s="795"/>
    </row>
    <row r="98" spans="1:12" s="963" customFormat="1">
      <c r="A98" s="2336"/>
      <c r="D98" s="2337"/>
      <c r="K98" s="795"/>
      <c r="L98" s="795"/>
    </row>
    <row r="99" spans="1:12" s="963" customFormat="1">
      <c r="A99" s="2336"/>
      <c r="D99" s="2337"/>
      <c r="K99" s="795"/>
      <c r="L99" s="795"/>
    </row>
    <row r="100" spans="1:12" s="963" customFormat="1">
      <c r="A100" s="2336"/>
      <c r="D100" s="2337"/>
      <c r="K100" s="795"/>
      <c r="L100" s="795"/>
    </row>
    <row r="101" spans="1:12" s="963" customFormat="1">
      <c r="A101" s="2336"/>
      <c r="D101" s="2337"/>
      <c r="K101" s="795"/>
      <c r="L101" s="795"/>
    </row>
    <row r="102" spans="1:12" s="963" customFormat="1">
      <c r="A102" s="2336"/>
      <c r="D102" s="2337"/>
      <c r="K102" s="795"/>
      <c r="L102" s="795"/>
    </row>
    <row r="103" spans="1:12" s="963" customFormat="1">
      <c r="A103" s="2336"/>
      <c r="D103" s="2337"/>
      <c r="K103" s="795"/>
      <c r="L103" s="795"/>
    </row>
    <row r="104" spans="1:12" s="963" customFormat="1">
      <c r="A104" s="2336"/>
      <c r="D104" s="2337"/>
      <c r="K104" s="795"/>
      <c r="L104" s="795"/>
    </row>
    <row r="105" spans="1:12" s="963" customFormat="1">
      <c r="A105" s="2336"/>
      <c r="D105" s="2337"/>
      <c r="K105" s="795"/>
      <c r="L105" s="795"/>
    </row>
    <row r="106" spans="1:12" s="963" customFormat="1">
      <c r="A106" s="2336"/>
      <c r="D106" s="2337"/>
      <c r="K106" s="795"/>
      <c r="L106" s="795"/>
    </row>
    <row r="107" spans="1:12" s="963" customFormat="1">
      <c r="A107" s="2336"/>
      <c r="D107" s="2337"/>
      <c r="K107" s="795"/>
      <c r="L107" s="795"/>
    </row>
    <row r="108" spans="1:12" s="963" customFormat="1">
      <c r="A108" s="2336"/>
      <c r="D108" s="2337"/>
      <c r="K108" s="795"/>
      <c r="L108" s="795"/>
    </row>
    <row r="109" spans="1:12" s="963" customFormat="1">
      <c r="A109" s="2336"/>
      <c r="D109" s="2337"/>
      <c r="K109" s="795"/>
      <c r="L109" s="795"/>
    </row>
    <row r="110" spans="1:12" s="963" customFormat="1">
      <c r="A110" s="2336"/>
      <c r="D110" s="2337"/>
      <c r="K110" s="795"/>
      <c r="L110" s="795"/>
    </row>
    <row r="111" spans="1:12" s="963" customFormat="1">
      <c r="A111" s="2336"/>
      <c r="D111" s="2337"/>
      <c r="K111" s="795"/>
      <c r="L111" s="795"/>
    </row>
    <row r="112" spans="1:12" s="963" customFormat="1">
      <c r="A112" s="2336"/>
      <c r="D112" s="2337"/>
      <c r="K112" s="795"/>
      <c r="L112" s="795"/>
    </row>
    <row r="113" spans="1:12" s="963" customFormat="1">
      <c r="A113" s="2336"/>
      <c r="D113" s="2337"/>
      <c r="K113" s="795"/>
      <c r="L113" s="795"/>
    </row>
    <row r="114" spans="1:12" s="963" customFormat="1">
      <c r="A114" s="2336"/>
      <c r="D114" s="2337"/>
      <c r="K114" s="795"/>
      <c r="L114" s="795"/>
    </row>
    <row r="115" spans="1:12" s="963" customFormat="1">
      <c r="A115" s="2336"/>
      <c r="D115" s="2337"/>
      <c r="K115" s="795"/>
      <c r="L115" s="795"/>
    </row>
    <row r="116" spans="1:12" s="963" customFormat="1">
      <c r="A116" s="2336"/>
      <c r="D116" s="2337"/>
      <c r="K116" s="795"/>
      <c r="L116" s="795"/>
    </row>
    <row r="117" spans="1:12" s="963" customFormat="1">
      <c r="A117" s="2336"/>
      <c r="D117" s="2337"/>
      <c r="K117" s="795"/>
      <c r="L117" s="795"/>
    </row>
    <row r="118" spans="1:12" s="963" customFormat="1">
      <c r="A118" s="2336"/>
      <c r="D118" s="2337"/>
      <c r="K118" s="795"/>
      <c r="L118" s="795"/>
    </row>
    <row r="119" spans="1:12" s="963" customFormat="1">
      <c r="A119" s="2336"/>
      <c r="D119" s="2337"/>
      <c r="K119" s="795"/>
      <c r="L119" s="795"/>
    </row>
    <row r="120" spans="1:12" s="963" customFormat="1">
      <c r="A120" s="2336"/>
      <c r="D120" s="2337"/>
      <c r="K120" s="795"/>
      <c r="L120" s="795"/>
    </row>
    <row r="121" spans="1:12" s="963" customFormat="1">
      <c r="A121" s="2336"/>
      <c r="D121" s="2337"/>
      <c r="K121" s="795"/>
      <c r="L121" s="795"/>
    </row>
    <row r="122" spans="1:12" s="963" customFormat="1">
      <c r="A122" s="2336"/>
      <c r="D122" s="2337"/>
      <c r="K122" s="795"/>
      <c r="L122" s="795"/>
    </row>
    <row r="123" spans="1:12" s="963" customFormat="1">
      <c r="A123" s="2336"/>
      <c r="D123" s="2337"/>
      <c r="K123" s="795"/>
      <c r="L123" s="795"/>
    </row>
    <row r="124" spans="1:12" s="963" customFormat="1">
      <c r="A124" s="2336"/>
      <c r="D124" s="2337"/>
      <c r="K124" s="795"/>
      <c r="L124" s="795"/>
    </row>
    <row r="125" spans="1:12" s="963" customFormat="1">
      <c r="A125" s="2336"/>
      <c r="D125" s="2337"/>
      <c r="K125" s="795"/>
      <c r="L125" s="795"/>
    </row>
    <row r="126" spans="1:12" s="963" customFormat="1">
      <c r="A126" s="2336"/>
      <c r="D126" s="2337"/>
      <c r="K126" s="795"/>
      <c r="L126" s="795"/>
    </row>
    <row r="127" spans="1:12" s="963" customFormat="1">
      <c r="A127" s="2336"/>
      <c r="D127" s="2337"/>
      <c r="K127" s="795"/>
      <c r="L127" s="795"/>
    </row>
    <row r="128" spans="1:12" s="963" customFormat="1">
      <c r="A128" s="2336"/>
      <c r="D128" s="2337"/>
      <c r="K128" s="795"/>
      <c r="L128" s="795"/>
    </row>
    <row r="129" spans="1:12" s="963" customFormat="1">
      <c r="A129" s="2336"/>
      <c r="D129" s="2337"/>
      <c r="K129" s="795"/>
      <c r="L129" s="795"/>
    </row>
    <row r="130" spans="1:12" s="963" customFormat="1">
      <c r="A130" s="2336"/>
      <c r="D130" s="2337"/>
      <c r="K130" s="795"/>
      <c r="L130" s="795"/>
    </row>
    <row r="131" spans="1:12" s="963" customFormat="1">
      <c r="A131" s="2336"/>
      <c r="D131" s="2337"/>
      <c r="K131" s="795"/>
      <c r="L131" s="795"/>
    </row>
    <row r="132" spans="1:12" s="963" customFormat="1">
      <c r="A132" s="2336"/>
      <c r="D132" s="2337"/>
      <c r="K132" s="795"/>
      <c r="L132" s="795"/>
    </row>
    <row r="133" spans="1:12" s="963" customFormat="1">
      <c r="A133" s="2336"/>
      <c r="D133" s="2337"/>
      <c r="K133" s="795"/>
      <c r="L133" s="795"/>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D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442" t="s">
        <v>2081</v>
      </c>
      <c r="B1" s="3443"/>
      <c r="C1" s="3443"/>
      <c r="D1" s="3443"/>
      <c r="E1" s="3443"/>
      <c r="F1" s="3443"/>
      <c r="G1" s="3443"/>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2082</v>
      </c>
      <c r="D2" s="2361"/>
      <c r="E2" s="2362"/>
      <c r="F2" s="2281"/>
      <c r="G2" s="2360" t="s">
        <v>2083</v>
      </c>
      <c r="H2" s="2363"/>
      <c r="I2" s="2363"/>
      <c r="J2" s="2363"/>
      <c r="K2" s="2363"/>
      <c r="L2" s="2363"/>
      <c r="M2" s="2363"/>
      <c r="N2" s="2363"/>
      <c r="O2" s="2363"/>
      <c r="P2" s="2363"/>
      <c r="Q2" s="2363"/>
      <c r="R2" s="2363"/>
    </row>
    <row r="3" spans="1:29" ht="57.6">
      <c r="A3" s="413" t="s">
        <v>2084</v>
      </c>
      <c r="B3" s="1267" t="s">
        <v>2085</v>
      </c>
      <c r="C3" s="2365" t="s">
        <v>2086</v>
      </c>
      <c r="D3" s="2366"/>
      <c r="E3" s="429" t="s">
        <v>2084</v>
      </c>
      <c r="F3" s="2367" t="s">
        <v>2087</v>
      </c>
      <c r="G3" s="2368" t="s">
        <v>2088</v>
      </c>
      <c r="H3" s="2363"/>
      <c r="I3" s="2363"/>
      <c r="J3" s="2363"/>
      <c r="K3" s="2363"/>
      <c r="L3" s="2363"/>
      <c r="M3" s="2363"/>
      <c r="N3" s="2363"/>
      <c r="O3" s="2363"/>
      <c r="P3" s="2363"/>
      <c r="Q3" s="2363"/>
      <c r="R3" s="2363"/>
    </row>
    <row r="4" spans="1:29" ht="43.2">
      <c r="A4" s="429"/>
      <c r="B4" s="1794" t="s">
        <v>2089</v>
      </c>
      <c r="C4" s="2369" t="s">
        <v>2090</v>
      </c>
      <c r="D4" s="2366"/>
      <c r="E4" s="2370"/>
      <c r="F4" s="41" t="s">
        <v>2091</v>
      </c>
      <c r="G4" s="2371" t="s">
        <v>2092</v>
      </c>
      <c r="H4" s="2363"/>
      <c r="I4" s="2363"/>
      <c r="J4" s="2363"/>
      <c r="K4" s="2363"/>
      <c r="L4" s="2363"/>
      <c r="M4" s="2363"/>
      <c r="N4" s="2363"/>
      <c r="O4" s="2363"/>
      <c r="P4" s="2363"/>
      <c r="Q4" s="2363"/>
      <c r="R4" s="2363"/>
    </row>
    <row r="5" spans="1:29" ht="43.2">
      <c r="A5" s="429"/>
      <c r="B5" s="1794" t="s">
        <v>2093</v>
      </c>
      <c r="C5" s="2369" t="s">
        <v>2094</v>
      </c>
      <c r="D5" s="2366"/>
      <c r="E5" s="2370"/>
      <c r="F5" s="1794" t="s">
        <v>2095</v>
      </c>
      <c r="G5" s="2371" t="s">
        <v>2096</v>
      </c>
      <c r="H5" s="2363"/>
      <c r="I5" s="2363"/>
      <c r="J5" s="2363"/>
      <c r="K5" s="2363"/>
      <c r="L5" s="2363"/>
      <c r="M5" s="2363"/>
      <c r="N5" s="2363"/>
      <c r="O5" s="2363"/>
      <c r="P5" s="2363"/>
      <c r="Q5" s="2363"/>
      <c r="R5" s="2363"/>
    </row>
    <row r="6" spans="1:29" ht="57.6">
      <c r="A6" s="429"/>
      <c r="B6" s="1794" t="s">
        <v>2097</v>
      </c>
      <c r="C6" s="2371" t="s">
        <v>2092</v>
      </c>
      <c r="D6" s="2366"/>
      <c r="E6" s="2370"/>
      <c r="F6" s="1794" t="s">
        <v>2098</v>
      </c>
      <c r="G6" s="2371" t="s">
        <v>2099</v>
      </c>
      <c r="H6" s="2363"/>
      <c r="I6" s="2363"/>
      <c r="J6" s="2363"/>
      <c r="K6" s="2363"/>
      <c r="L6" s="2363"/>
      <c r="M6" s="2363"/>
      <c r="N6" s="2363"/>
      <c r="O6" s="2363"/>
      <c r="P6" s="2363"/>
      <c r="Q6" s="2363"/>
      <c r="R6" s="2363"/>
    </row>
    <row r="7" spans="1:29" ht="43.8" thickBot="1">
      <c r="A7" s="429"/>
      <c r="B7" s="1794" t="s">
        <v>2095</v>
      </c>
      <c r="C7" s="2371" t="s">
        <v>2096</v>
      </c>
      <c r="D7" s="2372"/>
      <c r="E7" s="2373"/>
      <c r="F7" s="2374" t="s">
        <v>2100</v>
      </c>
      <c r="G7" s="2375" t="s">
        <v>2101</v>
      </c>
      <c r="H7" s="2363"/>
      <c r="I7" s="2363"/>
      <c r="J7" s="2363"/>
      <c r="K7" s="2363"/>
      <c r="L7" s="2363"/>
      <c r="M7" s="2363"/>
      <c r="N7" s="2363"/>
      <c r="O7" s="2363"/>
      <c r="P7" s="2363"/>
      <c r="Q7" s="2363"/>
      <c r="R7" s="2363"/>
    </row>
    <row r="8" spans="1:29" ht="28.8">
      <c r="A8" s="429"/>
      <c r="B8" s="1794" t="s">
        <v>2098</v>
      </c>
      <c r="C8" s="2371" t="s">
        <v>2099</v>
      </c>
      <c r="D8" s="2372"/>
      <c r="E8" s="2372"/>
      <c r="F8" s="1132"/>
      <c r="G8" s="1132"/>
      <c r="H8" s="2363"/>
      <c r="I8" s="2363"/>
      <c r="J8" s="2363"/>
      <c r="K8" s="2363"/>
      <c r="L8" s="2363"/>
      <c r="M8" s="2363"/>
      <c r="N8" s="2363"/>
      <c r="O8" s="2363"/>
      <c r="P8" s="2363"/>
      <c r="Q8" s="2363"/>
      <c r="R8" s="2363"/>
    </row>
    <row r="9" spans="1:29" ht="43.2">
      <c r="A9" s="429"/>
      <c r="B9" s="1794" t="s">
        <v>2102</v>
      </c>
      <c r="C9" s="2369" t="s">
        <v>2103</v>
      </c>
      <c r="D9" s="2366"/>
      <c r="E9" s="2372"/>
      <c r="F9" s="1132"/>
      <c r="G9" s="1132"/>
      <c r="H9" s="2363"/>
      <c r="I9" s="2363"/>
      <c r="J9" s="2363"/>
      <c r="K9" s="2363"/>
      <c r="L9" s="2363"/>
      <c r="M9" s="2363"/>
      <c r="N9" s="2363"/>
      <c r="O9" s="2363"/>
      <c r="P9" s="2363"/>
      <c r="Q9" s="2363"/>
      <c r="R9" s="2363"/>
    </row>
    <row r="10" spans="1:29" s="115" customFormat="1" ht="15" thickBot="1">
      <c r="A10" s="2376"/>
      <c r="B10" s="2377" t="s">
        <v>2104</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2105</v>
      </c>
      <c r="B13" s="2383"/>
      <c r="C13" s="2383"/>
      <c r="D13" s="2390"/>
      <c r="E13" s="2383"/>
      <c r="F13" s="2383"/>
      <c r="G13" s="2383"/>
    </row>
    <row r="14" spans="1:29" ht="15" thickBot="1">
      <c r="A14" s="2394"/>
      <c r="B14" s="2395"/>
      <c r="C14" s="2396" t="s">
        <v>2106</v>
      </c>
      <c r="D14" s="2366"/>
      <c r="E14" s="2397"/>
      <c r="F14" s="2397"/>
      <c r="G14" s="2360" t="s">
        <v>2107</v>
      </c>
    </row>
    <row r="15" spans="1:29" ht="55.2">
      <c r="A15" s="67" t="s">
        <v>2108</v>
      </c>
      <c r="B15" s="1266" t="s">
        <v>2085</v>
      </c>
      <c r="C15" s="2398" t="str">
        <f>C3</f>
        <v>估价对象周边居住用地比例、居住小区规模和社区发展完善程度，综合评价居住社区成熟度一般</v>
      </c>
      <c r="D15" s="2366"/>
      <c r="E15" s="2399" t="s">
        <v>2109</v>
      </c>
      <c r="F15" s="1266" t="s">
        <v>2110</v>
      </c>
      <c r="G15" s="133" t="str">
        <f>G3</f>
        <v>估价对象位于XX开发区，园区建设成熟度XX，产业集聚程度XX</v>
      </c>
    </row>
    <row r="16" spans="1:29" ht="41.4">
      <c r="A16" s="643"/>
      <c r="B16" s="2400" t="s">
        <v>2089</v>
      </c>
      <c r="C16" s="2401" t="str">
        <f>C4</f>
        <v>估价对象位于XX商圈，周边商业氛围成熟，人流量大，商业繁华度好</v>
      </c>
      <c r="D16" s="2366"/>
      <c r="E16" s="2402"/>
      <c r="F16" s="2403" t="s">
        <v>2091</v>
      </c>
      <c r="G16" s="134" t="str">
        <f>G4</f>
        <v>估价对象周边道路状况、公共交通通达情况、停车便捷程度，综合评价交通便捷度较好</v>
      </c>
    </row>
    <row r="17" spans="1:18" ht="41.4">
      <c r="A17" s="643"/>
      <c r="B17" s="2400" t="s">
        <v>2093</v>
      </c>
      <c r="C17" s="2401" t="str">
        <f>C5</f>
        <v>估价对象位于XX商圈，周边办公楼项目较多，入驻率高，办公集聚程度较好</v>
      </c>
      <c r="D17" s="2372"/>
      <c r="E17" s="2402"/>
      <c r="F17" s="2403" t="s">
        <v>2111</v>
      </c>
      <c r="G17" s="1568"/>
    </row>
    <row r="18" spans="1:18" ht="55.2">
      <c r="A18" s="643"/>
      <c r="B18" s="2403" t="s">
        <v>2097</v>
      </c>
      <c r="C18" s="134" t="str">
        <f>C6</f>
        <v>估价对象周边道路状况、公共交通通达情况、停车便捷程度，综合评价交通便捷度较好</v>
      </c>
      <c r="D18" s="2372"/>
      <c r="E18" s="2402"/>
      <c r="F18" s="2403" t="s">
        <v>2100</v>
      </c>
      <c r="G18" s="134" t="str">
        <f>G7</f>
        <v>该园区内是否有污染型企业，绿化情况，卫生条件，整体环境状况判断</v>
      </c>
    </row>
    <row r="19" spans="1:18" ht="27.6">
      <c r="A19" s="643"/>
      <c r="B19" s="2403" t="s">
        <v>2112</v>
      </c>
      <c r="C19" s="1568"/>
      <c r="D19" s="2366"/>
      <c r="E19" s="2402"/>
      <c r="F19" s="1794" t="s">
        <v>2095</v>
      </c>
      <c r="G19" s="134" t="str">
        <f>G5</f>
        <v>估价对象所在区域公共配套设施齐备情况</v>
      </c>
    </row>
    <row r="20" spans="1:18" ht="41.4">
      <c r="A20" s="643"/>
      <c r="B20" s="2403" t="s">
        <v>2113</v>
      </c>
      <c r="C20" s="2401" t="str">
        <f>C9</f>
        <v>区域自然环境：；人文环境；综合评价环境状况一般</v>
      </c>
      <c r="D20" s="2372"/>
      <c r="E20" s="2402"/>
      <c r="F20" s="1794" t="s">
        <v>2114</v>
      </c>
      <c r="G20" s="134" t="str">
        <f>G6</f>
        <v>估价对象所在区域基础设施水平</v>
      </c>
    </row>
    <row r="21" spans="1:18" ht="27.6">
      <c r="A21" s="643"/>
      <c r="B21" s="1794" t="s">
        <v>2095</v>
      </c>
      <c r="C21" s="134" t="str">
        <f>C7</f>
        <v>估价对象所在区域公共配套设施齐备情况</v>
      </c>
      <c r="D21" s="2366"/>
      <c r="E21" s="2402"/>
      <c r="F21" s="2403" t="s">
        <v>2115</v>
      </c>
      <c r="G21" s="2404"/>
    </row>
    <row r="22" spans="1:18" ht="13.5" customHeight="1">
      <c r="A22" s="643"/>
      <c r="B22" s="1794" t="s">
        <v>2098</v>
      </c>
      <c r="C22" s="134" t="str">
        <f>C8</f>
        <v>估价对象所在区域基础设施水平</v>
      </c>
      <c r="D22" s="2366"/>
      <c r="E22" s="2402"/>
      <c r="F22" s="2403" t="s">
        <v>2104</v>
      </c>
      <c r="G22" s="1568"/>
    </row>
    <row r="23" spans="1:18" s="2363" customFormat="1" ht="15" thickBot="1">
      <c r="A23" s="643"/>
      <c r="B23" s="2403" t="s">
        <v>2115</v>
      </c>
      <c r="C23" s="2404"/>
      <c r="D23" s="2391"/>
      <c r="E23" s="2405"/>
      <c r="F23" s="2406" t="s">
        <v>2116</v>
      </c>
      <c r="G23" s="2407"/>
      <c r="H23" s="2391"/>
      <c r="I23" s="2392"/>
      <c r="J23" s="2391"/>
      <c r="K23" s="2391"/>
      <c r="L23" s="2392"/>
      <c r="M23" s="2391"/>
      <c r="N23" s="2391"/>
      <c r="O23" s="2392"/>
      <c r="P23" s="2391"/>
      <c r="Q23" s="2391"/>
      <c r="R23" s="2393"/>
    </row>
    <row r="24" spans="1:18" s="2363" customFormat="1" ht="15" thickBot="1">
      <c r="A24" s="2408"/>
      <c r="B24" s="2406" t="s">
        <v>2117</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B2" sqref="B2"/>
    </sheetView>
  </sheetViews>
  <sheetFormatPr defaultColWidth="9" defaultRowHeight="14.4"/>
  <cols>
    <col min="1" max="1" width="23.33203125" style="1737" customWidth="1"/>
    <col min="2" max="9" width="15.77734375" style="1737" customWidth="1"/>
    <col min="10" max="16384" width="9" style="1737"/>
  </cols>
  <sheetData>
    <row r="1" spans="1:10" ht="16.2">
      <c r="A1" s="1742" t="s">
        <v>1365</v>
      </c>
      <c r="B1" s="1742">
        <f>SUM(B14:B23)</f>
        <v>246484.93999999997</v>
      </c>
      <c r="C1" s="1741"/>
      <c r="D1" s="1741"/>
      <c r="E1" s="1741"/>
      <c r="F1" s="1741"/>
      <c r="G1" s="1739"/>
    </row>
    <row r="2" spans="1:10" ht="16.2">
      <c r="A2" s="1742" t="s">
        <v>1353</v>
      </c>
      <c r="B2" s="1742">
        <f>SUM(C14:C23)</f>
        <v>118499.12</v>
      </c>
      <c r="C2" s="1741"/>
      <c r="D2" s="1741"/>
      <c r="E2" s="1741"/>
      <c r="F2" s="1741"/>
      <c r="G2" s="1739"/>
    </row>
    <row r="3" spans="1:10" ht="15.6">
      <c r="A3" s="1742" t="s">
        <v>1362</v>
      </c>
      <c r="B3" s="1743">
        <f>项目基本情况!D3</f>
        <v>43424</v>
      </c>
      <c r="C3" s="1741"/>
      <c r="D3" s="1741"/>
      <c r="E3" s="1741"/>
      <c r="F3" s="1741"/>
      <c r="G3" s="1739"/>
    </row>
    <row r="4" spans="1:10" ht="31.2">
      <c r="A4" s="1742" t="s">
        <v>1361</v>
      </c>
      <c r="B4" s="1742" t="s">
        <v>1360</v>
      </c>
      <c r="C4" s="1742" t="s">
        <v>1359</v>
      </c>
      <c r="D4" s="1742" t="s">
        <v>1358</v>
      </c>
      <c r="E4" s="1741"/>
      <c r="F4" s="1739"/>
      <c r="G4" s="1739"/>
    </row>
    <row r="5" spans="1:10" ht="15.6">
      <c r="A5" s="1742" t="s">
        <v>1357</v>
      </c>
      <c r="B5" s="1742">
        <f ca="1">SUM(D14:D23)</f>
        <v>54176</v>
      </c>
      <c r="C5" s="1742">
        <f ca="1">ROUND(B5*10000/$B$1,0)</f>
        <v>2198</v>
      </c>
      <c r="D5" s="1742">
        <f ca="1">ROUND(B5*10000/$B$2,0)</f>
        <v>4572</v>
      </c>
      <c r="E5" s="1741"/>
      <c r="F5" s="1739"/>
      <c r="G5" s="1739"/>
    </row>
    <row r="6" spans="1:10" ht="15.6">
      <c r="A6" s="1742" t="s">
        <v>1356</v>
      </c>
      <c r="B6" s="1742">
        <f ca="1">SUM(G14:G23)</f>
        <v>53350</v>
      </c>
      <c r="C6" s="1742">
        <f ca="1">ROUND(B6*10000/$B$1,0)</f>
        <v>2164</v>
      </c>
      <c r="D6" s="1742">
        <f ca="1">ROUND(B6*10000/$B$2,0)</f>
        <v>4502</v>
      </c>
      <c r="E6" s="1741"/>
      <c r="F6" s="1739"/>
      <c r="G6" s="1739"/>
    </row>
    <row r="7" spans="1:10" ht="15.6">
      <c r="A7" s="1742" t="s">
        <v>1364</v>
      </c>
      <c r="B7" s="1742">
        <f>SUM(H14:H23)</f>
        <v>0</v>
      </c>
      <c r="C7" s="1742">
        <f>ROUND(B7*10000/$B$1,0)</f>
        <v>0</v>
      </c>
      <c r="D7" s="1742">
        <f>ROUND(B7*10000/$B$2,0)</f>
        <v>0</v>
      </c>
      <c r="E7" s="1741"/>
      <c r="F7" s="1739"/>
      <c r="G7" s="1739"/>
    </row>
    <row r="8" spans="1:10" ht="15.6">
      <c r="A8" s="1742" t="s">
        <v>1285</v>
      </c>
      <c r="B8" s="1742">
        <f>SUM(I14:I23)</f>
        <v>0</v>
      </c>
      <c r="C8" s="1742">
        <f>ROUND(B8*10000/$B$1,0)</f>
        <v>0</v>
      </c>
      <c r="D8" s="1742">
        <f>ROUND(B8*10000/$B$2,0)</f>
        <v>0</v>
      </c>
      <c r="E8" s="1741"/>
      <c r="F8" s="1739"/>
      <c r="G8" s="1739"/>
    </row>
    <row r="9" spans="1:10" ht="15.6">
      <c r="A9" s="1742" t="s">
        <v>1355</v>
      </c>
      <c r="B9" s="1744"/>
      <c r="C9" s="1741"/>
      <c r="D9" s="1741"/>
      <c r="E9" s="1741"/>
      <c r="F9" s="1739"/>
      <c r="G9" s="1739"/>
    </row>
    <row r="10" spans="1:10" ht="15.6">
      <c r="A10" s="1742" t="s">
        <v>1354</v>
      </c>
      <c r="B10" s="1744"/>
      <c r="C10" s="1741"/>
      <c r="D10" s="1741"/>
      <c r="E10" s="1741"/>
      <c r="F10" s="1739"/>
      <c r="G10" s="1739"/>
    </row>
    <row r="11" spans="1:10" ht="15.6">
      <c r="A11" s="1742" t="s">
        <v>1370</v>
      </c>
      <c r="B11" s="1744"/>
      <c r="C11" s="1741"/>
      <c r="D11" s="1741"/>
      <c r="E11" s="1741"/>
      <c r="F11" s="1739"/>
      <c r="G11" s="1739"/>
    </row>
    <row r="12" spans="1:10" ht="15.6">
      <c r="A12" s="1741"/>
      <c r="B12" s="1741"/>
      <c r="C12" s="1741"/>
      <c r="D12" s="1741"/>
      <c r="E12" s="1741"/>
      <c r="F12" s="1739"/>
      <c r="G12" s="1739"/>
    </row>
    <row r="13" spans="1:10" ht="31.8">
      <c r="A13" s="1747" t="s">
        <v>1369</v>
      </c>
      <c r="B13" s="1740" t="s">
        <v>1366</v>
      </c>
      <c r="C13" s="1740" t="s">
        <v>1368</v>
      </c>
      <c r="D13" s="1740" t="s">
        <v>1367</v>
      </c>
      <c r="E13" s="1742" t="s">
        <v>1359</v>
      </c>
      <c r="F13" s="1742" t="s">
        <v>1358</v>
      </c>
      <c r="G13" s="1740" t="s">
        <v>1352</v>
      </c>
      <c r="H13" s="1740" t="s">
        <v>1363</v>
      </c>
      <c r="I13" s="1740" t="s">
        <v>1351</v>
      </c>
      <c r="J13" s="1739"/>
    </row>
    <row r="14" spans="1:10" ht="15.6">
      <c r="A14" s="1738" t="s">
        <v>1350</v>
      </c>
      <c r="B14" s="1740">
        <f>结果表!B118</f>
        <v>103304.44</v>
      </c>
      <c r="C14" s="1740">
        <f>结果表!C118</f>
        <v>49664.23</v>
      </c>
      <c r="D14" s="1740">
        <f ca="1">结果表!H118</f>
        <v>36623</v>
      </c>
      <c r="E14" s="1740">
        <f ca="1">ROUND(D14*10000/B14,0)</f>
        <v>3545</v>
      </c>
      <c r="F14" s="1740">
        <f ca="1">ROUND(D14*10000/C14,0)</f>
        <v>7374</v>
      </c>
      <c r="G14" s="1740">
        <f ca="1">结果表!D122</f>
        <v>36376</v>
      </c>
      <c r="H14" s="1740" t="str">
        <f>结果表!D124</f>
        <v>——</v>
      </c>
      <c r="I14" s="1740" t="str">
        <f>结果表!D126</f>
        <v>——</v>
      </c>
      <c r="J14" s="1739"/>
    </row>
    <row r="15" spans="1:10" ht="15.6">
      <c r="A15" s="1738" t="s">
        <v>1349</v>
      </c>
      <c r="B15" s="1745">
        <f>[2]系统读取表!$B$14</f>
        <v>143180.49999999997</v>
      </c>
      <c r="C15" s="1745">
        <f>[2]系统读取表!$C$14</f>
        <v>68834.89</v>
      </c>
      <c r="D15" s="1745">
        <f ca="1">[2]系统读取表!$D$14</f>
        <v>17553</v>
      </c>
      <c r="E15" s="1740">
        <f t="shared" ref="E15:E23" ca="1" si="0">ROUND(D15*10000/B15,0)</f>
        <v>1226</v>
      </c>
      <c r="F15" s="1740">
        <f t="shared" ref="F15:F23" ca="1" si="1">ROUND(D15*10000/C15,0)</f>
        <v>2550</v>
      </c>
      <c r="G15" s="1746">
        <f ca="1">[2]系统读取表!$G$14</f>
        <v>16974</v>
      </c>
      <c r="H15" s="1746"/>
      <c r="I15" s="1745"/>
      <c r="J15" s="1739"/>
    </row>
    <row r="16" spans="1:10" ht="15.6">
      <c r="A16" s="1738" t="s">
        <v>1348</v>
      </c>
      <c r="B16" s="1745"/>
      <c r="C16" s="1745"/>
      <c r="D16" s="1745"/>
      <c r="E16" s="1740" t="e">
        <f t="shared" si="0"/>
        <v>#DIV/0!</v>
      </c>
      <c r="F16" s="1740" t="e">
        <f t="shared" si="1"/>
        <v>#DIV/0!</v>
      </c>
      <c r="G16" s="1746"/>
      <c r="H16" s="1746"/>
      <c r="I16" s="1745"/>
    </row>
    <row r="17" spans="1:9" ht="15.6">
      <c r="A17" s="1738" t="s">
        <v>1347</v>
      </c>
      <c r="B17" s="1745"/>
      <c r="C17" s="1745"/>
      <c r="D17" s="1745"/>
      <c r="E17" s="1740" t="e">
        <f t="shared" si="0"/>
        <v>#DIV/0!</v>
      </c>
      <c r="F17" s="1740" t="e">
        <f t="shared" si="1"/>
        <v>#DIV/0!</v>
      </c>
      <c r="G17" s="1746"/>
      <c r="H17" s="1746"/>
      <c r="I17" s="1745"/>
    </row>
    <row r="18" spans="1:9" ht="15.6">
      <c r="A18" s="1738" t="s">
        <v>1346</v>
      </c>
      <c r="B18" s="1745"/>
      <c r="C18" s="1745"/>
      <c r="D18" s="1745"/>
      <c r="E18" s="1740" t="e">
        <f t="shared" si="0"/>
        <v>#DIV/0!</v>
      </c>
      <c r="F18" s="1740" t="e">
        <f t="shared" si="1"/>
        <v>#DIV/0!</v>
      </c>
      <c r="G18" s="1745"/>
      <c r="H18" s="1745"/>
      <c r="I18" s="1745"/>
    </row>
    <row r="19" spans="1:9" ht="15.6">
      <c r="A19" s="1738" t="s">
        <v>1345</v>
      </c>
      <c r="B19" s="1745"/>
      <c r="C19" s="1745"/>
      <c r="D19" s="1745"/>
      <c r="E19" s="1740" t="e">
        <f t="shared" si="0"/>
        <v>#DIV/0!</v>
      </c>
      <c r="F19" s="1740" t="e">
        <f t="shared" si="1"/>
        <v>#DIV/0!</v>
      </c>
      <c r="G19" s="1745"/>
      <c r="H19" s="1745"/>
      <c r="I19" s="1745"/>
    </row>
    <row r="20" spans="1:9" ht="15.6">
      <c r="A20" s="1738" t="s">
        <v>1344</v>
      </c>
      <c r="B20" s="1745"/>
      <c r="C20" s="1745"/>
      <c r="D20" s="1745"/>
      <c r="E20" s="1740" t="e">
        <f t="shared" si="0"/>
        <v>#DIV/0!</v>
      </c>
      <c r="F20" s="1740" t="e">
        <f t="shared" si="1"/>
        <v>#DIV/0!</v>
      </c>
      <c r="G20" s="1745"/>
      <c r="H20" s="1745"/>
      <c r="I20" s="1745"/>
    </row>
    <row r="21" spans="1:9" ht="15.6">
      <c r="A21" s="1738" t="s">
        <v>1343</v>
      </c>
      <c r="B21" s="1745"/>
      <c r="C21" s="1745"/>
      <c r="D21" s="1745"/>
      <c r="E21" s="1740" t="e">
        <f t="shared" si="0"/>
        <v>#DIV/0!</v>
      </c>
      <c r="F21" s="1740" t="e">
        <f t="shared" si="1"/>
        <v>#DIV/0!</v>
      </c>
      <c r="G21" s="1745"/>
      <c r="H21" s="1745"/>
      <c r="I21" s="1745"/>
    </row>
    <row r="22" spans="1:9" ht="15.6">
      <c r="A22" s="1738" t="s">
        <v>1342</v>
      </c>
      <c r="B22" s="1745"/>
      <c r="C22" s="1745"/>
      <c r="D22" s="1745"/>
      <c r="E22" s="1740" t="e">
        <f t="shared" si="0"/>
        <v>#DIV/0!</v>
      </c>
      <c r="F22" s="1740" t="e">
        <f t="shared" si="1"/>
        <v>#DIV/0!</v>
      </c>
      <c r="G22" s="1745"/>
      <c r="H22" s="1745"/>
      <c r="I22" s="1745"/>
    </row>
    <row r="23" spans="1:9" ht="15.6">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0" zoomScaleNormal="100" zoomScaleSheetLayoutView="100" zoomScalePageLayoutView="80" workbookViewId="0">
      <selection activeCell="D120" sqref="D120:I120"/>
    </sheetView>
  </sheetViews>
  <sheetFormatPr defaultColWidth="12.6640625" defaultRowHeight="21.75" customHeight="1"/>
  <cols>
    <col min="1" max="2" width="12.6640625" style="2420"/>
    <col min="3" max="4" width="12.6640625" style="2420" customWidth="1"/>
    <col min="5" max="9" width="12.6640625" style="2420"/>
    <col min="10" max="11" width="12.6640625" style="792" customWidth="1"/>
    <col min="12" max="12" width="12.6640625" style="792"/>
    <col min="13" max="13" width="14.109375" style="792" bestFit="1" customWidth="1"/>
    <col min="14" max="26" width="12.6640625" style="792"/>
    <col min="27" max="35" width="12.6640625" style="2419"/>
    <col min="36" max="16384" width="12.6640625" style="2420"/>
  </cols>
  <sheetData>
    <row r="1" spans="1:12" ht="21.75" customHeight="1" thickBot="1">
      <c r="A1" s="2221" t="s">
        <v>2118</v>
      </c>
      <c r="B1" s="2414"/>
      <c r="C1" s="2415"/>
      <c r="D1" s="2414"/>
      <c r="E1" s="2414"/>
      <c r="F1" s="2416" t="s">
        <v>2119</v>
      </c>
      <c r="G1" s="2067" t="s">
        <v>2120</v>
      </c>
      <c r="H1" s="2417" t="str">
        <f>IF(G1="现房","——","估价对象范围")</f>
        <v>估价对象范围</v>
      </c>
      <c r="I1" s="2418"/>
    </row>
    <row r="2" spans="1:12" ht="21.75" customHeight="1" thickBot="1">
      <c r="A2" s="3477" t="str">
        <f>项目基本情况!S2</f>
        <v>北京市房山区琉璃河镇中心区E-07地块1#综合厂房等3项、2#厂房等18项（中粮科技园标准厂房及配套附属设施建设项目）出让国有建设用地使用权及在建建筑物房地产</v>
      </c>
      <c r="B2" s="3478"/>
      <c r="C2" s="3478"/>
      <c r="D2" s="3478"/>
      <c r="E2" s="3478"/>
      <c r="F2" s="3478"/>
      <c r="G2" s="3478"/>
      <c r="H2" s="3478"/>
      <c r="I2" s="3479"/>
    </row>
    <row r="3" spans="1:12" ht="13.2">
      <c r="A3" s="3481" t="s">
        <v>2121</v>
      </c>
      <c r="B3" s="3482"/>
      <c r="C3" s="3482"/>
      <c r="D3" s="3482"/>
      <c r="E3" s="3482"/>
      <c r="F3" s="3482"/>
      <c r="G3" s="3482"/>
      <c r="H3" s="3482"/>
      <c r="I3" s="3482"/>
    </row>
    <row r="4" spans="1:12" ht="14.4">
      <c r="A4" s="2421" t="s">
        <v>2122</v>
      </c>
      <c r="B4" s="2422" t="s">
        <v>2123</v>
      </c>
      <c r="C4" s="2423" t="s">
        <v>3136</v>
      </c>
      <c r="D4" s="2423" t="s">
        <v>3137</v>
      </c>
      <c r="E4" s="3474" t="s">
        <v>2124</v>
      </c>
      <c r="F4" s="3475"/>
      <c r="G4" s="3475"/>
      <c r="H4" s="3475"/>
      <c r="I4" s="3483"/>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3.2">
      <c r="A5" s="3457" t="s">
        <v>2125</v>
      </c>
      <c r="B5" s="3390">
        <v>25</v>
      </c>
      <c r="C5" s="3460"/>
      <c r="D5" s="3480"/>
      <c r="E5" s="138" t="s">
        <v>2126</v>
      </c>
      <c r="F5" s="2425"/>
      <c r="G5" s="2425"/>
      <c r="H5" s="2425"/>
      <c r="I5" s="1830"/>
    </row>
    <row r="6" spans="1:12" ht="13.2">
      <c r="A6" s="3457"/>
      <c r="B6" s="3390"/>
      <c r="C6" s="3461"/>
      <c r="D6" s="3480"/>
      <c r="E6" s="138" t="s">
        <v>2127</v>
      </c>
      <c r="F6" s="2425"/>
      <c r="G6" s="2425"/>
      <c r="H6" s="2425"/>
      <c r="I6" s="1830"/>
    </row>
    <row r="7" spans="1:12" ht="13.2">
      <c r="A7" s="3457"/>
      <c r="B7" s="3390"/>
      <c r="C7" s="3462"/>
      <c r="D7" s="3480"/>
      <c r="E7" s="138" t="s">
        <v>2128</v>
      </c>
      <c r="F7" s="2425"/>
      <c r="G7" s="2425"/>
      <c r="H7" s="2425"/>
      <c r="I7" s="1830"/>
    </row>
    <row r="8" spans="1:12" ht="13.2">
      <c r="A8" s="3457" t="s">
        <v>2129</v>
      </c>
      <c r="B8" s="3390">
        <v>15</v>
      </c>
      <c r="C8" s="3460"/>
      <c r="D8" s="3480"/>
      <c r="E8" s="138" t="s">
        <v>2130</v>
      </c>
      <c r="F8" s="2425"/>
      <c r="G8" s="2425"/>
      <c r="H8" s="2425"/>
      <c r="I8" s="1830"/>
    </row>
    <row r="9" spans="1:12" ht="13.2">
      <c r="A9" s="3457"/>
      <c r="B9" s="3390"/>
      <c r="C9" s="3462"/>
      <c r="D9" s="3480"/>
      <c r="E9" s="138" t="s">
        <v>2131</v>
      </c>
      <c r="F9" s="2425"/>
      <c r="G9" s="2425"/>
      <c r="H9" s="2425"/>
      <c r="I9" s="1830"/>
    </row>
    <row r="10" spans="1:12" ht="13.2">
      <c r="A10" s="3457" t="s">
        <v>2132</v>
      </c>
      <c r="B10" s="3390">
        <v>15</v>
      </c>
      <c r="C10" s="3460"/>
      <c r="D10" s="3480"/>
      <c r="E10" s="138" t="s">
        <v>2133</v>
      </c>
      <c r="F10" s="2425"/>
      <c r="G10" s="2425"/>
      <c r="H10" s="2425"/>
      <c r="I10" s="1830"/>
    </row>
    <row r="11" spans="1:12" ht="13.2">
      <c r="A11" s="3457"/>
      <c r="B11" s="3390"/>
      <c r="C11" s="3462"/>
      <c r="D11" s="3480"/>
      <c r="E11" s="138" t="s">
        <v>2134</v>
      </c>
      <c r="F11" s="2425"/>
      <c r="G11" s="2425"/>
      <c r="H11" s="2425"/>
      <c r="I11" s="1830"/>
    </row>
    <row r="12" spans="1:12" ht="13.2">
      <c r="A12" s="3457" t="s">
        <v>2135</v>
      </c>
      <c r="B12" s="3390">
        <v>15</v>
      </c>
      <c r="C12" s="3460"/>
      <c r="D12" s="3480"/>
      <c r="E12" s="138" t="s">
        <v>2136</v>
      </c>
      <c r="F12" s="2425"/>
      <c r="G12" s="2425"/>
      <c r="H12" s="2425"/>
      <c r="I12" s="1830"/>
    </row>
    <row r="13" spans="1:12" ht="13.2">
      <c r="A13" s="3457"/>
      <c r="B13" s="3390"/>
      <c r="C13" s="3462"/>
      <c r="D13" s="3480"/>
      <c r="E13" s="138" t="s">
        <v>2137</v>
      </c>
      <c r="F13" s="2425"/>
      <c r="G13" s="2425"/>
      <c r="H13" s="2425"/>
      <c r="I13" s="1830"/>
    </row>
    <row r="14" spans="1:12" ht="13.2">
      <c r="A14" s="3457" t="s">
        <v>2138</v>
      </c>
      <c r="B14" s="3390">
        <v>30</v>
      </c>
      <c r="C14" s="3460">
        <v>5</v>
      </c>
      <c r="D14" s="3480">
        <v>5</v>
      </c>
      <c r="E14" s="138" t="s">
        <v>2139</v>
      </c>
      <c r="F14" s="2425"/>
      <c r="G14" s="2425"/>
      <c r="H14" s="2425"/>
      <c r="I14" s="1830"/>
    </row>
    <row r="15" spans="1:12" ht="13.2">
      <c r="A15" s="3457"/>
      <c r="B15" s="3390"/>
      <c r="C15" s="3461"/>
      <c r="D15" s="3480"/>
      <c r="E15" s="138" t="s">
        <v>2140</v>
      </c>
      <c r="F15" s="2425"/>
      <c r="G15" s="2425"/>
      <c r="H15" s="2425"/>
      <c r="I15" s="1830"/>
    </row>
    <row r="16" spans="1:12" ht="13.2">
      <c r="A16" s="3457"/>
      <c r="B16" s="3390"/>
      <c r="C16" s="3462"/>
      <c r="D16" s="3480"/>
      <c r="E16" s="138" t="s">
        <v>2141</v>
      </c>
      <c r="F16" s="2425"/>
      <c r="G16" s="2425"/>
      <c r="H16" s="2425"/>
      <c r="I16" s="1830"/>
    </row>
    <row r="17" spans="1:35" ht="14.4">
      <c r="A17" s="2426" t="s">
        <v>2142</v>
      </c>
      <c r="B17" s="63"/>
      <c r="C17" s="139">
        <f>SUM(C5:C16)</f>
        <v>5</v>
      </c>
      <c r="D17" s="139">
        <f>SUM(D5:D16)</f>
        <v>5</v>
      </c>
      <c r="E17" s="136"/>
      <c r="F17" s="136"/>
      <c r="G17" s="136"/>
      <c r="H17" s="136"/>
      <c r="I17" s="136"/>
      <c r="K17" s="2424"/>
      <c r="L17" s="2427" t="s">
        <v>2143</v>
      </c>
      <c r="M17" s="2427" t="s">
        <v>2144</v>
      </c>
    </row>
    <row r="18" spans="1:35" ht="15" thickBot="1">
      <c r="A18" s="2428" t="s">
        <v>2145</v>
      </c>
      <c r="B18" s="2429"/>
      <c r="C18" s="140">
        <f>ROUND(C17/SUM(C17:D17),2)</f>
        <v>0.5</v>
      </c>
      <c r="D18" s="140">
        <f>1-C18</f>
        <v>0.5</v>
      </c>
      <c r="E18" s="136"/>
      <c r="F18" s="136"/>
      <c r="G18" s="136"/>
      <c r="H18" s="136"/>
      <c r="I18" s="136"/>
      <c r="K18" s="2424" t="s">
        <v>2146</v>
      </c>
      <c r="L18" s="2424">
        <f>IF(C1="",'数据-汇总表'!E3,SUMIF(项目类型,C1,'数据-汇总表'!E17:E26)+SUMIF(项目类型,C1,'数据-汇总表'!I17:I26))</f>
        <v>103304.44</v>
      </c>
      <c r="M18" s="2424">
        <f>IF(C1="",'数据-汇总表'!E3,SUMIF(项目类型,C1,'数据-汇总表'!E17:E26))</f>
        <v>103304.44</v>
      </c>
    </row>
    <row r="19" spans="1:35" ht="14.4">
      <c r="A19" s="2430" t="s">
        <v>2147</v>
      </c>
      <c r="B19" s="2431" t="s">
        <v>2148</v>
      </c>
      <c r="C19" s="141">
        <f ca="1">SUMIF(INDIRECT("'"&amp;C4&amp;"'"&amp;"!A:A"),结果表!B19,INDIRECT("'"&amp;C4&amp;"'"&amp;"!B:B"))</f>
        <v>35577</v>
      </c>
      <c r="D19" s="142">
        <f ca="1">SUMIF(INDIRECT("'"&amp;D4&amp;"'"&amp;"!A:A"),结果表!B19,INDIRECT("'"&amp;D4&amp;"'"&amp;"!B:B"))</f>
        <v>37669</v>
      </c>
      <c r="E19" s="2430" t="s">
        <v>2149</v>
      </c>
      <c r="F19" s="2431" t="s">
        <v>2148</v>
      </c>
      <c r="G19" s="143">
        <f ca="1">ROUND(C19*$C$18+D19*$D$18,0)</f>
        <v>36623</v>
      </c>
      <c r="H19" s="2432" t="s">
        <v>2150</v>
      </c>
      <c r="I19" s="136"/>
      <c r="K19" s="2424" t="s">
        <v>2151</v>
      </c>
      <c r="L19" s="2424">
        <f>IF(C1="",'数据-汇总表'!D3,SUMIF(项目类型,C1,'数据-汇总表'!D17:D26)+SUMIF(项目类型,C1,'数据-汇总表'!H17:H27))</f>
        <v>49664.23</v>
      </c>
      <c r="M19" s="2424">
        <f>IF(C1="",'数据-汇总表'!D3,SUMIF(项目类型,C1,'数据-汇总表'!D17:D26))</f>
        <v>49664.23</v>
      </c>
    </row>
    <row r="20" spans="1:35" ht="14.4">
      <c r="A20" s="2433"/>
      <c r="B20" s="1246" t="s">
        <v>2152</v>
      </c>
      <c r="C20" s="144">
        <f ca="1">SUMIF(INDIRECT("'"&amp;C4&amp;"'"&amp;"!A:A"),结果表!B20,INDIRECT("'"&amp;C4&amp;"'"&amp;"!B:B"))</f>
        <v>3444</v>
      </c>
      <c r="D20" s="145">
        <f ca="1">SUMIF(INDIRECT("'"&amp;D4&amp;"'"&amp;"!A:A"),结果表!B20,INDIRECT("'"&amp;D4&amp;"'"&amp;"!B:B"))</f>
        <v>3646</v>
      </c>
      <c r="E20" s="2433"/>
      <c r="F20" s="1246" t="s">
        <v>2152</v>
      </c>
      <c r="G20" s="146">
        <f ca="1">ROUND(C20*$C$18+D20*$D$18,0)</f>
        <v>3545</v>
      </c>
      <c r="H20" s="979" t="s">
        <v>2153</v>
      </c>
      <c r="I20" s="136"/>
    </row>
    <row r="21" spans="1:35" ht="15" customHeight="1" thickBot="1">
      <c r="A21" s="999"/>
      <c r="B21" s="2434" t="s">
        <v>2154</v>
      </c>
      <c r="C21" s="786">
        <f ca="1">ROUND(C19*10000/L19,0)</f>
        <v>7164</v>
      </c>
      <c r="D21" s="787">
        <f ca="1">ROUND(D19*10000/L19,0)</f>
        <v>7585</v>
      </c>
      <c r="E21" s="999"/>
      <c r="F21" s="2434" t="s">
        <v>2154</v>
      </c>
      <c r="G21" s="147">
        <f ca="1">ROUND(G19*10000/L19,0)</f>
        <v>7374</v>
      </c>
      <c r="H21" s="2435" t="s">
        <v>2153</v>
      </c>
      <c r="I21" s="136"/>
    </row>
    <row r="22" spans="1:35" ht="15" thickBot="1">
      <c r="A22" s="2276" t="s">
        <v>2155</v>
      </c>
      <c r="B22" s="2436"/>
      <c r="C22" s="2437"/>
      <c r="D22" s="788">
        <f ca="1">IF(C19&lt;D19,D19/C19-1,C19/D19-1)</f>
        <v>5.8802035022627042E-2</v>
      </c>
      <c r="E22" s="136"/>
      <c r="F22" s="136"/>
      <c r="G22" s="136"/>
      <c r="H22" s="136"/>
      <c r="I22" s="136"/>
    </row>
    <row r="23" spans="1:35" ht="13.8" thickBot="1">
      <c r="A23" s="2414"/>
      <c r="B23" s="2414"/>
      <c r="C23" s="2414"/>
      <c r="D23" s="2414"/>
      <c r="E23" s="136"/>
      <c r="F23" s="136"/>
      <c r="G23" s="136"/>
      <c r="H23" s="136"/>
      <c r="I23" s="136"/>
    </row>
    <row r="24" spans="1:35" ht="14.4">
      <c r="A24" s="3451" t="s">
        <v>2156</v>
      </c>
      <c r="B24" s="2431" t="s">
        <v>2148</v>
      </c>
      <c r="C24" s="143">
        <f>IF(B30=0,0,D30)</f>
        <v>0</v>
      </c>
      <c r="D24" s="2438"/>
      <c r="E24" s="136"/>
      <c r="F24" s="136"/>
      <c r="G24" s="136"/>
      <c r="H24" s="136"/>
      <c r="I24" s="136"/>
    </row>
    <row r="25" spans="1:35" ht="14.4">
      <c r="A25" s="3452"/>
      <c r="B25" s="1246" t="s">
        <v>2152</v>
      </c>
      <c r="C25" s="148">
        <f>IF(B30=0,0,C30)</f>
        <v>0</v>
      </c>
      <c r="D25" s="2439"/>
      <c r="E25" s="136"/>
      <c r="F25" s="136"/>
      <c r="G25" s="136"/>
      <c r="H25" s="136"/>
      <c r="I25" s="136"/>
    </row>
    <row r="26" spans="1:35" ht="13.5" customHeight="1">
      <c r="A26" s="2440" t="s">
        <v>2157</v>
      </c>
      <c r="B26" s="149" t="s">
        <v>2158</v>
      </c>
      <c r="C26" s="149" t="s">
        <v>2159</v>
      </c>
      <c r="D26" s="150" t="s">
        <v>2160</v>
      </c>
      <c r="E26" s="136"/>
      <c r="F26" s="136"/>
      <c r="G26" s="136"/>
      <c r="H26" s="136"/>
      <c r="I26" s="136"/>
    </row>
    <row r="27" spans="1:35" ht="13.8">
      <c r="A27" s="2440"/>
      <c r="B27" s="149">
        <v>0</v>
      </c>
      <c r="C27" s="149">
        <v>0</v>
      </c>
      <c r="D27" s="150">
        <f>ROUND(C27*B27/10000,0)</f>
        <v>0</v>
      </c>
      <c r="E27" s="136"/>
      <c r="F27" s="136"/>
      <c r="G27" s="136"/>
      <c r="H27" s="136"/>
      <c r="I27" s="136"/>
    </row>
    <row r="28" spans="1:35" ht="13.8">
      <c r="A28" s="2440"/>
      <c r="B28" s="149"/>
      <c r="C28" s="149"/>
      <c r="D28" s="150"/>
      <c r="E28" s="136"/>
      <c r="F28" s="136"/>
      <c r="G28" s="136"/>
      <c r="H28" s="136"/>
      <c r="I28" s="136"/>
    </row>
    <row r="29" spans="1:35" ht="13.8">
      <c r="A29" s="2440"/>
      <c r="B29" s="149"/>
      <c r="C29" s="149"/>
      <c r="D29" s="150"/>
      <c r="E29" s="136"/>
      <c r="F29" s="136"/>
      <c r="G29" s="136"/>
      <c r="H29" s="136"/>
      <c r="I29" s="136"/>
    </row>
    <row r="30" spans="1:35" ht="14.4">
      <c r="A30" s="149" t="s">
        <v>2161</v>
      </c>
      <c r="B30" s="149"/>
      <c r="C30" s="149"/>
      <c r="D30" s="149"/>
      <c r="E30" s="2923" t="s">
        <v>3035</v>
      </c>
      <c r="F30" s="136"/>
      <c r="G30" s="136"/>
      <c r="H30" s="136"/>
      <c r="I30" s="136"/>
    </row>
    <row r="31" spans="1:35" s="2442" customFormat="1" ht="14.4" thickBot="1">
      <c r="A31" s="2441"/>
      <c r="B31" s="2441"/>
      <c r="C31" s="2441"/>
      <c r="D31" s="2441"/>
      <c r="E31" s="136"/>
      <c r="F31" s="136"/>
      <c r="G31" s="136"/>
      <c r="H31" s="136"/>
      <c r="I31" s="136"/>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 thickBot="1">
      <c r="A32" s="2443" t="s">
        <v>2162</v>
      </c>
      <c r="B32" s="2444"/>
      <c r="C32" s="151">
        <f ca="1">IF(D32="总价",G19-C24,G20-C25)</f>
        <v>36623</v>
      </c>
      <c r="D32" s="2445" t="s">
        <v>2163</v>
      </c>
      <c r="E32" s="136"/>
      <c r="F32" s="136"/>
      <c r="G32" s="136"/>
      <c r="H32" s="136"/>
      <c r="I32" s="136"/>
    </row>
    <row r="33" spans="1:15" ht="14.4">
      <c r="A33" s="956" t="s">
        <v>2164</v>
      </c>
      <c r="B33" s="2446"/>
      <c r="C33" s="2447" t="s">
        <v>3142</v>
      </c>
      <c r="D33" s="2448" t="s">
        <v>3136</v>
      </c>
      <c r="E33" s="2449" t="s">
        <v>2165</v>
      </c>
      <c r="F33" s="2450" t="str">
        <f>IF(D32="楼面单价","取值（单价）","取值（总价）")</f>
        <v>取值（总价）</v>
      </c>
      <c r="G33" s="136"/>
      <c r="H33" s="136"/>
      <c r="I33" s="136"/>
    </row>
    <row r="34" spans="1:15" ht="14.4">
      <c r="A34" s="2451"/>
      <c r="B34" s="2452" t="s">
        <v>2166</v>
      </c>
      <c r="C34" s="155">
        <f ca="1">IF(C33="自定义",F34,C32-C35)</f>
        <v>12232</v>
      </c>
      <c r="D34" s="1054">
        <f ca="1">IF(C33="自定义",ROUND(C34/C32,3),IF(C33="收益比率",SUMIF(INDIRECT("'"&amp;D33&amp;"'"&amp;"!b:b"),"土地收益比率",INDIRECT("'"&amp;D33&amp;"'"&amp;"!c:c")),SUMIF(INDIRECT("'"&amp;D33&amp;"'"&amp;"!b:b"),"土地成本比率",INDIRECT("'"&amp;D33&amp;"'"&amp;"!c:c"))))</f>
        <v>0.33399999999999996</v>
      </c>
      <c r="E34" s="2453" t="s">
        <v>2167</v>
      </c>
      <c r="F34" s="1735"/>
      <c r="G34" s="136"/>
      <c r="H34" s="136"/>
      <c r="I34" s="136"/>
    </row>
    <row r="35" spans="1:15" ht="15" thickBot="1">
      <c r="A35" s="2454"/>
      <c r="B35" s="2455" t="s">
        <v>2168</v>
      </c>
      <c r="C35" s="1440">
        <f ca="1">IF(C33="自定义",F35,ROUND(C32*D35,0))</f>
        <v>24391</v>
      </c>
      <c r="D35" s="1441">
        <f ca="1">IF(C33="自定义",ROUND(C35/C32,3),IF(C33="收益比率",SUMIF(INDIRECT("'"&amp;D33&amp;"'"&amp;"!b:b"),"建筑物收益比率",INDIRECT("'"&amp;D33&amp;"'"&amp;"!c:c")),SUMIF(INDIRECT("'"&amp;D33&amp;"'"&amp;"!b:b"),"建筑物成本比率",INDIRECT("'"&amp;D33&amp;"'"&amp;"!c:c"))))</f>
        <v>0.66600000000000004</v>
      </c>
      <c r="E35" s="2456" t="s">
        <v>2169</v>
      </c>
      <c r="F35" s="161"/>
      <c r="G35" s="136"/>
      <c r="H35" s="136"/>
      <c r="I35" s="136"/>
    </row>
    <row r="36" spans="1:15" ht="15" thickBot="1">
      <c r="A36" s="3469" t="s">
        <v>2170</v>
      </c>
      <c r="B36" s="2457" t="s">
        <v>2171</v>
      </c>
      <c r="C36" s="152"/>
      <c r="D36" s="2458" t="s">
        <v>3157</v>
      </c>
      <c r="E36" s="2459"/>
      <c r="F36" s="2460"/>
      <c r="G36" s="136"/>
      <c r="H36" s="136"/>
      <c r="I36" s="136"/>
    </row>
    <row r="37" spans="1:15" ht="15" thickBot="1">
      <c r="A37" s="3470"/>
      <c r="B37" s="2262" t="s">
        <v>2172</v>
      </c>
      <c r="C37" s="154"/>
      <c r="D37" s="1391"/>
      <c r="E37" s="1391"/>
      <c r="F37" s="2460"/>
      <c r="G37" s="136"/>
      <c r="H37" s="136"/>
      <c r="I37" s="136"/>
    </row>
    <row r="38" spans="1:15" ht="15" thickBot="1">
      <c r="A38" s="3471"/>
      <c r="B38" s="2461" t="s">
        <v>2173</v>
      </c>
      <c r="C38" s="724">
        <f>面积!N32</f>
        <v>247</v>
      </c>
      <c r="D38" s="2462" t="s">
        <v>2174</v>
      </c>
      <c r="E38" s="1391"/>
      <c r="F38" s="2460"/>
      <c r="G38" s="136"/>
      <c r="H38" s="136"/>
      <c r="I38" s="136"/>
    </row>
    <row r="39" spans="1:15" ht="14.4">
      <c r="A39" s="2433" t="s">
        <v>2175</v>
      </c>
      <c r="B39" s="2463" t="s">
        <v>2176</v>
      </c>
      <c r="C39" s="2464" t="s">
        <v>2177</v>
      </c>
      <c r="D39" s="2464" t="s">
        <v>2178</v>
      </c>
      <c r="E39" s="2465" t="s">
        <v>2179</v>
      </c>
      <c r="F39" s="2460"/>
      <c r="G39" s="136"/>
      <c r="H39" s="136"/>
      <c r="I39" s="136"/>
    </row>
    <row r="40" spans="1:15" ht="13.8">
      <c r="A40" s="2466" t="s">
        <v>2180</v>
      </c>
      <c r="B40" s="156"/>
      <c r="C40" s="157"/>
      <c r="D40" s="157"/>
      <c r="E40" s="158"/>
      <c r="F40" s="2460"/>
      <c r="G40" s="136"/>
      <c r="H40" s="136"/>
      <c r="I40" s="136"/>
    </row>
    <row r="41" spans="1:15" ht="13.8">
      <c r="A41" s="2466" t="s">
        <v>2181</v>
      </c>
      <c r="B41" s="156"/>
      <c r="C41" s="157"/>
      <c r="D41" s="157"/>
      <c r="E41" s="158"/>
      <c r="F41" s="2460"/>
      <c r="G41" s="136"/>
      <c r="H41" s="136"/>
      <c r="I41" s="136"/>
    </row>
    <row r="42" spans="1:15" ht="14.4" thickBot="1">
      <c r="A42" s="2467"/>
      <c r="B42" s="159"/>
      <c r="C42" s="160"/>
      <c r="D42" s="160"/>
      <c r="E42" s="161"/>
      <c r="F42" s="2460"/>
      <c r="G42" s="136"/>
      <c r="H42" s="136"/>
      <c r="I42" s="136"/>
    </row>
    <row r="43" spans="1:15" ht="13.2">
      <c r="A43" s="2161"/>
      <c r="B43" s="2161"/>
      <c r="C43" s="2161"/>
      <c r="D43" s="2161"/>
      <c r="E43" s="2161"/>
      <c r="F43" s="2468"/>
      <c r="G43" s="2468"/>
      <c r="H43" s="2468"/>
      <c r="I43" s="2469"/>
    </row>
    <row r="44" spans="1:15" ht="17.399999999999999">
      <c r="A44" s="2470" t="s">
        <v>2182</v>
      </c>
      <c r="B44" s="2471"/>
      <c r="C44" s="2471"/>
      <c r="D44" s="2472"/>
      <c r="E44" s="2472"/>
      <c r="F44" s="2473"/>
      <c r="G44" s="2473"/>
      <c r="H44" s="2473"/>
      <c r="I44" s="2473"/>
      <c r="J44" s="2474" t="s">
        <v>2183</v>
      </c>
      <c r="K44" s="2475"/>
      <c r="L44" s="2475"/>
      <c r="M44" s="2475"/>
      <c r="N44" s="2475"/>
      <c r="O44" s="2475"/>
    </row>
    <row r="45" spans="1:15" ht="14.25" customHeight="1" thickBot="1">
      <c r="A45" s="3448" t="s">
        <v>2184</v>
      </c>
      <c r="B45" s="3449"/>
      <c r="C45" s="3450"/>
      <c r="D45" s="162">
        <f ca="1">ROUND(H101*F45,0)</f>
        <v>36623</v>
      </c>
      <c r="E45" s="163" t="s">
        <v>2185</v>
      </c>
      <c r="F45" s="164">
        <v>1</v>
      </c>
      <c r="G45" s="165" t="s">
        <v>2186</v>
      </c>
      <c r="H45" s="136"/>
      <c r="I45" s="136"/>
      <c r="J45" s="3508" t="s">
        <v>2187</v>
      </c>
      <c r="K45" s="3508"/>
      <c r="L45" s="3508"/>
      <c r="M45" s="3508"/>
      <c r="N45" s="3508"/>
      <c r="O45" s="3508"/>
    </row>
    <row r="46" spans="1:15" ht="14.25" customHeight="1">
      <c r="A46" s="3445" t="s">
        <v>2188</v>
      </c>
      <c r="B46" s="3446"/>
      <c r="C46" s="3446"/>
      <c r="D46" s="3446"/>
      <c r="E46" s="3446"/>
      <c r="F46" s="3446"/>
      <c r="G46" s="3447"/>
      <c r="H46" s="2476"/>
      <c r="I46" s="166"/>
      <c r="J46" s="1808">
        <v>1</v>
      </c>
      <c r="K46" s="3508" t="s">
        <v>2189</v>
      </c>
      <c r="L46" s="3508"/>
      <c r="M46" s="3528"/>
      <c r="N46" s="3528"/>
      <c r="O46" s="3528"/>
    </row>
    <row r="47" spans="1:15" ht="12" customHeight="1">
      <c r="A47" s="167" t="s">
        <v>2190</v>
      </c>
      <c r="B47" s="168"/>
      <c r="C47" s="169"/>
      <c r="D47" s="170" t="s">
        <v>2191</v>
      </c>
      <c r="E47" s="23" t="s">
        <v>2192</v>
      </c>
      <c r="F47" s="171" t="s">
        <v>2193</v>
      </c>
      <c r="G47" s="172" t="s">
        <v>2194</v>
      </c>
      <c r="H47" s="2476"/>
      <c r="I47" s="166"/>
      <c r="J47" s="1808">
        <v>2</v>
      </c>
      <c r="K47" s="3508" t="s">
        <v>2195</v>
      </c>
      <c r="L47" s="3508"/>
      <c r="M47" s="3529">
        <f>'数据-取费表'!B2</f>
        <v>43424</v>
      </c>
      <c r="N47" s="3529"/>
      <c r="O47" s="3529"/>
    </row>
    <row r="48" spans="1:15" ht="26.4">
      <c r="A48" s="3476" t="s">
        <v>2196</v>
      </c>
      <c r="B48" s="3459"/>
      <c r="C48" s="3459"/>
      <c r="D48" s="138">
        <f>IF(H48="情况1",0,IF(H48="情况2",D52,IF(H48="情况3",D53,IF(H48="情况4",D54))))</f>
        <v>0</v>
      </c>
      <c r="E48" s="1797" t="str">
        <f>IF(H48="情况4","(销售额-原购置价)×税（费）率","销售额×税（费）率")</f>
        <v>销售额×税（费）率</v>
      </c>
      <c r="F48" s="173" t="str">
        <f>IF(H48="情况1","免征",'数据-取费表'!B41)</f>
        <v>免征</v>
      </c>
      <c r="G48" s="2477" t="s">
        <v>2197</v>
      </c>
      <c r="H48" s="2478" t="s">
        <v>2198</v>
      </c>
      <c r="I48" s="2476"/>
      <c r="J48" s="1808">
        <v>3</v>
      </c>
      <c r="K48" s="3508" t="s">
        <v>2199</v>
      </c>
      <c r="L48" s="3508"/>
      <c r="M48" s="3530">
        <f ca="1">H101</f>
        <v>36623</v>
      </c>
      <c r="N48" s="3530"/>
      <c r="O48" s="3530"/>
    </row>
    <row r="49" spans="1:35" ht="25.5" customHeight="1">
      <c r="A49" s="174" t="s">
        <v>2200</v>
      </c>
      <c r="B49" s="3444" t="s">
        <v>2201</v>
      </c>
      <c r="C49" s="3444"/>
      <c r="D49" s="175">
        <v>0</v>
      </c>
      <c r="E49" s="22" t="s">
        <v>2202</v>
      </c>
      <c r="F49" s="27" t="s">
        <v>34</v>
      </c>
      <c r="G49" s="3514"/>
      <c r="H49" s="136"/>
      <c r="I49" s="2479"/>
      <c r="J49" s="1808">
        <v>4</v>
      </c>
      <c r="K49" s="3508" t="str">
        <f>IF(项目基本情况!E8="房地产抵押价值","房地产抵押价值","抵押担保权已注销时的房地产抵押价值")</f>
        <v>房地产抵押价值</v>
      </c>
      <c r="L49" s="3508"/>
      <c r="M49" s="3530">
        <f ca="1">IF(项目基本情况!E8="房地产抵押价值",H107,H109)</f>
        <v>36376</v>
      </c>
      <c r="N49" s="3530"/>
      <c r="O49" s="3530"/>
    </row>
    <row r="50" spans="1:35" ht="25.5" customHeight="1">
      <c r="A50" s="176"/>
      <c r="B50" s="3444" t="s">
        <v>2203</v>
      </c>
      <c r="C50" s="3444"/>
      <c r="D50" s="177"/>
      <c r="E50" s="30"/>
      <c r="F50" s="178"/>
      <c r="G50" s="3515"/>
      <c r="H50" s="136"/>
      <c r="I50" s="2479"/>
      <c r="J50" s="3508" t="s">
        <v>2204</v>
      </c>
      <c r="K50" s="3508"/>
      <c r="L50" s="3508"/>
      <c r="M50" s="3508"/>
      <c r="N50" s="3508"/>
      <c r="O50" s="3508"/>
    </row>
    <row r="51" spans="1:35" ht="12" customHeight="1">
      <c r="A51" s="179"/>
      <c r="B51" s="3444" t="s">
        <v>2205</v>
      </c>
      <c r="C51" s="3444"/>
      <c r="D51" s="180"/>
      <c r="E51" s="29"/>
      <c r="F51" s="178"/>
      <c r="G51" s="3516"/>
      <c r="H51" s="136"/>
      <c r="I51" s="2479"/>
      <c r="J51" s="2480" t="s">
        <v>2206</v>
      </c>
      <c r="K51" s="3508" t="s">
        <v>2207</v>
      </c>
      <c r="L51" s="3508"/>
      <c r="M51" s="2480" t="s">
        <v>2208</v>
      </c>
      <c r="N51" s="2480" t="s">
        <v>2209</v>
      </c>
      <c r="O51" s="2480" t="s">
        <v>2210</v>
      </c>
    </row>
    <row r="52" spans="1:35" ht="24" customHeight="1">
      <c r="A52" s="181" t="s">
        <v>2211</v>
      </c>
      <c r="B52" s="3444" t="s">
        <v>2212</v>
      </c>
      <c r="C52" s="3444"/>
      <c r="D52" s="180">
        <f ca="1">ROUND(D45*'数据-取费表'!B41/(1+'数据-取费表'!C42),0)</f>
        <v>1918</v>
      </c>
      <c r="E52" s="11" t="s">
        <v>2213</v>
      </c>
      <c r="F52" s="182">
        <f>'数据-取费表'!B41</f>
        <v>5.5000000000000007E-2</v>
      </c>
      <c r="G52" s="2481"/>
      <c r="H52" s="136"/>
      <c r="I52" s="2479"/>
      <c r="J52" s="1808">
        <v>1</v>
      </c>
      <c r="K52" s="3509" t="s">
        <v>2214</v>
      </c>
      <c r="L52" s="3509"/>
      <c r="M52" s="1750">
        <f>D48</f>
        <v>0</v>
      </c>
      <c r="N52" s="1808" t="str">
        <f>E48</f>
        <v>销售额×税（费）率</v>
      </c>
      <c r="O52" s="1751" t="str">
        <f>F48</f>
        <v>免征</v>
      </c>
    </row>
    <row r="53" spans="1:35" ht="12" customHeight="1">
      <c r="A53" s="181" t="s">
        <v>2215</v>
      </c>
      <c r="B53" s="3467" t="s">
        <v>2216</v>
      </c>
      <c r="C53" s="3468"/>
      <c r="D53" s="180">
        <f ca="1">ROUND(D45*'数据-取费表'!B41/(1+'数据-取费表'!C42),0)</f>
        <v>1918</v>
      </c>
      <c r="E53" s="11" t="s">
        <v>2213</v>
      </c>
      <c r="F53" s="182">
        <f>'数据-取费表'!B41</f>
        <v>5.5000000000000007E-2</v>
      </c>
      <c r="G53" s="2481"/>
      <c r="H53" s="136"/>
      <c r="I53" s="2479"/>
      <c r="J53" s="1808">
        <v>2</v>
      </c>
      <c r="K53" s="3509" t="s">
        <v>2217</v>
      </c>
      <c r="L53" s="3509"/>
      <c r="M53" s="1750">
        <f t="shared" ref="M53:O54" ca="1" si="0">D55</f>
        <v>18</v>
      </c>
      <c r="N53" s="1808" t="str">
        <f t="shared" si="0"/>
        <v>销售额×税（费）率</v>
      </c>
      <c r="O53" s="1751">
        <f t="shared" si="0"/>
        <v>5.0000000000000001E-4</v>
      </c>
    </row>
    <row r="54" spans="1:35" ht="12" customHeight="1">
      <c r="A54" s="181" t="s">
        <v>2218</v>
      </c>
      <c r="B54" s="3467" t="s">
        <v>2219</v>
      </c>
      <c r="C54" s="3468"/>
      <c r="D54" s="180">
        <f ca="1">C68</f>
        <v>1918</v>
      </c>
      <c r="E54" s="29" t="s">
        <v>2220</v>
      </c>
      <c r="F54" s="182">
        <f>'数据-取费表'!B41</f>
        <v>5.5000000000000007E-2</v>
      </c>
      <c r="G54" s="2481"/>
      <c r="H54" s="2482"/>
      <c r="I54" s="2479"/>
      <c r="J54" s="1808">
        <v>3</v>
      </c>
      <c r="K54" s="3509" t="s">
        <v>2221</v>
      </c>
      <c r="L54" s="3509"/>
      <c r="M54" s="1750">
        <f t="shared" ca="1" si="0"/>
        <v>20762</v>
      </c>
      <c r="N54" s="1808" t="str">
        <f t="shared" si="0"/>
        <v>增值额×税（费）率</v>
      </c>
      <c r="O54" s="1752" t="str">
        <f t="shared" si="0"/>
        <v>——</v>
      </c>
    </row>
    <row r="55" spans="1:35" ht="24" customHeight="1">
      <c r="A55" s="3458" t="s">
        <v>2222</v>
      </c>
      <c r="B55" s="3459"/>
      <c r="C55" s="3459"/>
      <c r="D55" s="183">
        <f ca="1">IF(H55="个人住宅",0,ROUND(D45*I55,0))</f>
        <v>18</v>
      </c>
      <c r="E55" s="11" t="s">
        <v>2223</v>
      </c>
      <c r="F55" s="182">
        <f>IF(H55="正常",I55,"免征")</f>
        <v>5.0000000000000001E-4</v>
      </c>
      <c r="G55" s="2481"/>
      <c r="H55" s="2478" t="s">
        <v>2224</v>
      </c>
      <c r="I55" s="184">
        <f>'数据-取费表'!B49</f>
        <v>5.0000000000000001E-4</v>
      </c>
      <c r="J55" s="1808" t="str">
        <f>IF(H59="非个人房产","",4)</f>
        <v/>
      </c>
      <c r="K55" s="3509" t="str">
        <f>IF(H59="非个人房产","——","个人所得税")</f>
        <v>——</v>
      </c>
      <c r="L55" s="3509"/>
      <c r="M55" s="1753" t="str">
        <f>D59</f>
        <v>——</v>
      </c>
      <c r="N55" s="1806" t="str">
        <f>E59</f>
        <v>——</v>
      </c>
      <c r="O55" s="1754" t="str">
        <f>F59</f>
        <v>——</v>
      </c>
    </row>
    <row r="56" spans="1:35" ht="25.2">
      <c r="A56" s="3458" t="s">
        <v>2225</v>
      </c>
      <c r="B56" s="3459"/>
      <c r="C56" s="3459"/>
      <c r="D56" s="183">
        <f ca="1">IF(H56="个人住宅",D57,D58)</f>
        <v>20762</v>
      </c>
      <c r="E56" s="11" t="s">
        <v>2226</v>
      </c>
      <c r="F56" s="182" t="str">
        <f>IF(H56="正常",F58,"免征")</f>
        <v>——</v>
      </c>
      <c r="G56" s="2483" t="s">
        <v>2227</v>
      </c>
      <c r="H56" s="2484" t="s">
        <v>2224</v>
      </c>
      <c r="I56" s="2485"/>
      <c r="J56" s="1808" t="str">
        <f>IF(项目基本情况!K6="上海银行",IF(J55="",4,J55+1),"")</f>
        <v/>
      </c>
      <c r="K56" s="3532" t="str">
        <f>IF(项目基本情况!K6="上海银行","其他处置费用","")</f>
        <v/>
      </c>
      <c r="L56" s="3533"/>
      <c r="M56" s="1750" t="str">
        <f>IF(项目基本情况!K6="上海银行",M69,"")</f>
        <v/>
      </c>
      <c r="N56" s="3535" t="str">
        <f>IF(项目基本情况!K6="上海银行","包含处置中涉及的律师、诉讼、拍卖、评估等费用","")</f>
        <v/>
      </c>
      <c r="O56" s="3536"/>
    </row>
    <row r="57" spans="1:35" ht="13.2">
      <c r="A57" s="181" t="s">
        <v>2200</v>
      </c>
      <c r="B57" s="3474" t="s">
        <v>2228</v>
      </c>
      <c r="C57" s="3483"/>
      <c r="D57" s="185">
        <v>0</v>
      </c>
      <c r="E57" s="22" t="s">
        <v>2202</v>
      </c>
      <c r="F57" s="153"/>
      <c r="G57" s="2481"/>
      <c r="H57" s="2485"/>
      <c r="I57" s="2485"/>
      <c r="J57" s="3509">
        <f>IF(AND(J55="",J56=""),4,IF(项目基本情况!K6="上海银行",结果表!J56+1,结果表!J55+1))</f>
        <v>4</v>
      </c>
      <c r="K57" s="3509" t="s">
        <v>2229</v>
      </c>
      <c r="L57" s="2486" t="s">
        <v>2230</v>
      </c>
      <c r="M57" s="1755"/>
      <c r="N57" s="1756">
        <f ca="1">SUMIF(M52:M56,"&lt;9e307")</f>
        <v>20780</v>
      </c>
      <c r="O57" s="2487"/>
      <c r="P57" s="1749">
        <f ca="1">N57/M49</f>
        <v>0.57125577303716735</v>
      </c>
    </row>
    <row r="58" spans="1:35" ht="25.2">
      <c r="A58" s="181" t="s">
        <v>2211</v>
      </c>
      <c r="B58" s="3474" t="s">
        <v>2231</v>
      </c>
      <c r="C58" s="3475"/>
      <c r="D58" s="183">
        <f ca="1">IF(H58="转让取得",C81,C97)</f>
        <v>20762</v>
      </c>
      <c r="E58" s="11" t="s">
        <v>2226</v>
      </c>
      <c r="F58" s="23" t="s">
        <v>34</v>
      </c>
      <c r="G58" s="2481"/>
      <c r="H58" s="2484" t="s">
        <v>2232</v>
      </c>
      <c r="I58" s="2485"/>
      <c r="J58" s="3509"/>
      <c r="K58" s="3509"/>
      <c r="L58" s="2486" t="s">
        <v>2233</v>
      </c>
      <c r="M58" s="1757"/>
      <c r="N58" s="2488" t="str">
        <f ca="1">NUMBERSTRING(INT(N57*10000),2)&amp;"元整"</f>
        <v>贰亿零柒佰捌拾万元整</v>
      </c>
      <c r="O58" s="2489"/>
    </row>
    <row r="59" spans="1:35" ht="24.6" thickBot="1">
      <c r="A59" s="3512" t="s">
        <v>2234</v>
      </c>
      <c r="B59" s="3513"/>
      <c r="C59" s="3513"/>
      <c r="D59" s="186" t="str">
        <f>IF(H59="非个人房产","——",IF(H59="个人住宅",0,ROUND(D45*I59,0)))</f>
        <v>——</v>
      </c>
      <c r="E59" s="187" t="str">
        <f>IF(H59="非个人房产","——","销售额×税（费）率")</f>
        <v>——</v>
      </c>
      <c r="F59" s="188" t="str">
        <f>IF(H59="非个人房产","——",IF(H59="个人住宅","免征",I59))</f>
        <v>——</v>
      </c>
      <c r="G59" s="2490" t="s">
        <v>2227</v>
      </c>
      <c r="H59" s="2484" t="s">
        <v>2235</v>
      </c>
      <c r="I59" s="189">
        <v>0.01</v>
      </c>
      <c r="J59" s="3510">
        <f>J57+1</f>
        <v>5</v>
      </c>
      <c r="K59" s="3509" t="s">
        <v>2236</v>
      </c>
      <c r="L59" s="1808" t="s">
        <v>2230</v>
      </c>
      <c r="M59" s="1758"/>
      <c r="N59" s="1759">
        <f ca="1">M49-N57</f>
        <v>15596</v>
      </c>
      <c r="O59" s="2491"/>
    </row>
    <row r="60" spans="1:35" ht="12" customHeight="1">
      <c r="A60" s="2492"/>
      <c r="B60" s="2414"/>
      <c r="C60" s="2414"/>
      <c r="D60" s="2414"/>
      <c r="E60" s="2162"/>
      <c r="F60" s="2485"/>
      <c r="G60" s="2485"/>
      <c r="H60" s="2493"/>
      <c r="I60" s="136"/>
      <c r="J60" s="3511"/>
      <c r="K60" s="3509"/>
      <c r="L60" s="2486" t="s">
        <v>2233</v>
      </c>
      <c r="M60" s="1757"/>
      <c r="N60" s="2488" t="str">
        <f ca="1">NUMBERSTRING(INT(N59*10000),2)&amp;"元整"</f>
        <v>壹亿伍仟伍佰玖拾陆万元整</v>
      </c>
      <c r="O60" s="2489"/>
    </row>
    <row r="61" spans="1:35" ht="13.8" thickBot="1">
      <c r="A61" s="3456" t="s">
        <v>2237</v>
      </c>
      <c r="B61" s="3456"/>
      <c r="C61" s="3456"/>
      <c r="D61" s="3456"/>
      <c r="E61" s="3456"/>
      <c r="F61" s="2485"/>
      <c r="G61" s="2485"/>
      <c r="H61" s="2493"/>
      <c r="I61" s="136"/>
      <c r="J61" s="1808">
        <f>J59+1</f>
        <v>6</v>
      </c>
      <c r="K61" s="3509" t="s">
        <v>2238</v>
      </c>
      <c r="L61" s="3509"/>
      <c r="M61" s="1760"/>
      <c r="N61" s="1761">
        <f ca="1">ROUND(N59*10000/'数据-汇总表'!E3,0)</f>
        <v>1510</v>
      </c>
      <c r="O61" s="2494"/>
    </row>
    <row r="62" spans="1:35" ht="13.2">
      <c r="A62" s="3472" t="s">
        <v>2239</v>
      </c>
      <c r="B62" s="3473"/>
      <c r="C62" s="1800"/>
      <c r="D62" s="1800" t="s">
        <v>2240</v>
      </c>
      <c r="E62" s="190" t="s">
        <v>2241</v>
      </c>
      <c r="F62" s="2485"/>
      <c r="G62" s="2485"/>
      <c r="H62" s="2493"/>
      <c r="I62" s="136"/>
    </row>
    <row r="63" spans="1:35" ht="13.2">
      <c r="A63" s="201" t="s">
        <v>775</v>
      </c>
      <c r="B63" s="191" t="s">
        <v>2242</v>
      </c>
      <c r="C63" s="192">
        <f ca="1">ROUND((C64+C65)/(1+'数据-取费表'!C42),0)</f>
        <v>34879</v>
      </c>
      <c r="D63" s="193"/>
      <c r="E63" s="194"/>
      <c r="F63" s="2485"/>
      <c r="G63" s="2485"/>
      <c r="H63" s="2493"/>
      <c r="I63" s="136"/>
      <c r="J63" s="3534" t="s">
        <v>2243</v>
      </c>
      <c r="K63" s="2495" t="s">
        <v>2244</v>
      </c>
      <c r="L63" s="1748">
        <f ca="1">IF(M49&gt;10000,M49*0.5%,IF(AND(M49&gt;1000,M49&lt;=10000),M49*1%,IF(AND(M49&gt;100,M49&lt;=1000),M49*3%,IF(AND(M49&gt;10,M49&lt;=100),M49*5%,M49*8%))))</f>
        <v>181.88</v>
      </c>
      <c r="M63" s="23">
        <f ca="1">ROUND(L63,1)</f>
        <v>181.9</v>
      </c>
      <c r="Z63" s="2419"/>
      <c r="AI63" s="2420"/>
    </row>
    <row r="64" spans="1:35" ht="14.25" customHeight="1">
      <c r="A64" s="195" t="s">
        <v>770</v>
      </c>
      <c r="B64" s="196" t="s">
        <v>2245</v>
      </c>
      <c r="C64" s="197">
        <f ca="1">D45</f>
        <v>36623</v>
      </c>
      <c r="D64" s="198" t="s">
        <v>32</v>
      </c>
      <c r="E64" s="199"/>
      <c r="F64" s="2485"/>
      <c r="G64" s="2485"/>
      <c r="H64" s="2493"/>
      <c r="I64" s="136"/>
      <c r="J64" s="3534"/>
      <c r="K64" s="2495" t="s">
        <v>2246</v>
      </c>
      <c r="L64" s="1748">
        <f ca="1">IF(M49&gt;2000,M49*0.5%,IF(AND(M49&gt;1000,M49&lt;=2000),M49*0.6%,IF(AND(M49&gt;500,M49&lt;=1000),M49*0.7%,IF(AND(M49&gt;200,M49&lt;=500),M49*0.8%,IF(AND(M49&gt;100,M49&lt;=200),M49*0.9%,IF(AND(M49&gt;50,M49&lt;=100),M49*1%,IF(AND(M49&gt;20,M49&lt;=50),M49*1.5%,IF(AND(M49&gt;10,M49&lt;=20),M49*2%,IF(AND(M49&gt;1,M49&lt;=10),M49*2.5%)))))))))</f>
        <v>181.88</v>
      </c>
      <c r="M64" s="23">
        <f t="shared" ref="M64:M65" ca="1" si="1">ROUND(L64,1)</f>
        <v>181.9</v>
      </c>
      <c r="N64" s="136" t="s">
        <v>2247</v>
      </c>
      <c r="Z64" s="2419"/>
      <c r="AI64" s="2420"/>
    </row>
    <row r="65" spans="1:35" ht="14.25" customHeight="1">
      <c r="A65" s="195" t="s">
        <v>771</v>
      </c>
      <c r="B65" s="196" t="s">
        <v>2248</v>
      </c>
      <c r="C65" s="200"/>
      <c r="D65" s="198"/>
      <c r="E65" s="199"/>
      <c r="F65" s="2485"/>
      <c r="G65" s="2485"/>
      <c r="H65" s="2493"/>
      <c r="I65" s="136"/>
      <c r="J65" s="3534"/>
      <c r="K65" s="2495" t="s">
        <v>2249</v>
      </c>
      <c r="L65" s="1748">
        <f ca="1">IF(M49&gt;1000,M49*0.1%,IF(AND(M49&gt;500,M49&lt;=1000),M49*0.5%,IF(AND(M49&gt;50,M49&lt;=500),M49*1%,IF(AND(M49&gt;1,M49&lt;=50),M49*1.5%))))</f>
        <v>36.375999999999998</v>
      </c>
      <c r="M65" s="23">
        <f t="shared" ca="1" si="1"/>
        <v>36.4</v>
      </c>
      <c r="N65" s="136" t="s">
        <v>2247</v>
      </c>
      <c r="Z65" s="2419"/>
      <c r="AI65" s="2420"/>
    </row>
    <row r="66" spans="1:35" ht="14.25" customHeight="1">
      <c r="A66" s="201" t="s">
        <v>772</v>
      </c>
      <c r="B66" s="202" t="s">
        <v>2250</v>
      </c>
      <c r="C66" s="203"/>
      <c r="D66" s="204" t="s">
        <v>32</v>
      </c>
      <c r="E66" s="1772" t="s">
        <v>1371</v>
      </c>
      <c r="F66" s="2485"/>
      <c r="G66" s="2485"/>
      <c r="H66" s="2493"/>
      <c r="I66" s="136"/>
      <c r="J66" s="3534"/>
      <c r="K66" s="2495" t="s">
        <v>2251</v>
      </c>
      <c r="L66" s="1748">
        <f ca="1">M49*0.5%</f>
        <v>181.88</v>
      </c>
      <c r="M66" s="23">
        <f ca="1">IF(L66&gt;0.5,0.5,ROUND(L66,0))</f>
        <v>0.5</v>
      </c>
      <c r="N66" s="136" t="s">
        <v>2252</v>
      </c>
      <c r="Z66" s="2419"/>
      <c r="AI66" s="2420"/>
    </row>
    <row r="67" spans="1:35" ht="14.25" customHeight="1">
      <c r="A67" s="201" t="s">
        <v>773</v>
      </c>
      <c r="B67" s="202" t="s">
        <v>2253</v>
      </c>
      <c r="C67" s="205">
        <f ca="1">C63-C66</f>
        <v>34879</v>
      </c>
      <c r="D67" s="198" t="s">
        <v>32</v>
      </c>
      <c r="E67" s="199"/>
      <c r="F67" s="2485"/>
      <c r="G67" s="2485"/>
      <c r="H67" s="2493"/>
      <c r="I67" s="136"/>
      <c r="J67" s="3534"/>
      <c r="K67" s="2495" t="s">
        <v>2254</v>
      </c>
      <c r="L67" s="1748">
        <f ca="1">IF(M49&gt;=10000,(8.25+(M49-10000)*0.01%),IF(AND(M49&gt;=8000,M49&lt;10000),(7.85+(M49-8000)*0.02%),IF(AND(M49&gt;=5000,M49&lt;8000),(6.65+(M49-5000)*0.04%),IF(AND(M49&gt;=2000,M49&lt;5000),(4.25+(PM49-2000)*0.08%),IF(AND(M49&gt;=1000,M49&lt;2000),(2.75+(M49-1000)*0.15%),IF(AND(M49&gt;=100,M49&lt;1000),(0.5+(M49-100)*0.25%),IF(AND(M49&gt;0,M49&lt;100),M49*0.5%)))))))</f>
        <v>10.887599999999999</v>
      </c>
      <c r="M67" s="23">
        <f ca="1">ROUND(L67*0.9,1)</f>
        <v>9.8000000000000007</v>
      </c>
      <c r="Z67" s="2419"/>
      <c r="AI67" s="2420"/>
    </row>
    <row r="68" spans="1:35" ht="14.25" customHeight="1" thickBot="1">
      <c r="A68" s="206" t="s">
        <v>774</v>
      </c>
      <c r="B68" s="207" t="s">
        <v>2255</v>
      </c>
      <c r="C68" s="208">
        <f ca="1">IF(C67&lt;=0,0,ROUND(C67*D68,0))</f>
        <v>1918</v>
      </c>
      <c r="D68" s="209">
        <f>'数据-取费表'!B41</f>
        <v>5.5000000000000007E-2</v>
      </c>
      <c r="E68" s="210"/>
      <c r="F68" s="2485"/>
      <c r="G68" s="2485"/>
      <c r="H68" s="2493"/>
      <c r="I68" s="136"/>
      <c r="J68" s="3534"/>
      <c r="K68" s="2495" t="s">
        <v>2256</v>
      </c>
      <c r="L68" s="1748">
        <f ca="1">IF(M49&gt;10000,M49*0.5%,IF(AND(M49&gt;5000,M49&lt;=10000),M49*1%,IF(AND(M49&gt;1000,M49&lt;=5000),M49*2%,IF(AND(M49&gt;200,M49&lt;=1000),M49*3%,M49*5%))))</f>
        <v>181.88</v>
      </c>
      <c r="M68" s="23">
        <f ca="1">ROUND(L68,1)</f>
        <v>181.9</v>
      </c>
      <c r="Z68" s="2419"/>
      <c r="AI68" s="2420"/>
    </row>
    <row r="69" spans="1:35" s="2442" customFormat="1" ht="16.5" customHeight="1">
      <c r="A69" s="2496"/>
      <c r="B69" s="2497"/>
      <c r="C69" s="2498"/>
      <c r="D69" s="2499"/>
      <c r="E69" s="2500"/>
      <c r="F69" s="2162"/>
      <c r="G69" s="2162"/>
      <c r="H69" s="2161"/>
      <c r="I69" s="2414"/>
      <c r="J69" s="3534"/>
      <c r="K69" s="2495" t="s">
        <v>2257</v>
      </c>
      <c r="L69" s="2501"/>
      <c r="M69" s="23">
        <f ca="1">ROUND(SUM(M63:M68),0)</f>
        <v>592</v>
      </c>
      <c r="N69" s="1749">
        <f ca="1">M69/M49</f>
        <v>1.6274466681328349E-2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3" customFormat="1" ht="14.4" thickBot="1">
      <c r="A70" s="3493" t="s">
        <v>2258</v>
      </c>
      <c r="B70" s="3494"/>
      <c r="C70" s="3494"/>
      <c r="D70" s="3494"/>
      <c r="E70" s="3494"/>
      <c r="F70" s="3494"/>
      <c r="G70" s="3494"/>
      <c r="H70" s="349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472" t="s">
        <v>2239</v>
      </c>
      <c r="B71" s="3473"/>
      <c r="C71" s="1800"/>
      <c r="D71" s="1800" t="s">
        <v>2240</v>
      </c>
      <c r="E71" s="211" t="s">
        <v>2241</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1" t="s">
        <v>775</v>
      </c>
      <c r="B72" s="202" t="s">
        <v>2259</v>
      </c>
      <c r="C72" s="205">
        <f ca="1">ROUND(D45/(1+'数据-取费表'!C42),0)</f>
        <v>34879</v>
      </c>
      <c r="D72" s="198" t="s">
        <v>32</v>
      </c>
      <c r="E72" s="1799"/>
      <c r="F72" s="1793"/>
      <c r="G72" s="1793"/>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1" t="s">
        <v>772</v>
      </c>
      <c r="B73" s="171" t="s">
        <v>2260</v>
      </c>
      <c r="C73" s="205">
        <f ca="1">C74+C78</f>
        <v>174</v>
      </c>
      <c r="D73" s="198" t="s">
        <v>32</v>
      </c>
      <c r="E73" s="1799"/>
      <c r="F73" s="1793"/>
      <c r="G73" s="1793"/>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2261</v>
      </c>
      <c r="C74" s="198">
        <f>ROUND(IF(G77="2016年5月1日后购买",C75/(1+'数据-取费表'!C42)+C76+C77,C75+C76+C77),0)</f>
        <v>0</v>
      </c>
      <c r="D74" s="198" t="s">
        <v>32</v>
      </c>
      <c r="E74" s="1799"/>
      <c r="F74" s="1793"/>
      <c r="G74" s="1793"/>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5" t="s">
        <v>776</v>
      </c>
      <c r="B75" s="196" t="s">
        <v>2262</v>
      </c>
      <c r="C75" s="216"/>
      <c r="D75" s="198" t="s">
        <v>32</v>
      </c>
      <c r="E75" s="217" t="s">
        <v>2263</v>
      </c>
      <c r="F75" s="2507" t="s">
        <v>2264</v>
      </c>
      <c r="G75" s="217" t="s">
        <v>2265</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2266</v>
      </c>
      <c r="C76" s="198">
        <f>IF(F75="购房发票",ROUND(C75*H75*D76,0),0)</f>
        <v>0</v>
      </c>
      <c r="D76" s="220">
        <v>0.05</v>
      </c>
      <c r="E76" s="3467" t="s">
        <v>2267</v>
      </c>
      <c r="F76" s="3444"/>
      <c r="G76" s="3444"/>
      <c r="H76" s="349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2268</v>
      </c>
      <c r="C77" s="198">
        <f>ROUND(IF(G77="个人住宅",0,IF(G77="2016年5月1日前购买",C75*D77,C75*D77/(1+'数据-取费表'!C42))),0)</f>
        <v>0</v>
      </c>
      <c r="D77" s="221">
        <f>'数据-取费表'!B48+'数据-取费表'!B49</f>
        <v>3.0499999999999999E-2</v>
      </c>
      <c r="E77" s="14" t="s">
        <v>2269</v>
      </c>
      <c r="F77" s="222"/>
      <c r="G77" s="2509" t="s">
        <v>2270</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2271</v>
      </c>
      <c r="C78" s="223">
        <f ca="1">ROUND(D45*D78/(1+'数据-取费表'!C42),0)</f>
        <v>174</v>
      </c>
      <c r="D78" s="224">
        <f>'数据-取费表'!B43</f>
        <v>5.000000000000001E-3</v>
      </c>
      <c r="E78" s="3453" t="s">
        <v>2272</v>
      </c>
      <c r="F78" s="3454"/>
      <c r="G78" s="3454"/>
      <c r="H78" s="346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2" t="s">
        <v>2273</v>
      </c>
      <c r="C79" s="205">
        <f ca="1">C72-C73</f>
        <v>34705</v>
      </c>
      <c r="D79" s="198" t="s">
        <v>32</v>
      </c>
      <c r="E79" s="1799"/>
      <c r="F79" s="1793"/>
      <c r="G79" s="1793"/>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2274</v>
      </c>
      <c r="C80" s="225">
        <f ca="1">IF(C79&lt;=0,0,C79/C73)</f>
        <v>199.45402298850576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7" t="s">
        <v>2275</v>
      </c>
      <c r="C81" s="226">
        <f ca="1">ROUND(IF(C79&lt;=0,0,IF(C80&gt;=200%,C79*60%-C73*35%,IF(C80&gt;=100%,C79*50%-C73*15%,IF(C80&gt;=50%,C79*40%-C73*5%,IF(C80&lt;50%,C79*30%,0))))),0)</f>
        <v>20762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0"/>
      <c r="B82" s="731"/>
      <c r="C82" s="7"/>
      <c r="D82" s="7"/>
      <c r="E82" s="731"/>
      <c r="F82" s="731"/>
      <c r="G82" s="731"/>
      <c r="H82" s="732"/>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493" t="s">
        <v>2276</v>
      </c>
      <c r="B83" s="3494"/>
      <c r="C83" s="3494"/>
      <c r="D83" s="3494"/>
      <c r="E83" s="3494"/>
      <c r="F83" s="3494"/>
      <c r="G83" s="3494"/>
      <c r="H83" s="349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472" t="s">
        <v>2239</v>
      </c>
      <c r="B84" s="3473"/>
      <c r="C84" s="1800"/>
      <c r="D84" s="1800" t="s">
        <v>2240</v>
      </c>
      <c r="E84" s="211" t="s">
        <v>2241</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1" t="s">
        <v>775</v>
      </c>
      <c r="B85" s="202" t="s">
        <v>2259</v>
      </c>
      <c r="C85" s="205">
        <f ca="1">ROUND(D45/(1+'数据-取费表'!C42),0)</f>
        <v>34879</v>
      </c>
      <c r="D85" s="198" t="s">
        <v>32</v>
      </c>
      <c r="E85" s="1799"/>
      <c r="F85" s="1793"/>
      <c r="G85" s="1793"/>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1" t="s">
        <v>772</v>
      </c>
      <c r="B86" s="171" t="s">
        <v>2260</v>
      </c>
      <c r="C86" s="205">
        <f ca="1">IF(H88="仅含出让金",C87+C90+C91+C92+C93+C94,C87+C91+C92+C93+C94)</f>
        <v>174</v>
      </c>
      <c r="D86" s="233"/>
      <c r="E86" s="1799"/>
      <c r="F86" s="1793"/>
      <c r="G86" s="1793"/>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5" t="s">
        <v>770</v>
      </c>
      <c r="B87" s="196" t="s">
        <v>2277</v>
      </c>
      <c r="C87" s="223">
        <f>C88+C89</f>
        <v>0</v>
      </c>
      <c r="D87" s="224"/>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5" t="s">
        <v>776</v>
      </c>
      <c r="B88" s="196" t="s">
        <v>2278</v>
      </c>
      <c r="C88" s="234"/>
      <c r="D88" s="224"/>
      <c r="E88" s="235" t="s">
        <v>2279</v>
      </c>
      <c r="F88" s="1796"/>
      <c r="G88" s="236" t="s">
        <v>2280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5" t="s">
        <v>777</v>
      </c>
      <c r="B89" s="196" t="s">
        <v>2268</v>
      </c>
      <c r="C89" s="223">
        <f>ROUND(C88*D89,0)</f>
        <v>0</v>
      </c>
      <c r="D89" s="224">
        <f>'数据-取费表'!B48+'数据-取费表'!B49</f>
        <v>3.0499999999999999E-2</v>
      </c>
      <c r="E89" s="235" t="s">
        <v>2281</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5" t="s">
        <v>771</v>
      </c>
      <c r="B90" s="196" t="s">
        <v>2282</v>
      </c>
      <c r="C90" s="234"/>
      <c r="D90" s="224"/>
      <c r="E90" s="235"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2283</v>
      </c>
      <c r="B91" s="196" t="s">
        <v>2284</v>
      </c>
      <c r="C91" s="223">
        <f>IF(H91="——",成本法!C33,I91)</f>
        <v>0</v>
      </c>
      <c r="D91" s="224"/>
      <c r="E91" s="3453" t="s">
        <v>2285</v>
      </c>
      <c r="F91" s="3454"/>
      <c r="G91" s="3454"/>
      <c r="H91" s="2514" t="s">
        <v>2286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2287</v>
      </c>
      <c r="B92" s="196" t="s">
        <v>2288</v>
      </c>
      <c r="C92" s="223">
        <f>ROUND((C87+C90+C91)*D92,0)</f>
        <v>0</v>
      </c>
      <c r="D92" s="224">
        <v>0.1</v>
      </c>
      <c r="E92" s="3453" t="s">
        <v>2289</v>
      </c>
      <c r="F92" s="3454"/>
      <c r="G92" s="3454"/>
      <c r="H92" s="346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2290</v>
      </c>
      <c r="B93" s="196" t="s">
        <v>2271</v>
      </c>
      <c r="C93" s="223">
        <f ca="1">ROUND(D45*D93/(1+'数据-取费表'!C42),0)</f>
        <v>174</v>
      </c>
      <c r="D93" s="224">
        <f>'数据-取费表'!B43</f>
        <v>5.000000000000001E-3</v>
      </c>
      <c r="E93" s="3453" t="s">
        <v>2272</v>
      </c>
      <c r="F93" s="3454"/>
      <c r="G93" s="3454"/>
      <c r="H93" s="346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2291</v>
      </c>
      <c r="B94" s="196" t="s">
        <v>2292</v>
      </c>
      <c r="C94" s="234">
        <f>ROUND((C87+C90+C91)*D94,0)</f>
        <v>0</v>
      </c>
      <c r="D94" s="224">
        <v>0.2</v>
      </c>
      <c r="E94" s="3464" t="s">
        <v>2293</v>
      </c>
      <c r="F94" s="3465"/>
      <c r="G94" s="3465"/>
      <c r="H94" s="346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2" t="s">
        <v>2273</v>
      </c>
      <c r="C95" s="205">
        <f ca="1">ROUND(C85-C86,0)</f>
        <v>34705</v>
      </c>
      <c r="D95" s="198" t="s">
        <v>32</v>
      </c>
      <c r="E95" s="1799"/>
      <c r="F95" s="1793"/>
      <c r="G95" s="1793"/>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2274</v>
      </c>
      <c r="C96" s="225">
        <f ca="1">IF(C95&lt;=0,0,C95/C86)</f>
        <v>199.45402298850576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7" t="s">
        <v>2275</v>
      </c>
      <c r="C97" s="226">
        <f ca="1">ROUND(IF(C95&lt;=0,0,IF(C96&gt;=200%,C95*60%-C86*35%,IF(C96&gt;=100%,C95*50%-C86*15%,IF(C96&gt;=50%,C95*40%-C86*5%,IF(C96&lt;50%,C95*30%,0))))),0)</f>
        <v>20762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6"/>
    </row>
    <row r="99" spans="1:35" ht="21.75" customHeight="1" thickBot="1">
      <c r="A99" s="2470" t="s">
        <v>2294</v>
      </c>
      <c r="B99" s="2414"/>
      <c r="C99" s="2414"/>
      <c r="D99" s="2414"/>
      <c r="E99" s="2162"/>
      <c r="F99" s="2162"/>
      <c r="G99" s="2162"/>
      <c r="H99" s="2161"/>
      <c r="I99" s="136"/>
    </row>
    <row r="100" spans="1:35" ht="18.75" customHeight="1">
      <c r="A100" s="3438" t="s">
        <v>2295</v>
      </c>
      <c r="B100" s="3439"/>
      <c r="C100" s="3439"/>
      <c r="D100" s="3455"/>
      <c r="E100" s="3439" t="s">
        <v>2296</v>
      </c>
      <c r="F100" s="3439"/>
      <c r="G100" s="3439"/>
      <c r="H100" s="3455"/>
      <c r="I100" s="136"/>
    </row>
    <row r="101" spans="1:35" ht="18.75" customHeight="1">
      <c r="A101" s="3517" t="s">
        <v>2297</v>
      </c>
      <c r="B101" s="3518"/>
      <c r="C101" s="733" t="str">
        <f>C4</f>
        <v>成本法</v>
      </c>
      <c r="D101" s="734" t="str">
        <f>D4</f>
        <v>假设开发法</v>
      </c>
      <c r="E101" s="3531" t="s">
        <v>2298</v>
      </c>
      <c r="F101" s="3485"/>
      <c r="G101" s="2516" t="s">
        <v>2299</v>
      </c>
      <c r="H101" s="1044">
        <f ca="1">H118</f>
        <v>36623</v>
      </c>
      <c r="I101" s="136"/>
    </row>
    <row r="102" spans="1:35" ht="18.75" customHeight="1">
      <c r="A102" s="3487" t="s">
        <v>2300</v>
      </c>
      <c r="B102" s="2516" t="s">
        <v>2299</v>
      </c>
      <c r="C102" s="733">
        <f ca="1">C19</f>
        <v>35577</v>
      </c>
      <c r="D102" s="734">
        <f ca="1">D19</f>
        <v>37669</v>
      </c>
      <c r="E102" s="3531"/>
      <c r="F102" s="3485"/>
      <c r="G102" s="2516" t="s">
        <v>2301</v>
      </c>
      <c r="H102" s="369">
        <f ca="1">I118</f>
        <v>3545</v>
      </c>
      <c r="I102" s="136"/>
    </row>
    <row r="103" spans="1:35" ht="42.75" customHeight="1">
      <c r="A103" s="3487"/>
      <c r="B103" s="2516" t="s">
        <v>2301</v>
      </c>
      <c r="C103" s="735">
        <f ca="1">C20</f>
        <v>3444</v>
      </c>
      <c r="D103" s="736">
        <f ca="1">D20</f>
        <v>3646</v>
      </c>
      <c r="E103" s="3526" t="s">
        <v>2302</v>
      </c>
      <c r="F103" s="3527"/>
      <c r="G103" s="2517" t="s">
        <v>2303</v>
      </c>
      <c r="H103" s="1044">
        <f>IF(D36="正常操作",H104+H105+H106,H105+H106)</f>
        <v>247</v>
      </c>
      <c r="I103" s="136"/>
    </row>
    <row r="104" spans="1:35" ht="18.75" customHeight="1">
      <c r="A104" s="3487" t="s">
        <v>2304</v>
      </c>
      <c r="B104" s="2518" t="s">
        <v>2299</v>
      </c>
      <c r="C104" s="737">
        <f ca="1">H118</f>
        <v>36623</v>
      </c>
      <c r="D104" s="738"/>
      <c r="E104" s="2262" t="s">
        <v>2305</v>
      </c>
      <c r="F104" s="2254"/>
      <c r="G104" s="2517" t="s">
        <v>2303</v>
      </c>
      <c r="H104" s="1045" t="str">
        <f>IF(D36="同一抵押权人同一抵押物续贷",C36&amp;"（未扣减，详见特别提示）",C36)</f>
        <v>（未扣减，详见特别提示）</v>
      </c>
      <c r="I104" s="136"/>
    </row>
    <row r="105" spans="1:35" ht="18.75" customHeight="1" thickBot="1">
      <c r="A105" s="3488"/>
      <c r="B105" s="2519" t="s">
        <v>2301</v>
      </c>
      <c r="C105" s="739">
        <f ca="1">I118</f>
        <v>3545</v>
      </c>
      <c r="D105" s="740"/>
      <c r="E105" s="2262" t="s">
        <v>2306</v>
      </c>
      <c r="F105" s="2254"/>
      <c r="G105" s="2517" t="s">
        <v>2303</v>
      </c>
      <c r="H105" s="1045">
        <f>C37</f>
        <v>0</v>
      </c>
      <c r="I105" s="136"/>
    </row>
    <row r="106" spans="1:35" ht="18.75" customHeight="1">
      <c r="A106" s="2414" t="s">
        <v>2307</v>
      </c>
      <c r="B106" s="2414"/>
      <c r="C106" s="2414"/>
      <c r="D106" s="2414"/>
      <c r="E106" s="2520" t="s">
        <v>2308</v>
      </c>
      <c r="F106" s="2254"/>
      <c r="G106" s="2517" t="s">
        <v>2303</v>
      </c>
      <c r="H106" s="1045">
        <f>C38</f>
        <v>247</v>
      </c>
      <c r="I106" s="136"/>
    </row>
    <row r="107" spans="1:35" ht="18.75" customHeight="1">
      <c r="A107" s="136"/>
      <c r="B107" s="136"/>
      <c r="C107" s="136"/>
      <c r="D107" s="136"/>
      <c r="E107" s="3484" t="str">
        <f>IF(项目基本情况!E8="已注销","——","3.房地产抵押价值")</f>
        <v>3.房地产抵押价值</v>
      </c>
      <c r="F107" s="3485"/>
      <c r="G107" s="2516" t="s">
        <v>2299</v>
      </c>
      <c r="H107" s="1044">
        <f ca="1">IF(E107="——","——",H101-H103)</f>
        <v>36376</v>
      </c>
      <c r="I107" s="136"/>
    </row>
    <row r="108" spans="1:35" ht="18.75" customHeight="1">
      <c r="A108" s="136"/>
      <c r="B108" s="136"/>
      <c r="C108" s="136"/>
      <c r="D108" s="136"/>
      <c r="E108" s="3484"/>
      <c r="F108" s="3485"/>
      <c r="G108" s="2516" t="s">
        <v>2301</v>
      </c>
      <c r="H108" s="369">
        <f ca="1">ROUND(H107*10000/'数据-汇总表'!E3,0)</f>
        <v>3521</v>
      </c>
      <c r="I108" s="136"/>
    </row>
    <row r="109" spans="1:35" ht="18.75" customHeight="1">
      <c r="A109" s="136"/>
      <c r="B109" s="136"/>
      <c r="C109" s="136"/>
      <c r="D109" s="136"/>
      <c r="E109" s="3484" t="str">
        <f>IF(项目基本情况!E8="已注销及未注销","4.抵押担保权已注销时的房地产抵押价值",IF(项目基本情况!E8="已注销","3.抵押担保权已注销时的房地产抵押价值","——"))</f>
        <v>——</v>
      </c>
      <c r="F109" s="3485"/>
      <c r="G109" s="2516" t="s">
        <v>2299</v>
      </c>
      <c r="H109" s="346" t="str">
        <f>IF(E109="——","——",H101-H105-H106)</f>
        <v>——</v>
      </c>
      <c r="I109" s="136"/>
    </row>
    <row r="110" spans="1:35" ht="18.75" customHeight="1">
      <c r="A110" s="136"/>
      <c r="B110" s="136"/>
      <c r="C110" s="136"/>
      <c r="D110" s="136"/>
      <c r="E110" s="3484"/>
      <c r="F110" s="3485"/>
      <c r="G110" s="2516" t="s">
        <v>2301</v>
      </c>
      <c r="H110" s="369" t="str">
        <f>IF(H109="——","——",ROUND(H109*10000/'数据-汇总表'!E3,0))</f>
        <v>——</v>
      </c>
      <c r="I110" s="136"/>
    </row>
    <row r="111" spans="1:35" ht="18.75" customHeight="1">
      <c r="A111" s="136"/>
      <c r="B111" s="136"/>
      <c r="C111" s="136"/>
      <c r="D111" s="136"/>
      <c r="E111" s="3519" t="str">
        <f>IF(项目基本情况!E9="抵押净值",IF(OR(项目基本情况!E8="已注销",项目基本情况!E8="房地产抵押价值"),"4.抵押净值","5.抵押净值"),"——")</f>
        <v>——</v>
      </c>
      <c r="F111" s="3520"/>
      <c r="G111" s="2516" t="s">
        <v>2299</v>
      </c>
      <c r="H111" s="1044" t="str">
        <f>IF(E111="——","——",N59)</f>
        <v>——</v>
      </c>
      <c r="I111" s="136"/>
    </row>
    <row r="112" spans="1:35" ht="18.75" customHeight="1" thickBot="1">
      <c r="A112" s="136"/>
      <c r="B112" s="136"/>
      <c r="C112" s="136"/>
      <c r="D112" s="136"/>
      <c r="E112" s="3521"/>
      <c r="F112" s="3522"/>
      <c r="G112" s="2521" t="s">
        <v>2301</v>
      </c>
      <c r="H112" s="787" t="str">
        <f>IF(E111="——","——",N61)</f>
        <v>——</v>
      </c>
      <c r="I112" s="136"/>
    </row>
    <row r="113" spans="1:11" ht="18.75" customHeight="1">
      <c r="A113" s="136"/>
      <c r="B113" s="136"/>
      <c r="C113" s="136"/>
      <c r="D113" s="136"/>
      <c r="E113" s="3489" t="s">
        <v>2307</v>
      </c>
      <c r="F113" s="3489"/>
      <c r="G113" s="3489"/>
      <c r="H113" s="3489"/>
      <c r="I113" s="136"/>
    </row>
    <row r="114" spans="1:11" ht="3.75" customHeight="1">
      <c r="A114" s="2414"/>
      <c r="B114" s="2414"/>
      <c r="C114" s="2414"/>
      <c r="D114" s="2414"/>
      <c r="E114" s="2492"/>
      <c r="F114" s="2492"/>
      <c r="G114" s="2492"/>
      <c r="H114" s="2492"/>
      <c r="I114" s="2414"/>
    </row>
    <row r="115" spans="1:11" ht="18.75" customHeight="1">
      <c r="A115" s="3502" t="s">
        <v>2309</v>
      </c>
      <c r="B115" s="3503"/>
      <c r="C115" s="3503"/>
      <c r="D115" s="3503"/>
      <c r="E115" s="3503"/>
      <c r="F115" s="3503"/>
      <c r="G115" s="3503"/>
      <c r="H115" s="3503"/>
      <c r="I115" s="3504"/>
    </row>
    <row r="116" spans="1:11" ht="27" customHeight="1">
      <c r="A116" s="3390" t="s">
        <v>2310</v>
      </c>
      <c r="B116" s="3490" t="s">
        <v>2311</v>
      </c>
      <c r="C116" s="3490" t="s">
        <v>2312</v>
      </c>
      <c r="D116" s="3506" t="s">
        <v>2313</v>
      </c>
      <c r="E116" s="3507"/>
      <c r="F116" s="3498" t="s">
        <v>2314</v>
      </c>
      <c r="G116" s="3498"/>
      <c r="H116" s="3390" t="s">
        <v>2315</v>
      </c>
      <c r="I116" s="3390"/>
    </row>
    <row r="117" spans="1:11" ht="18.75" customHeight="1">
      <c r="A117" s="3390"/>
      <c r="B117" s="3491"/>
      <c r="C117" s="3491"/>
      <c r="D117" s="1794" t="s">
        <v>2316</v>
      </c>
      <c r="E117" s="1794" t="s">
        <v>2317</v>
      </c>
      <c r="F117" s="1794" t="s">
        <v>2316</v>
      </c>
      <c r="G117" s="1794" t="s">
        <v>2318</v>
      </c>
      <c r="H117" s="1794" t="s">
        <v>2316</v>
      </c>
      <c r="I117" s="1794" t="s">
        <v>2318</v>
      </c>
    </row>
    <row r="118" spans="1:11" ht="24.75" customHeight="1">
      <c r="A118" s="2522" t="str">
        <f>项目基本情况!S2</f>
        <v>北京市房山区琉璃河镇中心区E-07地块1#综合厂房等3项、2#厂房等18项（中粮科技园标准厂房及配套附属设施建设项目）出让国有建设用地使用权及在建建筑物房地产</v>
      </c>
      <c r="B118" s="1794">
        <f>M18</f>
        <v>103304.44</v>
      </c>
      <c r="C118" s="1794">
        <f>M19</f>
        <v>49664.23</v>
      </c>
      <c r="D118" s="1794">
        <f ca="1">ROUND(IF(D32="总价",C34,E118*B118/10000),0)</f>
        <v>12232</v>
      </c>
      <c r="E118" s="1794">
        <f ca="1">ROUND(IF(C33="自定义",IF(D32="楼面单价",C34,D118*10000/B118),I118-G118),0)</f>
        <v>1184</v>
      </c>
      <c r="F118" s="1794">
        <f ca="1">ROUND(IF(D32="总价",C35,G118*B118/10000),0)</f>
        <v>24391</v>
      </c>
      <c r="G118" s="1794">
        <f ca="1">ROUND(IF(D32="楼面单价",C35,F118*10000/B118),0)</f>
        <v>2361</v>
      </c>
      <c r="H118" s="1794">
        <f ca="1">ROUND(IF(D32="总价",C32,I118*B118/10000),0)</f>
        <v>36623</v>
      </c>
      <c r="I118" s="1794">
        <f ca="1">ROUND(IF(D32="楼面单价",C32,H118*10000/B118),0)</f>
        <v>3545</v>
      </c>
    </row>
    <row r="119" spans="1:11" ht="18.75" customHeight="1">
      <c r="A119" s="3390" t="s">
        <v>2319</v>
      </c>
      <c r="B119" s="3390"/>
      <c r="C119" s="3390"/>
      <c r="D119" s="3495" t="str">
        <f ca="1">NUMBERSTRING(INT(D118*10000),2)&amp;"元整"</f>
        <v>壹亿贰仟贰佰叁拾贰万元整</v>
      </c>
      <c r="E119" s="3497"/>
      <c r="F119" s="3495" t="str">
        <f ca="1">NUMBERSTRING(INT(F118*10000),2)&amp;"元整"</f>
        <v>贰亿肆仟叁佰玖拾壹万元整</v>
      </c>
      <c r="G119" s="3497"/>
      <c r="H119" s="3495" t="str">
        <f ca="1">NUMBERSTRING(INT(H118*10000),2)&amp;"元整"</f>
        <v>叁亿陆仟陆佰贰拾叁万元整</v>
      </c>
      <c r="I119" s="3497"/>
    </row>
    <row r="120" spans="1:11" ht="18.75" customHeight="1">
      <c r="A120" s="3523" t="str">
        <f>IF(项目基本情况!B9="房地产市场价值","",MID(E103,3,LEN(E103)-2))</f>
        <v>估价师知悉的法定优先受偿款</v>
      </c>
      <c r="B120" s="3524"/>
      <c r="C120" s="3525"/>
      <c r="D120" s="3523">
        <f>H103</f>
        <v>247</v>
      </c>
      <c r="E120" s="3524"/>
      <c r="F120" s="3524"/>
      <c r="G120" s="3524"/>
      <c r="H120" s="3524"/>
      <c r="I120" s="3525"/>
      <c r="K120" s="2419" t="str">
        <f>IF(D120=0,"故，本次评估不存在"&amp;A120,"故，本次评估"&amp;A120&amp;"为人民币"&amp;D120&amp;"万元整。")</f>
        <v>故，本次评估估价师知悉的法定优先受偿款为人民币247万元整。</v>
      </c>
    </row>
    <row r="121" spans="1:11" ht="18.75" customHeight="1">
      <c r="A121" s="3499" t="s">
        <v>2319</v>
      </c>
      <c r="B121" s="3500"/>
      <c r="C121" s="3501"/>
      <c r="D121" s="3495" t="str">
        <f>IF(D120=0,"零元整",NUMBERSTRING(INT(D120*10000),2)&amp;"元整")</f>
        <v>贰佰肆拾柒万元整</v>
      </c>
      <c r="E121" s="3496"/>
      <c r="F121" s="3496"/>
      <c r="G121" s="3496"/>
      <c r="H121" s="3496"/>
      <c r="I121" s="3497"/>
    </row>
    <row r="122" spans="1:11" ht="18.75" customHeight="1">
      <c r="A122" s="3486" t="str">
        <f>IF(项目基本情况!B9="房地产市场价值","",MID(E107,3,LEN(E107)-2))</f>
        <v>房地产抵押价值</v>
      </c>
      <c r="B122" s="3486"/>
      <c r="C122" s="3486"/>
      <c r="D122" s="3523">
        <f ca="1">H107</f>
        <v>36376</v>
      </c>
      <c r="E122" s="3524"/>
      <c r="F122" s="3524"/>
      <c r="G122" s="3524"/>
      <c r="H122" s="3524"/>
      <c r="I122" s="3525"/>
    </row>
    <row r="123" spans="1:11" ht="18.75" customHeight="1">
      <c r="A123" s="3390" t="s">
        <v>2319</v>
      </c>
      <c r="B123" s="3390"/>
      <c r="C123" s="3390"/>
      <c r="D123" s="3495" t="str">
        <f ca="1">NUMBERSTRING(INT(D122*10000),2)&amp;"元整"</f>
        <v>叁亿陆仟叁佰柒拾陆万元整</v>
      </c>
      <c r="E123" s="3496"/>
      <c r="F123" s="3496"/>
      <c r="G123" s="3496"/>
      <c r="H123" s="3496"/>
      <c r="I123" s="3497"/>
    </row>
    <row r="124" spans="1:11" ht="18.75" customHeight="1">
      <c r="A124" s="3486" t="str">
        <f>IF(项目基本情况!B9="房地产市场价值","",MID(E109,3,LEN(E109)-2))</f>
        <v/>
      </c>
      <c r="B124" s="3486"/>
      <c r="C124" s="3486"/>
      <c r="D124" s="3523" t="str">
        <f>H109</f>
        <v>——</v>
      </c>
      <c r="E124" s="3524"/>
      <c r="F124" s="3524"/>
      <c r="G124" s="3524"/>
      <c r="H124" s="3524"/>
      <c r="I124" s="3525"/>
    </row>
    <row r="125" spans="1:11" ht="18.75" customHeight="1">
      <c r="A125" s="3390" t="s">
        <v>2319</v>
      </c>
      <c r="B125" s="3390"/>
      <c r="C125" s="3390"/>
      <c r="D125" s="3495" t="e">
        <f>NUMBERSTRING(INT(D124*10000),2)&amp;"元整"</f>
        <v>#VALUE!</v>
      </c>
      <c r="E125" s="3496"/>
      <c r="F125" s="3496"/>
      <c r="G125" s="3496"/>
      <c r="H125" s="3496"/>
      <c r="I125" s="3497"/>
    </row>
    <row r="126" spans="1:11" ht="18.75" customHeight="1">
      <c r="A126" s="3486" t="str">
        <f>IF(项目基本情况!B9="房地产市场价值","",MID(E111,3,LEN(E111)-2))</f>
        <v/>
      </c>
      <c r="B126" s="3486"/>
      <c r="C126" s="3486"/>
      <c r="D126" s="3523" t="str">
        <f>H111</f>
        <v>——</v>
      </c>
      <c r="E126" s="3524"/>
      <c r="F126" s="3524"/>
      <c r="G126" s="3524"/>
      <c r="H126" s="3524"/>
      <c r="I126" s="3525"/>
    </row>
    <row r="127" spans="1:11" ht="18.75" customHeight="1">
      <c r="A127" s="3390" t="s">
        <v>2319</v>
      </c>
      <c r="B127" s="3390"/>
      <c r="C127" s="3390"/>
      <c r="D127" s="3495" t="e">
        <f>NUMBERSTRING(INT(D126*10000),2)&amp;"元整"</f>
        <v>#VALUE!</v>
      </c>
      <c r="E127" s="3496"/>
      <c r="F127" s="3496"/>
      <c r="G127" s="3496"/>
      <c r="H127" s="3496"/>
      <c r="I127" s="3497"/>
    </row>
    <row r="128" spans="1:11" ht="21.75" customHeight="1">
      <c r="A128" s="3505" t="s">
        <v>2320</v>
      </c>
      <c r="B128" s="3505"/>
      <c r="C128" s="3505"/>
      <c r="D128" s="3505"/>
      <c r="E128" s="3505"/>
      <c r="F128" s="3505"/>
      <c r="G128" s="3505"/>
      <c r="H128" s="3505"/>
      <c r="I128" s="3505"/>
    </row>
    <row r="129" spans="1:35" ht="21.75" customHeight="1">
      <c r="A129" s="2523" t="s">
        <v>2321</v>
      </c>
      <c r="B129" s="2524"/>
      <c r="C129" s="2525" t="s">
        <v>2322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2"/>
    </row>
    <row r="135" spans="1:35" ht="21.75" customHeight="1">
      <c r="A135" s="792"/>
      <c r="B135" s="792"/>
      <c r="C135" s="792"/>
      <c r="D135" s="792"/>
      <c r="E135" s="792"/>
      <c r="F135" s="2539" t="s">
        <v>2323</v>
      </c>
      <c r="G135" s="2540"/>
      <c r="H135" s="2540"/>
      <c r="I135" s="2541" t="s">
        <v>2324</v>
      </c>
    </row>
    <row r="136" spans="1:35" ht="21.75" customHeight="1">
      <c r="A136" s="792"/>
      <c r="B136" s="2542" t="s">
        <v>2325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0"/>
      <c r="C138" s="2540"/>
      <c r="D138" s="2540"/>
      <c r="E138" s="2540"/>
      <c r="F138" s="2540"/>
      <c r="G138" s="2540"/>
      <c r="H138" s="2540"/>
      <c r="I138" s="2541" t="s">
        <v>2326</v>
      </c>
    </row>
    <row r="139" spans="1:35" ht="21.75" customHeight="1">
      <c r="A139" s="792"/>
      <c r="B139" s="2542" t="s">
        <v>2327</v>
      </c>
      <c r="C139" s="792"/>
      <c r="D139" s="792"/>
      <c r="E139" s="792"/>
      <c r="F139" s="792"/>
      <c r="G139" s="792"/>
      <c r="H139" s="792"/>
      <c r="I139" s="792"/>
    </row>
    <row r="140" spans="1:35" ht="21.75" customHeight="1">
      <c r="A140" s="792"/>
      <c r="B140" s="2542"/>
      <c r="C140" s="792"/>
      <c r="D140" s="792"/>
      <c r="E140" s="792"/>
      <c r="F140" s="792"/>
      <c r="G140" s="792"/>
      <c r="H140" s="792"/>
      <c r="I140" s="792"/>
    </row>
    <row r="141" spans="1:35" ht="21.75" customHeight="1">
      <c r="A141" s="792"/>
      <c r="B141" s="2540"/>
      <c r="C141" s="2540"/>
      <c r="D141" s="2540"/>
      <c r="E141" s="2540"/>
      <c r="F141" s="2540"/>
      <c r="G141" s="2540"/>
      <c r="H141" s="2540"/>
      <c r="I141" s="2541" t="s">
        <v>2326</v>
      </c>
    </row>
    <row r="142" spans="1:35" ht="21.75" customHeight="1">
      <c r="A142" s="792"/>
      <c r="B142" s="2542"/>
      <c r="C142" s="2543"/>
      <c r="D142" s="2544"/>
      <c r="E142" s="2544"/>
      <c r="F142" s="2336"/>
      <c r="G142" s="792"/>
      <c r="H142" s="792"/>
      <c r="I142" s="792"/>
    </row>
    <row r="143" spans="1:35" s="137" customFormat="1" ht="21.75" customHeight="1">
      <c r="A143" s="792"/>
      <c r="B143" s="2542"/>
      <c r="C143" s="2543"/>
      <c r="D143" s="2544"/>
      <c r="E143" s="2544"/>
      <c r="F143" s="233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346" t="str">
        <f>项目基本情况!B1</f>
        <v>北京市房山区琉璃河镇中心区E-07地块1#综合厂房等3项、2#厂房等18项（中粮科技园标准厂房及配套附属设施建设项目）出让国有建设用地使用权及在建建筑物房地产抵押价值预评估</v>
      </c>
      <c r="C37" s="3346"/>
      <c r="D37" s="3346"/>
      <c r="E37" s="3346"/>
      <c r="F37" s="3346"/>
      <c r="G37" s="3346"/>
      <c r="H37" s="3346"/>
      <c r="I37" s="3346"/>
    </row>
    <row r="38" spans="1:9">
      <c r="A38" s="1015"/>
      <c r="B38" s="1015"/>
    </row>
    <row r="39" spans="1:9">
      <c r="A39" s="1013" t="s">
        <v>818</v>
      </c>
      <c r="B39" s="1013" t="s">
        <v>820</v>
      </c>
    </row>
    <row r="40" spans="1:9">
      <c r="A40" s="1013"/>
      <c r="B40" s="1941" t="str">
        <f>项目基本情况!B5</f>
        <v>中粮（北京）农业生态谷发展有限公司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 ca="1">项目基本情况!K4</f>
        <v>吴薇（注册号：1419970001)、崔锴（注册号：1120100036)</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0" zoomScaleNormal="80" workbookViewId="0">
      <selection activeCell="C6" sqref="C6"/>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2328</v>
      </c>
      <c r="B1" s="1936"/>
      <c r="C1" s="240"/>
      <c r="D1" s="240"/>
      <c r="E1" s="240"/>
      <c r="F1" s="240"/>
      <c r="G1" s="1378">
        <f>MATCH(B1,'数据-取费表'!A6:A16,0)+5</f>
        <v>9</v>
      </c>
    </row>
    <row r="2" spans="1:9" s="242" customFormat="1" ht="18" customHeight="1">
      <c r="A2" s="243" t="s">
        <v>2329</v>
      </c>
      <c r="B2" s="244">
        <f ca="1">IF(D2="——",C52,C52-E2)</f>
        <v>35577</v>
      </c>
      <c r="C2" s="241" t="s">
        <v>2330</v>
      </c>
      <c r="D2" s="2545" t="s">
        <v>70</v>
      </c>
      <c r="E2" s="1439" t="e">
        <f ca="1">SUMIF(INDIRECT("'"&amp;G2&amp;"'"&amp;"!A:A"),"承租人权益价值",INDIRECT("'"&amp;G2&amp;"'"&amp;"!c:c"))</f>
        <v>#REF!</v>
      </c>
      <c r="F2" s="2546" t="s">
        <v>2330</v>
      </c>
      <c r="G2" s="2547"/>
    </row>
    <row r="3" spans="1:9" s="242" customFormat="1" ht="18" customHeight="1" thickBot="1">
      <c r="A3" s="245" t="s">
        <v>2331</v>
      </c>
      <c r="B3" s="246">
        <f ca="1">ROUND(B2*10000/(IF(B1="",'数据-汇总表'!E3,INDIRECT("'数据-取费表'!k"&amp;$G$1))),0)</f>
        <v>3444</v>
      </c>
      <c r="C3" s="241" t="s">
        <v>2332</v>
      </c>
      <c r="D3" s="241"/>
      <c r="E3" s="241"/>
      <c r="F3" s="241"/>
      <c r="G3" s="241"/>
    </row>
    <row r="4" spans="1:9" s="250" customFormat="1" ht="16.2">
      <c r="A4" s="247" t="s">
        <v>2333</v>
      </c>
      <c r="B4" s="248"/>
      <c r="C4" s="248"/>
      <c r="D4" s="248"/>
      <c r="E4" s="248"/>
      <c r="F4" s="248"/>
      <c r="G4" s="249"/>
    </row>
    <row r="5" spans="1:9" s="256" customFormat="1" ht="13.5" customHeight="1">
      <c r="A5" s="297" t="s">
        <v>2334</v>
      </c>
      <c r="B5" s="252" t="s">
        <v>2335</v>
      </c>
      <c r="C5" s="253">
        <f>C6+C7+C8</f>
        <v>9364</v>
      </c>
      <c r="D5" s="253" t="s">
        <v>2336</v>
      </c>
      <c r="E5" s="254" t="s">
        <v>2337</v>
      </c>
      <c r="F5" s="254" t="s">
        <v>2338</v>
      </c>
      <c r="G5" s="255"/>
    </row>
    <row r="6" spans="1:9" s="256" customFormat="1" ht="13.5" customHeight="1">
      <c r="A6" s="948" t="s">
        <v>2339</v>
      </c>
      <c r="B6" s="257" t="s">
        <v>2340</v>
      </c>
      <c r="C6" s="258">
        <f>'土地比较法-工业'!B2</f>
        <v>9087</v>
      </c>
      <c r="D6" s="259"/>
      <c r="E6" s="260"/>
      <c r="F6" s="260"/>
      <c r="G6" s="261"/>
    </row>
    <row r="7" spans="1:9" s="256" customFormat="1" ht="13.5" customHeight="1">
      <c r="A7" s="948" t="s">
        <v>2341</v>
      </c>
      <c r="B7" s="257" t="s">
        <v>2342</v>
      </c>
      <c r="C7" s="262">
        <f>ROUND(C6*F7,0)</f>
        <v>277</v>
      </c>
      <c r="D7" s="262"/>
      <c r="E7" s="260"/>
      <c r="F7" s="263">
        <f>'数据-取费表'!B48+'数据-取费表'!B49</f>
        <v>3.0499999999999999E-2</v>
      </c>
      <c r="G7" s="261"/>
    </row>
    <row r="8" spans="1:9" s="265" customFormat="1">
      <c r="A8" s="948" t="s">
        <v>2343</v>
      </c>
      <c r="B8" s="257" t="s">
        <v>2344</v>
      </c>
      <c r="C8" s="262">
        <f>IF(G8="已包含在土地购买价格中","0",IF(B1="",'数据-取费表'!B29,IF(G9="全部缴纳",C9+C10,H9)))</f>
        <v>0</v>
      </c>
      <c r="D8" s="264"/>
      <c r="E8" s="262"/>
      <c r="F8" s="263"/>
      <c r="G8" s="2548" t="s">
        <v>3120</v>
      </c>
    </row>
    <row r="9" spans="1:9" s="256" customFormat="1" ht="13.5" customHeight="1">
      <c r="A9" s="949" t="s">
        <v>800</v>
      </c>
      <c r="B9" s="266" t="s">
        <v>2345</v>
      </c>
      <c r="C9" s="267">
        <f ca="1">ROUND(D9*E9/10000,0)</f>
        <v>0</v>
      </c>
      <c r="D9" s="1031">
        <f ca="1">IF(B1="",'数据-汇总表'!E5,IF(INDIRECT("'数据-取费表'!c"&amp;$G$1)="住宅",INDIRECT("'数据-取费表'!k"&amp;$G$1),0))</f>
        <v>0</v>
      </c>
      <c r="E9" s="267">
        <f>'数据-取费表'!B27</f>
        <v>0</v>
      </c>
      <c r="F9" s="263"/>
      <c r="G9" s="2549" t="s">
        <v>3122</v>
      </c>
      <c r="H9" s="1389"/>
      <c r="I9" s="2550" t="s">
        <v>2346</v>
      </c>
    </row>
    <row r="10" spans="1:9" s="256" customFormat="1" ht="13.5" customHeight="1">
      <c r="A10" s="949" t="s">
        <v>801</v>
      </c>
      <c r="B10" s="266" t="s">
        <v>2347</v>
      </c>
      <c r="C10" s="267">
        <f ca="1">ROUND(D10*E10/10000,0)</f>
        <v>1963</v>
      </c>
      <c r="D10" s="1031">
        <f ca="1">IF(B1="",'数据-汇总表'!E6,IF(INDIRECT("'数据-取费表'!c"&amp;$G$1)="住宅",INDIRECT("'数据-取费表'!s"&amp;$G$1),INDIRECT("'数据-取费表'!k"&amp;$G$1)+INDIRECT("'数据-取费表'!s"&amp;$G$1)))</f>
        <v>103304.44</v>
      </c>
      <c r="E10" s="267">
        <f>'数据-取费表'!B28</f>
        <v>190</v>
      </c>
      <c r="F10" s="263"/>
      <c r="G10" s="268"/>
    </row>
    <row r="11" spans="1:9" s="256" customFormat="1" ht="13.5" hidden="1" customHeight="1">
      <c r="A11" s="269" t="s">
        <v>7</v>
      </c>
      <c r="B11" s="257" t="s">
        <v>2348</v>
      </c>
      <c r="C11" s="253"/>
      <c r="D11" s="1033"/>
      <c r="E11" s="260"/>
      <c r="F11" s="260"/>
      <c r="G11" s="261"/>
    </row>
    <row r="12" spans="1:9" s="256" customFormat="1" ht="13.5" hidden="1" customHeight="1">
      <c r="A12" s="269" t="s">
        <v>8</v>
      </c>
      <c r="B12" s="257" t="s">
        <v>2349</v>
      </c>
      <c r="C12" s="253">
        <v>0</v>
      </c>
      <c r="D12" s="1033"/>
      <c r="E12" s="270"/>
      <c r="F12" s="263">
        <v>3.0499999999999999E-2</v>
      </c>
      <c r="G12" s="261"/>
    </row>
    <row r="13" spans="1:9" s="256" customFormat="1" ht="13.5" hidden="1" customHeight="1">
      <c r="A13" s="269" t="s">
        <v>9</v>
      </c>
      <c r="B13" s="257" t="s">
        <v>2350</v>
      </c>
      <c r="C13" s="253"/>
      <c r="D13" s="1033"/>
      <c r="E13" s="260"/>
      <c r="F13" s="260"/>
      <c r="G13" s="261"/>
    </row>
    <row r="14" spans="1:9" s="256" customFormat="1" ht="13.5" hidden="1" customHeight="1">
      <c r="A14" s="269" t="s">
        <v>10</v>
      </c>
      <c r="B14" s="257" t="s">
        <v>2351</v>
      </c>
      <c r="C14" s="253"/>
      <c r="D14" s="1033"/>
      <c r="E14" s="260"/>
      <c r="F14" s="260"/>
      <c r="G14" s="261" t="s">
        <v>2352</v>
      </c>
    </row>
    <row r="15" spans="1:9" s="256" customFormat="1" ht="13.5" hidden="1" customHeight="1">
      <c r="A15" s="269" t="s">
        <v>11</v>
      </c>
      <c r="B15" s="257" t="s">
        <v>2353</v>
      </c>
      <c r="C15" s="262"/>
      <c r="D15" s="1033"/>
      <c r="E15" s="260"/>
      <c r="F15" s="260"/>
      <c r="G15" s="261" t="s">
        <v>2354</v>
      </c>
    </row>
    <row r="16" spans="1:9" s="256" customFormat="1" ht="13.5" hidden="1" customHeight="1">
      <c r="A16" s="269" t="s">
        <v>12</v>
      </c>
      <c r="B16" s="257" t="s">
        <v>2351</v>
      </c>
      <c r="C16" s="262"/>
      <c r="D16" s="1033"/>
      <c r="E16" s="260"/>
      <c r="F16" s="260"/>
      <c r="G16" s="261"/>
    </row>
    <row r="17" spans="1:7" s="256" customFormat="1" ht="13.5" hidden="1" customHeight="1">
      <c r="A17" s="269" t="s">
        <v>13</v>
      </c>
      <c r="B17" s="257" t="s">
        <v>2355</v>
      </c>
      <c r="C17" s="271"/>
      <c r="D17" s="1034"/>
      <c r="E17" s="271"/>
      <c r="F17" s="271"/>
      <c r="G17" s="261" t="s">
        <v>2354</v>
      </c>
    </row>
    <row r="18" spans="1:7" s="256" customFormat="1" ht="13.5" hidden="1" customHeight="1">
      <c r="A18" s="269" t="s">
        <v>14</v>
      </c>
      <c r="B18" s="257" t="s">
        <v>2356</v>
      </c>
      <c r="C18" s="262">
        <v>0</v>
      </c>
      <c r="D18" s="1033"/>
      <c r="E18" s="260"/>
      <c r="F18" s="263">
        <v>3.0499999999999999E-2</v>
      </c>
      <c r="G18" s="261" t="s">
        <v>2357</v>
      </c>
    </row>
    <row r="19" spans="1:7" s="265" customFormat="1" ht="13.5" customHeight="1">
      <c r="A19" s="297" t="s">
        <v>2358</v>
      </c>
      <c r="B19" s="252" t="s">
        <v>2359</v>
      </c>
      <c r="C19" s="253" t="str">
        <f>IF(G19="已包含在土地取得成本中","0",ROUND(D19*E19/10000,0))</f>
        <v>0</v>
      </c>
      <c r="D19" s="1035">
        <f ca="1">D9+D10</f>
        <v>103304.44</v>
      </c>
      <c r="E19" s="253">
        <f>'数据-取费表'!B31</f>
        <v>190</v>
      </c>
      <c r="F19" s="273"/>
      <c r="G19" s="2548" t="s">
        <v>3121</v>
      </c>
    </row>
    <row r="20" spans="1:7" s="256" customFormat="1" ht="13.5" customHeight="1">
      <c r="A20" s="297" t="s">
        <v>2360</v>
      </c>
      <c r="B20" s="252" t="s">
        <v>2361</v>
      </c>
      <c r="C20" s="274">
        <f>ROUND((C5+C19)*F20,0)</f>
        <v>187</v>
      </c>
      <c r="D20" s="274"/>
      <c r="E20" s="274"/>
      <c r="F20" s="275">
        <f>'数据-取费表'!B37</f>
        <v>0.02</v>
      </c>
      <c r="G20" s="276" t="s">
        <v>2362</v>
      </c>
    </row>
    <row r="21" spans="1:7" s="256" customFormat="1" ht="13.5" customHeight="1">
      <c r="A21" s="297" t="s">
        <v>2363</v>
      </c>
      <c r="B21" s="252" t="s">
        <v>2364</v>
      </c>
      <c r="C21" s="277">
        <f>F21</f>
        <v>0.02</v>
      </c>
      <c r="D21" s="278" t="s">
        <v>2365</v>
      </c>
      <c r="E21" s="274"/>
      <c r="F21" s="275">
        <f>'数据-取费表'!B38</f>
        <v>0.02</v>
      </c>
      <c r="G21" s="276" t="s">
        <v>2366</v>
      </c>
    </row>
    <row r="22" spans="1:7" s="256" customFormat="1" ht="13.5" customHeight="1">
      <c r="A22" s="297" t="s">
        <v>2367</v>
      </c>
      <c r="B22" s="252" t="s">
        <v>2368</v>
      </c>
      <c r="C22" s="1353">
        <f ca="1">ROUND(SUM(C23:C25),0)</f>
        <v>588</v>
      </c>
      <c r="D22" s="277">
        <f ca="1">C26</f>
        <v>5.9999999999999995E-4</v>
      </c>
      <c r="E22" s="278" t="s">
        <v>2365</v>
      </c>
      <c r="F22" s="279">
        <f ca="1">'数据-取费表'!B40</f>
        <v>4.7500000000000001E-2</v>
      </c>
      <c r="G22" s="276" t="str">
        <f>IF('数据-取费表'!B22&lt;=1,"单利计息","复利计息")</f>
        <v>复利计息</v>
      </c>
    </row>
    <row r="23" spans="1:7" s="256" customFormat="1" ht="13.5" customHeight="1">
      <c r="A23" s="950" t="s">
        <v>2369</v>
      </c>
      <c r="B23" s="257" t="s">
        <v>2370</v>
      </c>
      <c r="C23" s="1354">
        <f ca="1">ROUND(IF('数据-取费表'!B22&lt;=1,C5*F22*'数据-取费表'!B23,C5*(POWER((1+F22),'数据-取费表'!B23)-1)),0)</f>
        <v>582</v>
      </c>
      <c r="D23" s="280"/>
      <c r="E23" s="280"/>
      <c r="F23" s="281"/>
      <c r="G23" s="282" t="s">
        <v>2371</v>
      </c>
    </row>
    <row r="24" spans="1:7" s="256" customFormat="1" ht="13.5" customHeight="1">
      <c r="A24" s="950" t="s">
        <v>2372</v>
      </c>
      <c r="B24" s="257" t="s">
        <v>2373</v>
      </c>
      <c r="C24" s="1354">
        <f ca="1">ROUND(IF('数据-取费表'!B22&lt;=1,C19*F22*('数据-取费表'!B19/2+'数据-取费表'!B21),C19*(POWER((1+F22),('数据-取费表'!B19/2+'数据-取费表'!B21))-1)),0)</f>
        <v>0</v>
      </c>
      <c r="D24" s="280"/>
      <c r="E24" s="280"/>
      <c r="F24" s="281"/>
      <c r="G24" s="282" t="s">
        <v>2374</v>
      </c>
    </row>
    <row r="25" spans="1:7" s="256" customFormat="1" ht="24">
      <c r="A25" s="950" t="s">
        <v>2375</v>
      </c>
      <c r="B25" s="257" t="s">
        <v>2376</v>
      </c>
      <c r="C25" s="1354">
        <f ca="1">ROUND(IF('数据-取费表'!B22&lt;=1,C20*F22*'数据-取费表'!B23/2,C20*(POWER((1+F22),'数据-取费表'!B23/2)-1)),0)</f>
        <v>6</v>
      </c>
      <c r="D25" s="280"/>
      <c r="E25" s="283"/>
      <c r="F25" s="281"/>
      <c r="G25" s="284" t="s">
        <v>2377</v>
      </c>
    </row>
    <row r="26" spans="1:7" s="256" customFormat="1">
      <c r="A26" s="950" t="s">
        <v>795</v>
      </c>
      <c r="B26" s="257" t="s">
        <v>2378</v>
      </c>
      <c r="C26" s="280">
        <f ca="1">ROUND(IF('数据-取费表'!B22&lt;=1,F21*F22*'数据-取费表'!B23/2,F21*(POWER((1+F22),'数据-取费表'!B23/2)-1)),4)</f>
        <v>5.9999999999999995E-4</v>
      </c>
      <c r="D26" s="280"/>
      <c r="E26" s="283"/>
      <c r="F26" s="281"/>
      <c r="G26" s="285"/>
    </row>
    <row r="27" spans="1:7" s="256" customFormat="1" ht="26.4">
      <c r="A27" s="297" t="s">
        <v>2379</v>
      </c>
      <c r="B27" s="286" t="s">
        <v>2380</v>
      </c>
      <c r="C27" s="287">
        <f ca="1">C28</f>
        <v>869</v>
      </c>
      <c r="D27" s="277">
        <f ca="1">C29</f>
        <v>1.8E-3</v>
      </c>
      <c r="E27" s="278" t="s">
        <v>2381</v>
      </c>
      <c r="F27" s="288">
        <f ca="1">IF(B1="",'数据-取费表'!Q16,INDIRECT("'数据-取费表'!q"&amp;$G$1))</f>
        <v>0.14000000000000001</v>
      </c>
      <c r="G27" s="289" t="s">
        <v>2382</v>
      </c>
    </row>
    <row r="28" spans="1:7" s="256" customFormat="1" ht="13.5" customHeight="1">
      <c r="A28" s="950" t="s">
        <v>791</v>
      </c>
      <c r="B28" s="290" t="s">
        <v>2383</v>
      </c>
      <c r="C28" s="291">
        <f ca="1">ROUND((C5+C19+C20)*F27*'数据-取费表'!B21/'数据-取费表'!B20,0)</f>
        <v>869</v>
      </c>
      <c r="D28" s="277"/>
      <c r="E28" s="278"/>
      <c r="F28" s="288"/>
      <c r="G28" s="289"/>
    </row>
    <row r="29" spans="1:7" s="256" customFormat="1" ht="13.5" customHeight="1">
      <c r="A29" s="950" t="s">
        <v>792</v>
      </c>
      <c r="B29" s="290" t="s">
        <v>2384</v>
      </c>
      <c r="C29" s="280">
        <f ca="1">ROUND(C21*F27*'数据-取费表'!B21/'数据-取费表'!B20,4)</f>
        <v>1.8E-3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11898</v>
      </c>
      <c r="D31" s="272"/>
      <c r="E31" s="253"/>
      <c r="F31" s="292"/>
      <c r="G31" s="276" t="s">
        <v>2389</v>
      </c>
    </row>
    <row r="32" spans="1:7" s="250" customFormat="1" ht="16.2">
      <c r="A32" s="294" t="s">
        <v>2390</v>
      </c>
      <c r="B32" s="295"/>
      <c r="C32" s="295"/>
      <c r="D32" s="295"/>
      <c r="E32" s="295"/>
      <c r="F32" s="295"/>
      <c r="G32" s="296"/>
    </row>
    <row r="33" spans="1:7" s="256" customFormat="1" ht="13.5" customHeight="1">
      <c r="A33" s="297" t="s">
        <v>782</v>
      </c>
      <c r="B33" s="252" t="s">
        <v>2391</v>
      </c>
      <c r="C33" s="298">
        <f ca="1">SUM(C34:C38)</f>
        <v>18328</v>
      </c>
      <c r="D33" s="274"/>
      <c r="E33" s="254"/>
      <c r="F33" s="283"/>
      <c r="G33" s="276"/>
    </row>
    <row r="34" spans="1:7" s="300" customFormat="1" ht="13.5" customHeight="1">
      <c r="A34" s="950" t="s">
        <v>791</v>
      </c>
      <c r="B34" s="257" t="s">
        <v>2392</v>
      </c>
      <c r="C34" s="262">
        <f ca="1">IF(B1="",IF(F34=100%,'数据-取费表'!M16,'数据-取费表'!O16),IF(F34=100%,INDIRECT("'数据-取费表'!m"&amp;$G$1)+INDIRECT("'数据-取费表'!t"&amp;$G$1),INDIRECT("'数据-取费表'!o"&amp;$G$1)+INDIRECT("'数据-取费表'!aq"&amp;$G$1)))</f>
        <v>16103</v>
      </c>
      <c r="D34" s="259"/>
      <c r="E34" s="262"/>
      <c r="F34" s="299">
        <f ca="1">IF('数据-取费表'!B24=0,1,IF(B1="",'数据-取费表'!N16,INDIRECT("'数据-取费表'!n"&amp;$G$1)))</f>
        <v>0.64800000000000002</v>
      </c>
      <c r="G34" s="261" t="s">
        <v>2393</v>
      </c>
    </row>
    <row r="35" spans="1:7" ht="13.5" customHeight="1">
      <c r="A35" s="950" t="s">
        <v>796</v>
      </c>
      <c r="B35" s="257" t="s">
        <v>2394</v>
      </c>
      <c r="C35" s="262">
        <f ca="1">ROUND(C34*F35,0)</f>
        <v>644</v>
      </c>
      <c r="D35" s="262"/>
      <c r="E35" s="262"/>
      <c r="F35" s="301">
        <f>'数据-取费表'!B33</f>
        <v>0.04</v>
      </c>
      <c r="G35" s="261" t="s">
        <v>2395</v>
      </c>
    </row>
    <row r="36" spans="1:7" ht="24">
      <c r="A36" s="950" t="s">
        <v>797</v>
      </c>
      <c r="B36" s="257" t="s">
        <v>2396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2397</v>
      </c>
    </row>
    <row r="37" spans="1:7" s="300" customFormat="1" ht="13.5" customHeight="1">
      <c r="A37" s="950" t="s">
        <v>798</v>
      </c>
      <c r="B37" s="257" t="s">
        <v>2398</v>
      </c>
      <c r="C37" s="291">
        <f ca="1">ROUND(E37*D37*F34/10000,0)</f>
        <v>1339</v>
      </c>
      <c r="D37" s="259">
        <f ca="1">D19</f>
        <v>103304.44</v>
      </c>
      <c r="E37" s="291">
        <f>'数据-取费表'!B35</f>
        <v>200</v>
      </c>
      <c r="F37" s="301"/>
      <c r="G37" s="303" t="s">
        <v>2399</v>
      </c>
    </row>
    <row r="38" spans="1:7" ht="13.5" customHeight="1">
      <c r="A38" s="950" t="s">
        <v>799</v>
      </c>
      <c r="B38" s="257" t="s">
        <v>2400</v>
      </c>
      <c r="C38" s="262">
        <f ca="1">ROUND(C34*F38,0)</f>
        <v>242</v>
      </c>
      <c r="D38" s="262"/>
      <c r="E38" s="262"/>
      <c r="F38" s="301">
        <f>'数据-取费表'!B36</f>
        <v>1.4999999999999999E-2</v>
      </c>
      <c r="G38" s="261" t="s">
        <v>2395</v>
      </c>
    </row>
    <row r="39" spans="1:7" s="256" customFormat="1" ht="13.5" customHeight="1">
      <c r="A39" s="297" t="s">
        <v>2401</v>
      </c>
      <c r="B39" s="252" t="s">
        <v>2402</v>
      </c>
      <c r="C39" s="274">
        <f ca="1">ROUND(C33*F20,0)</f>
        <v>367</v>
      </c>
      <c r="D39" s="274"/>
      <c r="E39" s="274"/>
      <c r="F39" s="275"/>
      <c r="G39" s="276" t="s">
        <v>2403</v>
      </c>
    </row>
    <row r="40" spans="1:7" s="256" customFormat="1" ht="13.5" customHeight="1">
      <c r="A40" s="297" t="s">
        <v>2404</v>
      </c>
      <c r="B40" s="252" t="s">
        <v>2405</v>
      </c>
      <c r="C40" s="1727">
        <f>F21</f>
        <v>0.02</v>
      </c>
      <c r="D40" s="278" t="s">
        <v>2406</v>
      </c>
      <c r="E40" s="274"/>
      <c r="F40" s="275"/>
      <c r="G40" s="276" t="s">
        <v>2407</v>
      </c>
    </row>
    <row r="41" spans="1:7" s="256" customFormat="1" ht="13.5" customHeight="1">
      <c r="A41" s="297" t="s">
        <v>2408</v>
      </c>
      <c r="B41" s="252" t="s">
        <v>2409</v>
      </c>
      <c r="C41" s="274">
        <f ca="1">ROUND(SUM(C42:C43),0)</f>
        <v>572</v>
      </c>
      <c r="D41" s="277">
        <f ca="1">C44</f>
        <v>5.9999999999999995E-4</v>
      </c>
      <c r="E41" s="278" t="s">
        <v>2406</v>
      </c>
      <c r="F41" s="279"/>
      <c r="G41" s="276" t="str">
        <f>IF('数据-取费表'!B22&lt;=1,"单利计息","复利计息")</f>
        <v>复利计息</v>
      </c>
    </row>
    <row r="42" spans="1:7" ht="13.5" customHeight="1">
      <c r="A42" s="950" t="s">
        <v>791</v>
      </c>
      <c r="B42" s="257" t="s">
        <v>2410</v>
      </c>
      <c r="C42" s="280">
        <f ca="1">ROUND(IF('数据-取费表'!B22&lt;=1,C33*F22*'数据-取费表'!B21/2,C33*(POWER((1+F22),'数据-取费表'!B21/2)-1)),0)</f>
        <v>561</v>
      </c>
      <c r="D42" s="280"/>
      <c r="E42" s="280"/>
      <c r="F42" s="281"/>
      <c r="G42" s="3537" t="s">
        <v>2411</v>
      </c>
    </row>
    <row r="43" spans="1:7" ht="13.5" customHeight="1">
      <c r="A43" s="950" t="s">
        <v>792</v>
      </c>
      <c r="B43" s="257" t="s">
        <v>2412</v>
      </c>
      <c r="C43" s="280">
        <f ca="1">ROUND(IF('数据-取费表'!B22&lt;=1,C39*F22*'数据-取费表'!B21/2,C39*(POWER((1+F22),'数据-取费表'!B21/2)-1)),0)</f>
        <v>11</v>
      </c>
      <c r="D43" s="280"/>
      <c r="E43" s="280"/>
      <c r="F43" s="281"/>
      <c r="G43" s="3538"/>
    </row>
    <row r="44" spans="1:7" ht="13.5" customHeight="1">
      <c r="A44" s="950" t="s">
        <v>793</v>
      </c>
      <c r="B44" s="257" t="s">
        <v>2413</v>
      </c>
      <c r="C44" s="280">
        <f ca="1">ROUND(IF('数据-取费表'!B22&lt;=1,C40*F22*'数据-取费表'!B21/2,C40*(POWER((1+F22),'数据-取费表'!B21/2)-1)),4)</f>
        <v>5.9999999999999995E-4</v>
      </c>
      <c r="D44" s="280"/>
      <c r="E44" s="280"/>
      <c r="F44" s="281"/>
      <c r="G44" s="3539"/>
    </row>
    <row r="45" spans="1:7" s="256" customFormat="1" ht="13.5" customHeight="1">
      <c r="A45" s="297" t="s">
        <v>2414</v>
      </c>
      <c r="B45" s="286" t="s">
        <v>2380</v>
      </c>
      <c r="C45" s="287">
        <f ca="1">C46</f>
        <v>2617</v>
      </c>
      <c r="D45" s="277">
        <f ca="1">C47</f>
        <v>2.8E-3</v>
      </c>
      <c r="E45" s="278" t="s">
        <v>2406</v>
      </c>
      <c r="F45" s="288"/>
      <c r="G45" s="289" t="s">
        <v>2415</v>
      </c>
    </row>
    <row r="46" spans="1:7" s="256" customFormat="1" ht="13.5" customHeight="1">
      <c r="A46" s="950" t="s">
        <v>791</v>
      </c>
      <c r="B46" s="290" t="s">
        <v>2416</v>
      </c>
      <c r="C46" s="291">
        <f ca="1">ROUND((C33+C39)*F27,0)</f>
        <v>2617</v>
      </c>
      <c r="D46" s="305"/>
      <c r="E46" s="278"/>
      <c r="F46" s="288"/>
      <c r="G46" s="289"/>
    </row>
    <row r="47" spans="1:7" s="256" customFormat="1" ht="13.5" customHeight="1">
      <c r="A47" s="950" t="s">
        <v>792</v>
      </c>
      <c r="B47" s="290" t="s">
        <v>2417</v>
      </c>
      <c r="C47" s="280">
        <f ca="1">ROUND(C40*F27,4)</f>
        <v>2.8E-3</v>
      </c>
      <c r="D47" s="305"/>
      <c r="E47" s="278"/>
      <c r="F47" s="288"/>
      <c r="G47" s="289"/>
    </row>
    <row r="48" spans="1:7" s="256" customFormat="1" ht="13.5" customHeight="1">
      <c r="A48" s="297" t="s">
        <v>2379</v>
      </c>
      <c r="B48" s="252" t="s">
        <v>2418</v>
      </c>
      <c r="C48" s="1727">
        <f>ROUND(F30/(1+'数据-取费表'!C42),4)</f>
        <v>5.2400000000000002E-2</v>
      </c>
      <c r="D48" s="278" t="s">
        <v>2406</v>
      </c>
      <c r="E48" s="274"/>
      <c r="F48" s="279"/>
      <c r="G48" s="276" t="s">
        <v>2419</v>
      </c>
    </row>
    <row r="49" spans="1:7" ht="16.5" customHeight="1">
      <c r="A49" s="297" t="s">
        <v>2385</v>
      </c>
      <c r="B49" s="252" t="s">
        <v>2420</v>
      </c>
      <c r="C49" s="274">
        <f ca="1">ROUND((C33+C39+C41+C45)/(1-C40-D41-D45-C48),0)</f>
        <v>23679</v>
      </c>
      <c r="D49" s="274"/>
      <c r="E49" s="274"/>
      <c r="F49" s="306"/>
      <c r="G49" s="276" t="s">
        <v>2421</v>
      </c>
    </row>
    <row r="50" spans="1:7" s="300" customFormat="1" ht="24">
      <c r="A50" s="297" t="s">
        <v>2422</v>
      </c>
      <c r="B50" s="252" t="s">
        <v>2423</v>
      </c>
      <c r="C50" s="274"/>
      <c r="D50" s="274"/>
      <c r="E50" s="274"/>
      <c r="F50" s="306">
        <f>IF('数据-取费表'!B24=0,'数据-取费表'!N16,1)</f>
        <v>1</v>
      </c>
      <c r="G50" s="289" t="s">
        <v>2424</v>
      </c>
    </row>
    <row r="51" spans="1:7" ht="16.5" customHeight="1">
      <c r="A51" s="297" t="s">
        <v>2425</v>
      </c>
      <c r="B51" s="252" t="s">
        <v>2426</v>
      </c>
      <c r="C51" s="274">
        <f ca="1">ROUND(C49*F50,0)</f>
        <v>23679</v>
      </c>
      <c r="D51" s="274"/>
      <c r="E51" s="274"/>
      <c r="F51" s="306"/>
      <c r="G51" s="276" t="s">
        <v>2427</v>
      </c>
    </row>
    <row r="52" spans="1:7" s="250" customFormat="1" ht="16.8" thickBot="1">
      <c r="A52" s="307" t="s">
        <v>2428</v>
      </c>
      <c r="B52" s="308"/>
      <c r="C52" s="309">
        <f ca="1">C31+C51</f>
        <v>35577</v>
      </c>
      <c r="D52" s="308"/>
      <c r="E52" s="308"/>
      <c r="F52" s="308"/>
      <c r="G52" s="310"/>
    </row>
    <row r="55" spans="1:7" ht="15">
      <c r="B55" s="312" t="s">
        <v>2429</v>
      </c>
      <c r="C55" s="313"/>
    </row>
    <row r="56" spans="1:7">
      <c r="B56" s="315" t="s">
        <v>1513</v>
      </c>
      <c r="C56" s="317">
        <f ca="1">1-C57</f>
        <v>0.33399999999999996</v>
      </c>
    </row>
    <row r="57" spans="1:7">
      <c r="B57" s="315" t="s">
        <v>1514</v>
      </c>
      <c r="C57" s="316">
        <f ca="1">ROUND(C51/C52,3)</f>
        <v>0.66600000000000004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2328</v>
      </c>
      <c r="B1" s="1936"/>
      <c r="C1" s="2551" t="s">
        <v>2430</v>
      </c>
      <c r="D1" s="240"/>
      <c r="E1" s="240"/>
      <c r="F1" s="240"/>
      <c r="G1" s="1378">
        <f>MATCH(B1,'数据-取费表'!A6:A16,0)+5</f>
        <v>9</v>
      </c>
      <c r="H1" s="1281" t="str">
        <f>IF(ISERROR(FIND("住宅",B1)),"非住宅","住宅")</f>
        <v>非住宅</v>
      </c>
    </row>
    <row r="2" spans="1:8" s="242" customFormat="1" ht="18" customHeight="1">
      <c r="A2" s="243" t="s">
        <v>2329</v>
      </c>
      <c r="B2" s="244">
        <f ca="1">ROUND(IF(D2="——",C52/10000,C52/10000-E2),0)</f>
        <v>42464</v>
      </c>
      <c r="C2" s="241" t="s">
        <v>2330</v>
      </c>
      <c r="D2" s="2545" t="s">
        <v>70</v>
      </c>
      <c r="E2" s="1439" t="e">
        <f ca="1">SUMIF(INDIRECT("'"&amp;G2&amp;"'"&amp;"!A:A"),"承租人权益价值",INDIRECT("'"&amp;G2&amp;"'"&amp;"!c:c"))</f>
        <v>#REF!</v>
      </c>
      <c r="F2" s="2546" t="s">
        <v>2330</v>
      </c>
      <c r="G2" s="2547"/>
    </row>
    <row r="3" spans="1:8" s="242" customFormat="1" ht="18" customHeight="1" thickBot="1">
      <c r="A3" s="245" t="s">
        <v>2331</v>
      </c>
      <c r="B3" s="246">
        <f ca="1">ROUND(B2*10000/(IF(B1="",'数据-汇总表'!E3,INDIRECT("'数据-取费表'!k"&amp;$G$1))),0)</f>
        <v>4111</v>
      </c>
      <c r="C3" s="241" t="s">
        <v>2332</v>
      </c>
      <c r="D3" s="241"/>
      <c r="E3" s="241"/>
      <c r="F3" s="241"/>
      <c r="G3" s="241"/>
    </row>
    <row r="4" spans="1:8" s="250" customFormat="1" ht="16.2">
      <c r="A4" s="247" t="s">
        <v>2333</v>
      </c>
      <c r="B4" s="248"/>
      <c r="C4" s="248"/>
      <c r="D4" s="248"/>
      <c r="E4" s="248"/>
      <c r="F4" s="248"/>
      <c r="G4" s="249"/>
    </row>
    <row r="5" spans="1:8" s="256" customFormat="1" ht="13.5" customHeight="1">
      <c r="A5" s="297" t="s">
        <v>2334</v>
      </c>
      <c r="B5" s="252" t="s">
        <v>2335</v>
      </c>
      <c r="C5" s="253">
        <f ca="1">C6+C7+C8</f>
        <v>19627844</v>
      </c>
      <c r="D5" s="253" t="s">
        <v>2336</v>
      </c>
      <c r="E5" s="254" t="s">
        <v>2337</v>
      </c>
      <c r="F5" s="254" t="s">
        <v>2338</v>
      </c>
      <c r="G5" s="255"/>
    </row>
    <row r="6" spans="1:8" s="256" customFormat="1" ht="13.5" customHeight="1">
      <c r="A6" s="948" t="s">
        <v>2339</v>
      </c>
      <c r="B6" s="257" t="s">
        <v>2340</v>
      </c>
      <c r="C6" s="258"/>
      <c r="D6" s="259"/>
      <c r="E6" s="260"/>
      <c r="F6" s="260"/>
      <c r="G6" s="261"/>
    </row>
    <row r="7" spans="1:8" s="256" customFormat="1" ht="13.5" customHeight="1">
      <c r="A7" s="948" t="s">
        <v>2341</v>
      </c>
      <c r="B7" s="257" t="s">
        <v>2342</v>
      </c>
      <c r="C7" s="262">
        <f>ROUND(C6*F7,0)</f>
        <v>0</v>
      </c>
      <c r="D7" s="262"/>
      <c r="E7" s="260"/>
      <c r="F7" s="263">
        <f>'数据-取费表'!B48+'数据-取费表'!B49</f>
        <v>3.0499999999999999E-2</v>
      </c>
      <c r="G7" s="261"/>
    </row>
    <row r="8" spans="1:8" s="265" customFormat="1">
      <c r="A8" s="948" t="s">
        <v>2343</v>
      </c>
      <c r="B8" s="257" t="s">
        <v>2344</v>
      </c>
      <c r="C8" s="262">
        <f ca="1">IF(G8="已包含在土地购买价格中",0,C9+C10)</f>
        <v>19627844</v>
      </c>
      <c r="D8" s="264"/>
      <c r="E8" s="262"/>
      <c r="F8" s="263"/>
      <c r="G8" s="2548"/>
    </row>
    <row r="9" spans="1:8" s="256" customFormat="1" ht="13.5" customHeight="1">
      <c r="A9" s="949" t="s">
        <v>800</v>
      </c>
      <c r="B9" s="266" t="s">
        <v>2345</v>
      </c>
      <c r="C9" s="267">
        <f ca="1">ROUND(D9*E9,0)</f>
        <v>0</v>
      </c>
      <c r="D9" s="1031">
        <f ca="1">IF(B1="",'数据-汇总表'!E5,IF(INDIRECT("'数据-取费表'!c"&amp;$G$1)="住宅",INDIRECT("'数据-取费表'!k"&amp;$G$1),0))</f>
        <v>0</v>
      </c>
      <c r="E9" s="267">
        <f>'数据-取费表'!B27</f>
        <v>0</v>
      </c>
      <c r="F9" s="263"/>
      <c r="G9" s="268"/>
    </row>
    <row r="10" spans="1:8" s="256" customFormat="1" ht="13.5" customHeight="1">
      <c r="A10" s="949" t="s">
        <v>801</v>
      </c>
      <c r="B10" s="266" t="s">
        <v>2347</v>
      </c>
      <c r="C10" s="267">
        <f ca="1">ROUND(D10*E10,0)</f>
        <v>19627844</v>
      </c>
      <c r="D10" s="1031">
        <f ca="1">IF(B1="",'数据-汇总表'!E6,IF(INDIRECT("'数据-取费表'!c"&amp;$G$1)="住宅",INDIRECT("'数据-取费表'!s"&amp;$G$1),INDIRECT("'数据-取费表'!k"&amp;$G$1)+INDIRECT("'数据-取费表'!s"&amp;$G$1)))</f>
        <v>103304.44</v>
      </c>
      <c r="E10" s="267">
        <f>'数据-取费表'!B28</f>
        <v>190</v>
      </c>
      <c r="F10" s="263"/>
      <c r="G10" s="268"/>
    </row>
    <row r="11" spans="1:8" s="256" customFormat="1" ht="13.5" hidden="1" customHeight="1">
      <c r="A11" s="269" t="s">
        <v>7</v>
      </c>
      <c r="B11" s="257" t="s">
        <v>2348</v>
      </c>
      <c r="C11" s="253"/>
      <c r="D11" s="1033"/>
      <c r="E11" s="260"/>
      <c r="F11" s="260"/>
      <c r="G11" s="261"/>
    </row>
    <row r="12" spans="1:8" s="256" customFormat="1" ht="13.5" hidden="1" customHeight="1">
      <c r="A12" s="269" t="s">
        <v>8</v>
      </c>
      <c r="B12" s="257" t="s">
        <v>2431</v>
      </c>
      <c r="C12" s="253">
        <v>0</v>
      </c>
      <c r="D12" s="1033"/>
      <c r="E12" s="270"/>
      <c r="F12" s="263">
        <v>3.0499999999999999E-2</v>
      </c>
      <c r="G12" s="261"/>
    </row>
    <row r="13" spans="1:8" s="256" customFormat="1" ht="13.5" hidden="1" customHeight="1">
      <c r="A13" s="269" t="s">
        <v>9</v>
      </c>
      <c r="B13" s="257" t="s">
        <v>2432</v>
      </c>
      <c r="C13" s="253"/>
      <c r="D13" s="1033"/>
      <c r="E13" s="260"/>
      <c r="F13" s="260"/>
      <c r="G13" s="261"/>
    </row>
    <row r="14" spans="1:8" s="256" customFormat="1" ht="13.5" hidden="1" customHeight="1">
      <c r="A14" s="269" t="s">
        <v>10</v>
      </c>
      <c r="B14" s="257" t="s">
        <v>2344</v>
      </c>
      <c r="C14" s="253"/>
      <c r="D14" s="1033"/>
      <c r="E14" s="260"/>
      <c r="F14" s="260"/>
      <c r="G14" s="261" t="s">
        <v>2433</v>
      </c>
    </row>
    <row r="15" spans="1:8" s="256" customFormat="1" ht="13.5" hidden="1" customHeight="1">
      <c r="A15" s="269" t="s">
        <v>11</v>
      </c>
      <c r="B15" s="257" t="s">
        <v>2434</v>
      </c>
      <c r="C15" s="262"/>
      <c r="D15" s="1033"/>
      <c r="E15" s="260"/>
      <c r="F15" s="260"/>
      <c r="G15" s="261" t="s">
        <v>2435</v>
      </c>
    </row>
    <row r="16" spans="1:8" s="256" customFormat="1" ht="13.5" hidden="1" customHeight="1">
      <c r="A16" s="269" t="s">
        <v>12</v>
      </c>
      <c r="B16" s="257" t="s">
        <v>2344</v>
      </c>
      <c r="C16" s="262"/>
      <c r="D16" s="1033"/>
      <c r="E16" s="260"/>
      <c r="F16" s="260"/>
      <c r="G16" s="261"/>
    </row>
    <row r="17" spans="1:7" s="256" customFormat="1" ht="13.5" hidden="1" customHeight="1">
      <c r="A17" s="269" t="s">
        <v>13</v>
      </c>
      <c r="B17" s="257" t="s">
        <v>2436</v>
      </c>
      <c r="C17" s="271"/>
      <c r="D17" s="1034"/>
      <c r="E17" s="271"/>
      <c r="F17" s="271"/>
      <c r="G17" s="261" t="s">
        <v>2435</v>
      </c>
    </row>
    <row r="18" spans="1:7" s="256" customFormat="1" ht="13.5" hidden="1" customHeight="1">
      <c r="A18" s="269" t="s">
        <v>14</v>
      </c>
      <c r="B18" s="257" t="s">
        <v>2437</v>
      </c>
      <c r="C18" s="262">
        <v>0</v>
      </c>
      <c r="D18" s="1033"/>
      <c r="E18" s="260"/>
      <c r="F18" s="263">
        <v>3.0499999999999999E-2</v>
      </c>
      <c r="G18" s="261" t="s">
        <v>2438</v>
      </c>
    </row>
    <row r="19" spans="1:7" s="265" customFormat="1" ht="13.5" customHeight="1">
      <c r="A19" s="297" t="s">
        <v>2439</v>
      </c>
      <c r="B19" s="252" t="s">
        <v>2440</v>
      </c>
      <c r="C19" s="253">
        <f ca="1">IF(G19="已包含在土地取得成本中","0",ROUND(D19*E19,0))</f>
        <v>19627844</v>
      </c>
      <c r="D19" s="1035">
        <f ca="1">D9+D10</f>
        <v>103304.44</v>
      </c>
      <c r="E19" s="253">
        <f>'数据-取费表'!B31</f>
        <v>190</v>
      </c>
      <c r="F19" s="273"/>
      <c r="G19" s="2548"/>
    </row>
    <row r="20" spans="1:7" s="256" customFormat="1" ht="13.5" customHeight="1">
      <c r="A20" s="297" t="s">
        <v>2441</v>
      </c>
      <c r="B20" s="252" t="s">
        <v>2442</v>
      </c>
      <c r="C20" s="274">
        <f ca="1">ROUND((C5+C19)*F20,0)</f>
        <v>785114</v>
      </c>
      <c r="D20" s="274"/>
      <c r="E20" s="274"/>
      <c r="F20" s="275">
        <f>'数据-取费表'!B37</f>
        <v>0.02</v>
      </c>
      <c r="G20" s="276" t="s">
        <v>2443</v>
      </c>
    </row>
    <row r="21" spans="1:7" s="256" customFormat="1" ht="13.5" customHeight="1">
      <c r="A21" s="297" t="s">
        <v>2444</v>
      </c>
      <c r="B21" s="252" t="s">
        <v>2445</v>
      </c>
      <c r="C21" s="277">
        <f>F21</f>
        <v>0.02</v>
      </c>
      <c r="D21" s="278" t="s">
        <v>2446</v>
      </c>
      <c r="E21" s="274"/>
      <c r="F21" s="275">
        <f>'数据-取费表'!B38</f>
        <v>0.02</v>
      </c>
      <c r="G21" s="276" t="s">
        <v>2447</v>
      </c>
    </row>
    <row r="22" spans="1:7" s="256" customFormat="1" ht="13.5" customHeight="1">
      <c r="A22" s="297" t="s">
        <v>2448</v>
      </c>
      <c r="B22" s="252" t="s">
        <v>2449</v>
      </c>
      <c r="C22" s="1379">
        <f ca="1">ROUND(SUM(C23:C25),0)</f>
        <v>3855155</v>
      </c>
      <c r="D22" s="277">
        <f ca="1">C26</f>
        <v>1E-3</v>
      </c>
      <c r="E22" s="278" t="s">
        <v>2446</v>
      </c>
      <c r="F22" s="279">
        <f ca="1">'数据-取费表'!B40</f>
        <v>4.7500000000000001E-2</v>
      </c>
      <c r="G22" s="276" t="str">
        <f>IF('数据-取费表'!B22&lt;=1,"单利计息","复利计息")</f>
        <v>复利计息</v>
      </c>
    </row>
    <row r="23" spans="1:7" s="256" customFormat="1" ht="13.5" customHeight="1">
      <c r="A23" s="950" t="s">
        <v>2339</v>
      </c>
      <c r="B23" s="257" t="s">
        <v>2450</v>
      </c>
      <c r="C23" s="1380">
        <f ca="1">ROUND(IF('数据-取费表'!B22&lt;=1,C5*F22*'数据-取费表'!B22,C5*(POWER((1+F22),'数据-取费表'!B22)-1)),0)</f>
        <v>1908931</v>
      </c>
      <c r="D23" s="280"/>
      <c r="E23" s="280"/>
      <c r="F23" s="281"/>
      <c r="G23" s="282" t="s">
        <v>2451</v>
      </c>
    </row>
    <row r="24" spans="1:7" s="256" customFormat="1" ht="13.5" customHeight="1">
      <c r="A24" s="950" t="s">
        <v>2341</v>
      </c>
      <c r="B24" s="257" t="s">
        <v>2452</v>
      </c>
      <c r="C24" s="1380">
        <f ca="1">ROUND(IF('数据-取费表'!B22&lt;=1,C19*F22*('数据-取费表'!B19/2+'数据-取费表'!B20),C19*(POWER((1+F22),('数据-取费表'!B19/2+'数据-取费表'!B20))-1)),0)</f>
        <v>1908931</v>
      </c>
      <c r="D24" s="280"/>
      <c r="E24" s="280"/>
      <c r="F24" s="281"/>
      <c r="G24" s="282" t="s">
        <v>2453</v>
      </c>
    </row>
    <row r="25" spans="1:7" s="256" customFormat="1" ht="24">
      <c r="A25" s="950" t="s">
        <v>2343</v>
      </c>
      <c r="B25" s="257" t="s">
        <v>2454</v>
      </c>
      <c r="C25" s="1380">
        <f ca="1">ROUND(IF('数据-取费表'!B22&lt;=1,C20*F22*'数据-取费表'!B22/2,C20*(POWER((1+F22),'数据-取费表'!B22/2)-1)),0)</f>
        <v>37293</v>
      </c>
      <c r="D25" s="280"/>
      <c r="E25" s="283"/>
      <c r="F25" s="281"/>
      <c r="G25" s="284" t="s">
        <v>2455</v>
      </c>
    </row>
    <row r="26" spans="1:7" s="256" customFormat="1">
      <c r="A26" s="950" t="s">
        <v>795</v>
      </c>
      <c r="B26" s="257" t="s">
        <v>2378</v>
      </c>
      <c r="C26" s="280">
        <f ca="1">ROUND(IF('数据-取费表'!B22&lt;=1,F21*F22*'数据-取费表'!B22/2,F21*(POWER((1+F22),'数据-取费表'!B22/2)-1)),4)</f>
        <v>1E-3</v>
      </c>
      <c r="D26" s="280"/>
      <c r="E26" s="283"/>
      <c r="F26" s="281"/>
      <c r="G26" s="285"/>
    </row>
    <row r="27" spans="1:7" s="256" customFormat="1" ht="26.4">
      <c r="A27" s="297" t="s">
        <v>2379</v>
      </c>
      <c r="B27" s="286" t="s">
        <v>2380</v>
      </c>
      <c r="C27" s="287">
        <f ca="1">C28</f>
        <v>5605712</v>
      </c>
      <c r="D27" s="277">
        <f ca="1">C29</f>
        <v>2.8E-3</v>
      </c>
      <c r="E27" s="278" t="s">
        <v>2381</v>
      </c>
      <c r="F27" s="288">
        <f ca="1">IF(B1="",'数据-取费表'!Q16,INDIRECT("'数据-取费表'!q"&amp;$G$1))</f>
        <v>0.14000000000000001</v>
      </c>
      <c r="G27" s="289" t="s">
        <v>2382</v>
      </c>
    </row>
    <row r="28" spans="1:7" s="256" customFormat="1" ht="13.5" customHeight="1">
      <c r="A28" s="950" t="s">
        <v>791</v>
      </c>
      <c r="B28" s="290" t="s">
        <v>2383</v>
      </c>
      <c r="C28" s="291">
        <f ca="1">ROUND((C5+C19+C20)*F27,0)</f>
        <v>5605712</v>
      </c>
      <c r="D28" s="277"/>
      <c r="E28" s="278"/>
      <c r="F28" s="288"/>
      <c r="G28" s="289"/>
    </row>
    <row r="29" spans="1:7" s="256" customFormat="1" ht="13.5" customHeight="1">
      <c r="A29" s="950" t="s">
        <v>792</v>
      </c>
      <c r="B29" s="290" t="s">
        <v>2384</v>
      </c>
      <c r="C29" s="280">
        <f ca="1">ROUND(C21*F27,4)</f>
        <v>2.8E-3</v>
      </c>
      <c r="D29" s="277"/>
      <c r="E29" s="278"/>
      <c r="F29" s="288"/>
      <c r="G29" s="289"/>
    </row>
    <row r="30" spans="1:7" s="256" customFormat="1" ht="13.5" customHeight="1">
      <c r="A30" s="297" t="s">
        <v>2385</v>
      </c>
      <c r="B30" s="252" t="s">
        <v>2386</v>
      </c>
      <c r="C30" s="277">
        <f>ROUND(F30/(1+'数据-取费表'!C42),4)</f>
        <v>5.2400000000000002E-2</v>
      </c>
      <c r="D30" s="278" t="s">
        <v>2381</v>
      </c>
      <c r="E30" s="283"/>
      <c r="F30" s="279">
        <f>'数据-取费表'!B41</f>
        <v>5.5000000000000007E-2</v>
      </c>
      <c r="G30" s="276" t="s">
        <v>2387</v>
      </c>
    </row>
    <row r="31" spans="1:7" ht="16.5" customHeight="1">
      <c r="A31" s="251">
        <v>1</v>
      </c>
      <c r="B31" s="252" t="s">
        <v>2388</v>
      </c>
      <c r="C31" s="253">
        <f ca="1">ROUND((C5+C19+C20+C22+C27)/(1-C21-D22-D27-C30),0)</f>
        <v>53584833</v>
      </c>
      <c r="D31" s="272"/>
      <c r="E31" s="253"/>
      <c r="F31" s="292"/>
      <c r="G31" s="276" t="s">
        <v>2389</v>
      </c>
    </row>
    <row r="32" spans="1:7" s="250" customFormat="1" ht="16.2">
      <c r="A32" s="294" t="s">
        <v>2456</v>
      </c>
      <c r="B32" s="295"/>
      <c r="C32" s="295"/>
      <c r="D32" s="295"/>
      <c r="E32" s="295"/>
      <c r="F32" s="295"/>
      <c r="G32" s="296"/>
    </row>
    <row r="33" spans="1:7" s="256" customFormat="1" ht="13.5" customHeight="1">
      <c r="A33" s="297" t="s">
        <v>782</v>
      </c>
      <c r="B33" s="252" t="s">
        <v>2457</v>
      </c>
      <c r="C33" s="298">
        <f ca="1">SUM(C34:C38)</f>
        <v>282993781</v>
      </c>
      <c r="D33" s="274"/>
      <c r="E33" s="254"/>
      <c r="F33" s="283"/>
      <c r="G33" s="276"/>
    </row>
    <row r="34" spans="1:7" s="300" customFormat="1" ht="13.5" customHeight="1">
      <c r="A34" s="950" t="s">
        <v>791</v>
      </c>
      <c r="B34" s="257" t="s">
        <v>2392</v>
      </c>
      <c r="C34" s="262">
        <f ca="1">ROUND(IF(B1="",SUMPRODUCT('数据-取费表'!K6:K14,'数据-取费表'!L6:L14),INDIRECT("'数据-取费表'!l"&amp;$G$1)*INDIRECT("'数据-取费表'!k"&amp;$G$1)+'数据-取费表'!L14*INDIRECT("'数据-取费表'!S"&amp;$G$1)),0)</f>
        <v>248656770</v>
      </c>
      <c r="D34" s="259"/>
      <c r="E34" s="262"/>
      <c r="F34" s="299"/>
      <c r="G34" s="261"/>
    </row>
    <row r="35" spans="1:7" ht="13.5" customHeight="1">
      <c r="A35" s="950" t="s">
        <v>796</v>
      </c>
      <c r="B35" s="257" t="s">
        <v>2394</v>
      </c>
      <c r="C35" s="262">
        <f ca="1">ROUND(C34*F35,0)</f>
        <v>9946271</v>
      </c>
      <c r="D35" s="262"/>
      <c r="E35" s="262"/>
      <c r="F35" s="301">
        <f>'数据-取费表'!B33</f>
        <v>0.04</v>
      </c>
      <c r="G35" s="261" t="s">
        <v>2395</v>
      </c>
    </row>
    <row r="36" spans="1:7" ht="24">
      <c r="A36" s="950" t="s">
        <v>797</v>
      </c>
      <c r="B36" s="257" t="s">
        <v>2396</v>
      </c>
      <c r="C36" s="262">
        <f ca="1">ROUND(IF(B1="",SUM('数据-取费表'!AP6:AP13)*F36,IF(INDIRECT("'数据-取费表'!c"&amp;$G$1)="住宅",INDIRECT("'数据-取费表'!k"&amp;$G$1)*INDIRECT("'数据-取费表'!l"&amp;$G$1)*F36,0)),0)</f>
        <v>0</v>
      </c>
      <c r="D36" s="262"/>
      <c r="E36" s="262"/>
      <c r="F36" s="301">
        <f>'数据-取费表'!B34</f>
        <v>0.05</v>
      </c>
      <c r="G36" s="302" t="s">
        <v>2397</v>
      </c>
    </row>
    <row r="37" spans="1:7" s="300" customFormat="1" ht="13.5" customHeight="1">
      <c r="A37" s="950" t="s">
        <v>798</v>
      </c>
      <c r="B37" s="257" t="s">
        <v>2398</v>
      </c>
      <c r="C37" s="291">
        <f ca="1">ROUND(E37*D37,0)</f>
        <v>20660888</v>
      </c>
      <c r="D37" s="259">
        <f ca="1">D19</f>
        <v>103304.44</v>
      </c>
      <c r="E37" s="291">
        <f>'数据-取费表'!B35</f>
        <v>200</v>
      </c>
      <c r="F37" s="301"/>
      <c r="G37" s="303"/>
    </row>
    <row r="38" spans="1:7" ht="13.5" customHeight="1">
      <c r="A38" s="950" t="s">
        <v>799</v>
      </c>
      <c r="B38" s="257" t="s">
        <v>2400</v>
      </c>
      <c r="C38" s="262">
        <f ca="1">ROUND(C34*F38,0)</f>
        <v>3729852</v>
      </c>
      <c r="D38" s="262"/>
      <c r="E38" s="262"/>
      <c r="F38" s="301">
        <f>'数据-取费表'!B36</f>
        <v>1.4999999999999999E-2</v>
      </c>
      <c r="G38" s="261" t="s">
        <v>2395</v>
      </c>
    </row>
    <row r="39" spans="1:7" s="256" customFormat="1" ht="13.5" customHeight="1">
      <c r="A39" s="297" t="s">
        <v>2401</v>
      </c>
      <c r="B39" s="252" t="s">
        <v>2402</v>
      </c>
      <c r="C39" s="274">
        <f ca="1">ROUND(C33*F20,0)</f>
        <v>5659876</v>
      </c>
      <c r="D39" s="274"/>
      <c r="E39" s="274"/>
      <c r="F39" s="275"/>
      <c r="G39" s="276" t="s">
        <v>2403</v>
      </c>
    </row>
    <row r="40" spans="1:7" s="256" customFormat="1" ht="13.5" customHeight="1">
      <c r="A40" s="297" t="s">
        <v>2404</v>
      </c>
      <c r="B40" s="252" t="s">
        <v>2405</v>
      </c>
      <c r="C40" s="1727">
        <f>F21</f>
        <v>0.02</v>
      </c>
      <c r="D40" s="278" t="s">
        <v>2406</v>
      </c>
      <c r="E40" s="274"/>
      <c r="F40" s="275"/>
      <c r="G40" s="276" t="s">
        <v>2407</v>
      </c>
    </row>
    <row r="41" spans="1:7" s="256" customFormat="1" ht="13.5" customHeight="1">
      <c r="A41" s="297" t="s">
        <v>2408</v>
      </c>
      <c r="B41" s="252" t="s">
        <v>2409</v>
      </c>
      <c r="C41" s="274">
        <f ca="1">ROUND(SUM(C42:C43),0)</f>
        <v>13711049</v>
      </c>
      <c r="D41" s="277">
        <f ca="1">C44</f>
        <v>1E-3</v>
      </c>
      <c r="E41" s="278" t="s">
        <v>2406</v>
      </c>
      <c r="F41" s="279"/>
      <c r="G41" s="276" t="str">
        <f>IF('数据-取费表'!B22&lt;=1,"单利计息","复利计息")</f>
        <v>复利计息</v>
      </c>
    </row>
    <row r="42" spans="1:7" ht="13.5" customHeight="1">
      <c r="A42" s="950" t="s">
        <v>791</v>
      </c>
      <c r="B42" s="257" t="s">
        <v>2410</v>
      </c>
      <c r="C42" s="280">
        <f ca="1">ROUND(IF('数据-取费表'!B22&lt;=1,C33*F22*'数据-取费表'!B20/2,C33*(POWER((1+F22),'数据-取费表'!B20/2)-1)),0)</f>
        <v>13442205</v>
      </c>
      <c r="D42" s="280"/>
      <c r="E42" s="280"/>
      <c r="F42" s="281"/>
      <c r="G42" s="3537" t="s">
        <v>2458</v>
      </c>
    </row>
    <row r="43" spans="1:7" ht="13.5" customHeight="1">
      <c r="A43" s="950" t="s">
        <v>792</v>
      </c>
      <c r="B43" s="257" t="s">
        <v>2412</v>
      </c>
      <c r="C43" s="280">
        <f ca="1">ROUND(IF('数据-取费表'!B22&lt;=1,C39*F22*'数据-取费表'!B20/2,C39*(POWER((1+F22),'数据-取费表'!B20/2)-1)),0)</f>
        <v>268844</v>
      </c>
      <c r="D43" s="280"/>
      <c r="E43" s="280"/>
      <c r="F43" s="281"/>
      <c r="G43" s="3538"/>
    </row>
    <row r="44" spans="1:7" ht="13.5" customHeight="1">
      <c r="A44" s="950" t="s">
        <v>793</v>
      </c>
      <c r="B44" s="257" t="s">
        <v>2413</v>
      </c>
      <c r="C44" s="280">
        <f ca="1">ROUND(IF('数据-取费表'!B22&lt;=1,C40*F22*'数据-取费表'!B20/2,C40*(POWER((1+F22),'数据-取费表'!B20/2)-1)),4)</f>
        <v>1E-3</v>
      </c>
      <c r="D44" s="280"/>
      <c r="E44" s="280"/>
      <c r="F44" s="281"/>
      <c r="G44" s="3539"/>
    </row>
    <row r="45" spans="1:7" s="256" customFormat="1" ht="13.5" customHeight="1">
      <c r="A45" s="297" t="s">
        <v>2414</v>
      </c>
      <c r="B45" s="286" t="s">
        <v>2380</v>
      </c>
      <c r="C45" s="287">
        <f ca="1">C46</f>
        <v>40411512</v>
      </c>
      <c r="D45" s="277">
        <f ca="1">C47</f>
        <v>2.8E-3</v>
      </c>
      <c r="E45" s="278" t="s">
        <v>2406</v>
      </c>
      <c r="F45" s="288"/>
      <c r="G45" s="289" t="s">
        <v>2415</v>
      </c>
    </row>
    <row r="46" spans="1:7" s="256" customFormat="1" ht="13.5" customHeight="1">
      <c r="A46" s="950" t="s">
        <v>791</v>
      </c>
      <c r="B46" s="290" t="s">
        <v>2416</v>
      </c>
      <c r="C46" s="291">
        <f ca="1">ROUND((C33+C39)*F27,0)</f>
        <v>40411512</v>
      </c>
      <c r="D46" s="305"/>
      <c r="E46" s="278"/>
      <c r="F46" s="288"/>
      <c r="G46" s="289"/>
    </row>
    <row r="47" spans="1:7" s="256" customFormat="1" ht="13.5" customHeight="1">
      <c r="A47" s="950" t="s">
        <v>792</v>
      </c>
      <c r="B47" s="290" t="s">
        <v>2417</v>
      </c>
      <c r="C47" s="280">
        <f ca="1">ROUND(C40*F27,4)</f>
        <v>2.8E-3</v>
      </c>
      <c r="D47" s="305"/>
      <c r="E47" s="278"/>
      <c r="F47" s="288"/>
      <c r="G47" s="289"/>
    </row>
    <row r="48" spans="1:7" s="256" customFormat="1" ht="13.5" customHeight="1">
      <c r="A48" s="297" t="s">
        <v>2379</v>
      </c>
      <c r="B48" s="252" t="s">
        <v>2418</v>
      </c>
      <c r="C48" s="304">
        <f>ROUND(F30/(1+'数据-取费表'!C42),4)</f>
        <v>5.2400000000000002E-2</v>
      </c>
      <c r="D48" s="278" t="s">
        <v>2406</v>
      </c>
      <c r="E48" s="274"/>
      <c r="F48" s="279"/>
      <c r="G48" s="276" t="s">
        <v>2419</v>
      </c>
    </row>
    <row r="49" spans="1:7" ht="16.5" customHeight="1">
      <c r="A49" s="297" t="s">
        <v>2385</v>
      </c>
      <c r="B49" s="252" t="s">
        <v>2459</v>
      </c>
      <c r="C49" s="274">
        <f ca="1">ROUND((C33+C39+C41+C45)/(1-C40-D41-D45-C48),0)</f>
        <v>371050247</v>
      </c>
      <c r="D49" s="274"/>
      <c r="E49" s="274"/>
      <c r="F49" s="306"/>
      <c r="G49" s="276" t="s">
        <v>2421</v>
      </c>
    </row>
    <row r="50" spans="1:7" s="300" customFormat="1">
      <c r="A50" s="297" t="s">
        <v>2422</v>
      </c>
      <c r="B50" s="252" t="s">
        <v>2423</v>
      </c>
      <c r="C50" s="274"/>
      <c r="D50" s="274"/>
      <c r="E50" s="274"/>
      <c r="F50" s="306">
        <f>IF('数据-取费表'!B24=0,'数据-取费表'!N16,1)</f>
        <v>1</v>
      </c>
      <c r="G50" s="289"/>
    </row>
    <row r="51" spans="1:7" ht="16.5" customHeight="1">
      <c r="A51" s="297" t="s">
        <v>2425</v>
      </c>
      <c r="B51" s="252" t="s">
        <v>2460</v>
      </c>
      <c r="C51" s="274">
        <f ca="1">ROUND(C49*F50,0)</f>
        <v>371050247</v>
      </c>
      <c r="D51" s="274"/>
      <c r="E51" s="274"/>
      <c r="F51" s="306"/>
      <c r="G51" s="276" t="s">
        <v>2427</v>
      </c>
    </row>
    <row r="52" spans="1:7" s="250" customFormat="1" ht="16.8" thickBot="1">
      <c r="A52" s="307" t="s">
        <v>2428</v>
      </c>
      <c r="B52" s="308"/>
      <c r="C52" s="309">
        <f ca="1">C31+C51</f>
        <v>424635080</v>
      </c>
      <c r="D52" s="308"/>
      <c r="E52" s="308"/>
      <c r="F52" s="308"/>
      <c r="G52" s="310"/>
    </row>
    <row r="55" spans="1:7" ht="15">
      <c r="B55" s="312" t="s">
        <v>2429</v>
      </c>
      <c r="C55" s="313"/>
    </row>
    <row r="56" spans="1:7">
      <c r="B56" s="315" t="s">
        <v>1513</v>
      </c>
      <c r="C56" s="317">
        <f ca="1">1-C57</f>
        <v>0.126</v>
      </c>
    </row>
    <row r="57" spans="1:7">
      <c r="B57" s="315" t="s">
        <v>1514</v>
      </c>
      <c r="C57" s="316">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 sqref="D1"/>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2527</v>
      </c>
      <c r="B1" s="2667" t="s">
        <v>2701</v>
      </c>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2329</v>
      </c>
      <c r="B2" s="1417" t="e">
        <f ca="1">IF(C2="——",ROUND(C43*D3/10000,0),ROUND(C43*D3/10000,0)-D2)</f>
        <v>#DIV/0!</v>
      </c>
      <c r="C2" s="2584"/>
      <c r="D2" s="1123" t="e">
        <f ca="1">SUMIF(INDIRECT("'"&amp;F2&amp;"'"&amp;"!A:A"),"承租人权益价值",INDIRECT("'"&amp;F2&amp;"'"&amp;"!c:c"))</f>
        <v>#REF!</v>
      </c>
      <c r="E2" s="2585" t="s">
        <v>2330</v>
      </c>
      <c r="F2" s="2586"/>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6" customFormat="1" ht="28.5" customHeight="1" thickBot="1">
      <c r="A3" s="245" t="s">
        <v>2331</v>
      </c>
      <c r="B3" s="607" t="e">
        <f ca="1">IF(C2="——",C43,ROUND(B2*10000/D3,0))</f>
        <v>#DIV/0!</v>
      </c>
      <c r="C3" s="398" t="s">
        <v>2643</v>
      </c>
      <c r="D3" s="397">
        <f>IF(D1="",'数据-汇总表'!E3,SUMIF('数据-汇总表'!$C19:$C33,D1,'数据-汇总表'!$E19:$E33))</f>
        <v>103304.44</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2644</v>
      </c>
      <c r="B4" s="400"/>
      <c r="C4" s="3553" t="s">
        <v>2645</v>
      </c>
      <c r="D4" s="3554"/>
      <c r="E4" s="3555" t="s">
        <v>2646</v>
      </c>
      <c r="F4" s="3556"/>
      <c r="G4" s="3553" t="s">
        <v>2647</v>
      </c>
      <c r="H4" s="3554"/>
      <c r="I4" s="3553" t="s">
        <v>2648</v>
      </c>
      <c r="J4" s="3554"/>
      <c r="K4" s="608" t="s">
        <v>2649</v>
      </c>
      <c r="L4" s="1129"/>
      <c r="M4" s="1130"/>
      <c r="N4" s="1130"/>
      <c r="O4" s="1130"/>
      <c r="P4" s="3557" t="s">
        <v>2650</v>
      </c>
      <c r="Q4" s="3558"/>
      <c r="R4" s="3563" t="s">
        <v>2646</v>
      </c>
      <c r="S4" s="3564"/>
      <c r="T4" s="3563" t="s">
        <v>2647</v>
      </c>
      <c r="U4" s="3564"/>
      <c r="V4" s="3569" t="s">
        <v>2648</v>
      </c>
      <c r="W4" s="3569"/>
      <c r="X4" s="1812"/>
      <c r="Y4" s="3563" t="s">
        <v>2650</v>
      </c>
      <c r="Z4" s="3564"/>
      <c r="AA4" s="3550" t="s">
        <v>2646</v>
      </c>
      <c r="AB4" s="3551" t="s">
        <v>2647</v>
      </c>
      <c r="AC4" s="3550" t="s">
        <v>2648</v>
      </c>
    </row>
    <row r="5" spans="1:29">
      <c r="A5" s="402"/>
      <c r="B5" s="403"/>
      <c r="C5" s="3572" t="s">
        <v>2541</v>
      </c>
      <c r="D5" s="3573"/>
      <c r="E5" s="3579" t="s">
        <v>2542</v>
      </c>
      <c r="F5" s="3580"/>
      <c r="G5" s="3572" t="s">
        <v>2543</v>
      </c>
      <c r="H5" s="3573"/>
      <c r="I5" s="3572" t="s">
        <v>2544</v>
      </c>
      <c r="J5" s="3573"/>
      <c r="K5" s="608"/>
      <c r="L5" s="1129"/>
      <c r="M5" s="1130"/>
      <c r="N5" s="1130"/>
      <c r="O5" s="1130"/>
      <c r="P5" s="3559"/>
      <c r="Q5" s="3560"/>
      <c r="R5" s="3565"/>
      <c r="S5" s="3566"/>
      <c r="T5" s="3565"/>
      <c r="U5" s="3566"/>
      <c r="V5" s="3569"/>
      <c r="W5" s="3569"/>
      <c r="X5" s="1812"/>
      <c r="Y5" s="3565"/>
      <c r="Z5" s="3566"/>
      <c r="AA5" s="3551"/>
      <c r="AB5" s="3551"/>
      <c r="AC5" s="3551"/>
    </row>
    <row r="6" spans="1:29" ht="15" thickBot="1">
      <c r="A6" s="404"/>
      <c r="B6" s="405"/>
      <c r="C6" s="3570" t="s">
        <v>2545</v>
      </c>
      <c r="D6" s="3571"/>
      <c r="E6" s="3577" t="s">
        <v>2545</v>
      </c>
      <c r="F6" s="3578"/>
      <c r="G6" s="3570" t="s">
        <v>2545</v>
      </c>
      <c r="H6" s="3571"/>
      <c r="I6" s="3570" t="s">
        <v>2545</v>
      </c>
      <c r="J6" s="3571"/>
      <c r="K6" s="608" t="s">
        <v>2546</v>
      </c>
      <c r="L6" s="1129"/>
      <c r="M6" s="1130"/>
      <c r="N6" s="1130"/>
      <c r="O6" s="1130"/>
      <c r="P6" s="3561"/>
      <c r="Q6" s="3562"/>
      <c r="R6" s="3565"/>
      <c r="S6" s="3566"/>
      <c r="T6" s="3567"/>
      <c r="U6" s="3568"/>
      <c r="V6" s="3569"/>
      <c r="W6" s="3569"/>
      <c r="X6" s="1812"/>
      <c r="Y6" s="3567"/>
      <c r="Z6" s="3568"/>
      <c r="AA6" s="3552"/>
      <c r="AB6" s="3552"/>
      <c r="AC6" s="3552"/>
    </row>
    <row r="7" spans="1:29" s="115" customFormat="1" ht="15" thickBot="1">
      <c r="A7" s="406" t="s">
        <v>2547</v>
      </c>
      <c r="B7" s="407"/>
      <c r="C7" s="408">
        <f>'数据-取费表'!B2</f>
        <v>43424</v>
      </c>
      <c r="D7" s="409">
        <v>100</v>
      </c>
      <c r="E7" s="410"/>
      <c r="F7" s="411">
        <f>SUMIF(52:52,YEAR(E7)&amp;"-"&amp;MONTH(E7),53:53)</f>
        <v>0</v>
      </c>
      <c r="G7" s="410"/>
      <c r="H7" s="409">
        <f>SUMIF(52:52,YEAR(G7)&amp;"-"&amp;MONTH(G7),53:53)</f>
        <v>0</v>
      </c>
      <c r="I7" s="410"/>
      <c r="J7" s="409">
        <f>SUMIF(52:52,YEAR(I7)&amp;"-"&amp;MONTH(I7),53:53)</f>
        <v>0</v>
      </c>
      <c r="K7" s="609"/>
      <c r="L7" s="1131"/>
      <c r="M7" s="1132"/>
      <c r="N7" s="1132"/>
      <c r="O7" s="1132"/>
      <c r="P7" s="3574" t="s">
        <v>2548</v>
      </c>
      <c r="Q7" s="3576"/>
      <c r="R7" s="767" t="s">
        <v>17</v>
      </c>
      <c r="S7" s="768">
        <f t="shared" ref="S7:S15" si="0">F7</f>
        <v>0</v>
      </c>
      <c r="T7" s="767" t="s">
        <v>17</v>
      </c>
      <c r="U7" s="768">
        <f t="shared" ref="U7:U15" si="1">H7</f>
        <v>0</v>
      </c>
      <c r="V7" s="767" t="s">
        <v>17</v>
      </c>
      <c r="W7" s="768">
        <f t="shared" ref="W7:W15" si="2">J7</f>
        <v>0</v>
      </c>
      <c r="X7" s="769"/>
      <c r="Y7" s="3574" t="s">
        <v>2548</v>
      </c>
      <c r="Z7" s="3575"/>
      <c r="AA7" s="770" t="e">
        <f>D7/F7</f>
        <v>#DIV/0!</v>
      </c>
      <c r="AB7" s="770" t="e">
        <f>D7/H7</f>
        <v>#DIV/0!</v>
      </c>
      <c r="AC7" s="770" t="e">
        <f>D7/J7</f>
        <v>#DIV/0!</v>
      </c>
    </row>
    <row r="8" spans="1:29" s="115" customFormat="1" ht="15" thickBot="1">
      <c r="A8" s="406" t="s">
        <v>2549</v>
      </c>
      <c r="B8" s="407"/>
      <c r="C8" s="412" t="s">
        <v>2550</v>
      </c>
      <c r="D8" s="409">
        <v>100</v>
      </c>
      <c r="E8" s="412"/>
      <c r="F8" s="411">
        <f>SUMIF(55:55,E8,56:56)-SUMIF(55:55,C8,56:56)+100</f>
        <v>0</v>
      </c>
      <c r="G8" s="412"/>
      <c r="H8" s="409">
        <f>SUMIF(55:55,G8,56:56)-SUMIF(55:55,C8,56:56)+100</f>
        <v>0</v>
      </c>
      <c r="I8" s="412"/>
      <c r="J8" s="409">
        <f>SUMIF(55:55,I8,56:56)-SUMIF(55:55,C8,56:56)+100</f>
        <v>0</v>
      </c>
      <c r="K8" s="609"/>
      <c r="L8" s="1131"/>
      <c r="M8" s="1132"/>
      <c r="N8" s="1132"/>
      <c r="O8" s="1132"/>
      <c r="P8" s="3574" t="s">
        <v>2551</v>
      </c>
      <c r="Q8" s="3575"/>
      <c r="R8" s="767" t="s">
        <v>17</v>
      </c>
      <c r="S8" s="768">
        <f t="shared" si="0"/>
        <v>0</v>
      </c>
      <c r="T8" s="767" t="s">
        <v>17</v>
      </c>
      <c r="U8" s="768">
        <f t="shared" si="1"/>
        <v>0</v>
      </c>
      <c r="V8" s="767" t="s">
        <v>17</v>
      </c>
      <c r="W8" s="768">
        <f t="shared" si="2"/>
        <v>0</v>
      </c>
      <c r="X8" s="769"/>
      <c r="Y8" s="3574" t="s">
        <v>2551</v>
      </c>
      <c r="Z8" s="3575"/>
      <c r="AA8" s="770" t="e">
        <f t="shared" ref="AA8:AA40" si="3">D8/F8</f>
        <v>#DIV/0!</v>
      </c>
      <c r="AB8" s="770" t="e">
        <f t="shared" ref="AB8:AB40" si="4">D8/H8</f>
        <v>#DIV/0!</v>
      </c>
      <c r="AC8" s="770" t="e">
        <f t="shared" ref="AC8:AC40" si="5">D8/J8</f>
        <v>#DIV/0!</v>
      </c>
    </row>
    <row r="9" spans="1:29" s="115" customFormat="1" ht="14.4">
      <c r="A9" s="413" t="s">
        <v>2552</v>
      </c>
      <c r="B9" s="70" t="s">
        <v>2553</v>
      </c>
      <c r="C9" s="414"/>
      <c r="D9" s="133">
        <v>100</v>
      </c>
      <c r="E9" s="417"/>
      <c r="F9" s="133">
        <f>SUMIF(57:57,E9,58:58)-SUMIF(57:57,C9,58:58)+100</f>
        <v>100</v>
      </c>
      <c r="G9" s="415"/>
      <c r="H9" s="133">
        <f>SUMIF(57:57,G9,58:58)-SUMIF(57:57,C9,58:58)+100</f>
        <v>100</v>
      </c>
      <c r="I9" s="415"/>
      <c r="J9" s="133">
        <f>SUMIF(57:57,I9,58:58)-SUMIF(57:57,C9,58:58)+100</f>
        <v>100</v>
      </c>
      <c r="K9" s="609"/>
      <c r="L9" s="1131"/>
      <c r="M9" s="1132"/>
      <c r="N9" s="1132"/>
      <c r="O9" s="1133"/>
      <c r="P9" s="3540" t="s">
        <v>2554</v>
      </c>
      <c r="Q9" s="1794" t="str">
        <f t="shared" ref="Q9:Q15" si="6">B9</f>
        <v>用途</v>
      </c>
      <c r="R9" s="767" t="s">
        <v>17</v>
      </c>
      <c r="S9" s="768">
        <f t="shared" si="0"/>
        <v>100</v>
      </c>
      <c r="T9" s="767" t="s">
        <v>17</v>
      </c>
      <c r="U9" s="768">
        <f t="shared" si="1"/>
        <v>100</v>
      </c>
      <c r="V9" s="767" t="s">
        <v>17</v>
      </c>
      <c r="W9" s="768">
        <f t="shared" si="2"/>
        <v>100</v>
      </c>
      <c r="X9" s="769"/>
      <c r="Y9" s="3390" t="s">
        <v>2555</v>
      </c>
      <c r="Z9" s="54" t="str">
        <f t="shared" ref="Z9:Z15" si="7">Q9</f>
        <v>用途</v>
      </c>
      <c r="AA9" s="770">
        <f t="shared" si="3"/>
        <v>1</v>
      </c>
      <c r="AB9" s="770">
        <f t="shared" si="4"/>
        <v>1</v>
      </c>
      <c r="AC9" s="770">
        <f t="shared" si="5"/>
        <v>1</v>
      </c>
    </row>
    <row r="10" spans="1:29" s="425" customFormat="1" ht="28.8">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c r="L10" s="1134"/>
      <c r="M10" s="1135"/>
      <c r="N10" s="1135"/>
      <c r="O10" s="1136"/>
      <c r="P10" s="3540"/>
      <c r="Q10" s="1794" t="str">
        <f t="shared" si="6"/>
        <v>土地使用年限（年）</v>
      </c>
      <c r="R10" s="767" t="s">
        <v>17</v>
      </c>
      <c r="S10" s="768">
        <f t="shared" si="0"/>
        <v>100</v>
      </c>
      <c r="T10" s="767" t="s">
        <v>17</v>
      </c>
      <c r="U10" s="768">
        <f t="shared" si="1"/>
        <v>100</v>
      </c>
      <c r="V10" s="767" t="s">
        <v>17</v>
      </c>
      <c r="W10" s="768">
        <f t="shared" si="2"/>
        <v>100</v>
      </c>
      <c r="X10" s="769"/>
      <c r="Y10" s="3390"/>
      <c r="Z10" s="54" t="str">
        <f t="shared" si="7"/>
        <v>土地使用年限（年）</v>
      </c>
      <c r="AA10" s="770">
        <f t="shared" si="3"/>
        <v>1</v>
      </c>
      <c r="AB10" s="770">
        <f t="shared" si="4"/>
        <v>1</v>
      </c>
      <c r="AC10" s="770">
        <f t="shared" si="5"/>
        <v>1</v>
      </c>
    </row>
    <row r="11" spans="1:29" ht="15">
      <c r="A11" s="426"/>
      <c r="B11" s="420" t="s">
        <v>2557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7"/>
      <c r="M11" s="1130"/>
      <c r="N11" s="1130"/>
      <c r="O11" s="1138"/>
      <c r="P11" s="3540"/>
      <c r="Q11" s="1794" t="str">
        <f t="shared" si="6"/>
        <v>容积率</v>
      </c>
      <c r="R11" s="767" t="s">
        <v>17</v>
      </c>
      <c r="S11" s="768" t="e">
        <f t="shared" si="0"/>
        <v>#N/A</v>
      </c>
      <c r="T11" s="767" t="s">
        <v>17</v>
      </c>
      <c r="U11" s="768" t="e">
        <f t="shared" si="1"/>
        <v>#N/A</v>
      </c>
      <c r="V11" s="767" t="s">
        <v>17</v>
      </c>
      <c r="W11" s="768" t="e">
        <f t="shared" si="2"/>
        <v>#N/A</v>
      </c>
      <c r="X11" s="769"/>
      <c r="Y11" s="3390"/>
      <c r="Z11" s="54" t="str">
        <f t="shared" si="7"/>
        <v>容积率</v>
      </c>
      <c r="AA11" s="770" t="e">
        <f t="shared" si="3"/>
        <v>#N/A</v>
      </c>
      <c r="AB11" s="770" t="e">
        <f t="shared" si="4"/>
        <v>#N/A</v>
      </c>
      <c r="AC11" s="770"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1"/>
      <c r="M12" s="1132"/>
      <c r="N12" s="1132"/>
      <c r="O12" s="1133"/>
      <c r="P12" s="3540"/>
      <c r="Q12" s="1794">
        <f t="shared" si="6"/>
        <v>111</v>
      </c>
      <c r="R12" s="767" t="s">
        <v>17</v>
      </c>
      <c r="S12" s="768">
        <f t="shared" si="0"/>
        <v>100</v>
      </c>
      <c r="T12" s="767" t="s">
        <v>17</v>
      </c>
      <c r="U12" s="768">
        <f t="shared" si="1"/>
        <v>100</v>
      </c>
      <c r="V12" s="767" t="s">
        <v>17</v>
      </c>
      <c r="W12" s="768">
        <f t="shared" si="2"/>
        <v>100</v>
      </c>
      <c r="X12" s="769"/>
      <c r="Y12" s="3390"/>
      <c r="Z12" s="54">
        <f t="shared" si="7"/>
        <v>111</v>
      </c>
      <c r="AA12" s="770">
        <f>D12/F12</f>
        <v>1</v>
      </c>
      <c r="AB12" s="770">
        <f>D12/H12</f>
        <v>1</v>
      </c>
      <c r="AC12" s="770">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39"/>
      <c r="M13" s="1130"/>
      <c r="N13" s="1130"/>
      <c r="O13" s="1138"/>
      <c r="P13" s="3540"/>
      <c r="Q13" s="1794">
        <f t="shared" si="6"/>
        <v>111</v>
      </c>
      <c r="R13" s="767" t="s">
        <v>17</v>
      </c>
      <c r="S13" s="768">
        <f t="shared" si="0"/>
        <v>100</v>
      </c>
      <c r="T13" s="767" t="s">
        <v>17</v>
      </c>
      <c r="U13" s="768">
        <f t="shared" si="1"/>
        <v>100</v>
      </c>
      <c r="V13" s="767" t="s">
        <v>17</v>
      </c>
      <c r="W13" s="768">
        <f t="shared" si="2"/>
        <v>100</v>
      </c>
      <c r="X13" s="769"/>
      <c r="Y13" s="3390"/>
      <c r="Z13" s="54">
        <f t="shared" si="7"/>
        <v>111</v>
      </c>
      <c r="AA13" s="770">
        <f t="shared" si="3"/>
        <v>1</v>
      </c>
      <c r="AB13" s="770">
        <f t="shared" si="4"/>
        <v>1</v>
      </c>
      <c r="AC13" s="770">
        <f t="shared" si="5"/>
        <v>1</v>
      </c>
    </row>
    <row r="14" spans="1:29" ht="15.6"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9"/>
      <c r="M14" s="1130"/>
      <c r="N14" s="1130"/>
      <c r="O14" s="1138"/>
      <c r="P14" s="3540"/>
      <c r="Q14" s="1794">
        <f t="shared" si="6"/>
        <v>111</v>
      </c>
      <c r="R14" s="767" t="s">
        <v>17</v>
      </c>
      <c r="S14" s="768">
        <f t="shared" si="0"/>
        <v>100</v>
      </c>
      <c r="T14" s="767" t="s">
        <v>17</v>
      </c>
      <c r="U14" s="768">
        <f t="shared" si="1"/>
        <v>100</v>
      </c>
      <c r="V14" s="767" t="s">
        <v>17</v>
      </c>
      <c r="W14" s="768">
        <f t="shared" si="2"/>
        <v>100</v>
      </c>
      <c r="X14" s="769"/>
      <c r="Y14" s="3390"/>
      <c r="Z14" s="54">
        <f t="shared" si="7"/>
        <v>111</v>
      </c>
      <c r="AA14" s="770">
        <f t="shared" si="3"/>
        <v>1</v>
      </c>
      <c r="AB14" s="770">
        <f t="shared" si="4"/>
        <v>1</v>
      </c>
      <c r="AC14" s="770">
        <f t="shared" si="5"/>
        <v>1</v>
      </c>
    </row>
    <row r="15" spans="1:29" ht="69">
      <c r="A15" s="438" t="s">
        <v>2558</v>
      </c>
      <c r="B15" s="68" t="s">
        <v>2702</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9"/>
      <c r="M15" s="1130"/>
      <c r="N15" s="1130"/>
      <c r="O15" s="1138"/>
      <c r="P15" s="3545" t="s">
        <v>2559</v>
      </c>
      <c r="Q15" s="1809" t="str">
        <f t="shared" si="6"/>
        <v>产业集聚程度</v>
      </c>
      <c r="R15" s="771" t="s">
        <v>17</v>
      </c>
      <c r="S15" s="772">
        <f t="shared" si="0"/>
        <v>100</v>
      </c>
      <c r="T15" s="771" t="s">
        <v>17</v>
      </c>
      <c r="U15" s="772">
        <f t="shared" si="1"/>
        <v>100</v>
      </c>
      <c r="V15" s="771" t="s">
        <v>17</v>
      </c>
      <c r="W15" s="772">
        <f t="shared" si="2"/>
        <v>100</v>
      </c>
      <c r="X15" s="1812"/>
      <c r="Y15" s="3545" t="s">
        <v>2559</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8"/>
      <c r="P16" s="3546"/>
      <c r="Q16" s="1809"/>
      <c r="R16" s="771"/>
      <c r="S16" s="772"/>
      <c r="T16" s="771"/>
      <c r="U16" s="772"/>
      <c r="V16" s="771"/>
      <c r="W16" s="772"/>
      <c r="X16" s="1812"/>
      <c r="Y16" s="3546"/>
      <c r="Z16" s="1813"/>
      <c r="AA16" s="1810">
        <v>1</v>
      </c>
      <c r="AB16" s="1810">
        <v>1</v>
      </c>
      <c r="AC16" s="1810">
        <v>1</v>
      </c>
    </row>
    <row r="17" spans="1:29" ht="96.6">
      <c r="A17" s="426"/>
      <c r="B17" s="449" t="s">
        <v>2097</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9"/>
      <c r="M17" s="1130"/>
      <c r="N17" s="1130"/>
      <c r="O17" s="1138"/>
      <c r="P17" s="3546"/>
      <c r="Q17" s="1809" t="str">
        <f>B17</f>
        <v>交通便捷度</v>
      </c>
      <c r="R17" s="771" t="s">
        <v>17</v>
      </c>
      <c r="S17" s="772">
        <f>F17</f>
        <v>100</v>
      </c>
      <c r="T17" s="771" t="s">
        <v>17</v>
      </c>
      <c r="U17" s="772">
        <f>H17</f>
        <v>100</v>
      </c>
      <c r="V17" s="771" t="s">
        <v>17</v>
      </c>
      <c r="W17" s="772">
        <f>J17</f>
        <v>100</v>
      </c>
      <c r="X17" s="1812"/>
      <c r="Y17" s="3546"/>
      <c r="Z17" s="1813" t="str">
        <f>Q17</f>
        <v>交通便捷度</v>
      </c>
      <c r="AA17" s="1810">
        <f t="shared" si="3"/>
        <v>1</v>
      </c>
      <c r="AB17" s="1810">
        <f t="shared" si="4"/>
        <v>1</v>
      </c>
      <c r="AC17" s="1810">
        <f t="shared" si="5"/>
        <v>1</v>
      </c>
    </row>
    <row r="18" spans="1:29" ht="15">
      <c r="A18" s="426"/>
      <c r="B18" s="454"/>
      <c r="C18" s="2606"/>
      <c r="D18" s="448"/>
      <c r="E18" s="2608"/>
      <c r="F18" s="451"/>
      <c r="G18" s="2607"/>
      <c r="H18" s="446"/>
      <c r="I18" s="2608"/>
      <c r="J18" s="446"/>
      <c r="K18" s="613"/>
      <c r="L18" s="1139"/>
      <c r="M18" s="1130"/>
      <c r="N18" s="1130"/>
      <c r="O18" s="1138"/>
      <c r="P18" s="3546"/>
      <c r="Q18" s="1809"/>
      <c r="R18" s="771"/>
      <c r="S18" s="772"/>
      <c r="T18" s="771"/>
      <c r="U18" s="772"/>
      <c r="V18" s="771"/>
      <c r="W18" s="772"/>
      <c r="X18" s="1812"/>
      <c r="Y18" s="3546"/>
      <c r="Z18" s="1813"/>
      <c r="AA18" s="1810">
        <v>1</v>
      </c>
      <c r="AB18" s="1810">
        <v>1</v>
      </c>
      <c r="AC18" s="1810">
        <v>1</v>
      </c>
    </row>
    <row r="19" spans="1:29" ht="41.4">
      <c r="A19" s="426"/>
      <c r="B19" s="449" t="s">
        <v>2687</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9"/>
      <c r="M19" s="1130"/>
      <c r="N19" s="1130"/>
      <c r="O19" s="1138"/>
      <c r="P19" s="3546"/>
      <c r="Q19" s="1809" t="str">
        <f>B19</f>
        <v>公共配套设施</v>
      </c>
      <c r="R19" s="771" t="s">
        <v>17</v>
      </c>
      <c r="S19" s="772">
        <f>F19</f>
        <v>100</v>
      </c>
      <c r="T19" s="771" t="s">
        <v>17</v>
      </c>
      <c r="U19" s="772">
        <f>H19</f>
        <v>100</v>
      </c>
      <c r="V19" s="771" t="s">
        <v>17</v>
      </c>
      <c r="W19" s="772">
        <f>J19</f>
        <v>100</v>
      </c>
      <c r="X19" s="1812"/>
      <c r="Y19" s="3546"/>
      <c r="Z19" s="1813" t="str">
        <f>Q19</f>
        <v>公共配套设施</v>
      </c>
      <c r="AA19" s="1810">
        <f t="shared" si="3"/>
        <v>1</v>
      </c>
      <c r="AB19" s="1810">
        <f t="shared" si="4"/>
        <v>1</v>
      </c>
      <c r="AC19" s="1810">
        <f t="shared" si="5"/>
        <v>1</v>
      </c>
    </row>
    <row r="20" spans="1:29" ht="15">
      <c r="A20" s="426"/>
      <c r="B20" s="454"/>
      <c r="C20" s="445"/>
      <c r="D20" s="446"/>
      <c r="E20" s="2603"/>
      <c r="F20" s="447"/>
      <c r="G20" s="2602"/>
      <c r="H20" s="446"/>
      <c r="I20" s="2603"/>
      <c r="J20" s="446"/>
      <c r="K20" s="613"/>
      <c r="L20" s="1139"/>
      <c r="M20" s="1130"/>
      <c r="N20" s="1130"/>
      <c r="O20" s="1138"/>
      <c r="P20" s="3546"/>
      <c r="Q20" s="1809"/>
      <c r="R20" s="771"/>
      <c r="S20" s="772"/>
      <c r="T20" s="771"/>
      <c r="U20" s="772"/>
      <c r="V20" s="771"/>
      <c r="W20" s="772"/>
      <c r="X20" s="1812"/>
      <c r="Y20" s="3546"/>
      <c r="Z20" s="1813"/>
      <c r="AA20" s="1810">
        <v>1</v>
      </c>
      <c r="AB20" s="1810">
        <v>1</v>
      </c>
      <c r="AC20" s="1810">
        <v>1</v>
      </c>
    </row>
    <row r="21" spans="1:29" ht="41.4">
      <c r="A21" s="426"/>
      <c r="B21" s="1383" t="s">
        <v>2688</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9"/>
      <c r="M21" s="1130"/>
      <c r="N21" s="1130"/>
      <c r="O21" s="1138"/>
      <c r="P21" s="3546"/>
      <c r="Q21" s="1809" t="str">
        <f>B21</f>
        <v>基础设施水平</v>
      </c>
      <c r="R21" s="771" t="s">
        <v>17</v>
      </c>
      <c r="S21" s="772">
        <f>F21</f>
        <v>100</v>
      </c>
      <c r="T21" s="771" t="s">
        <v>17</v>
      </c>
      <c r="U21" s="772">
        <f>H21</f>
        <v>100</v>
      </c>
      <c r="V21" s="771" t="s">
        <v>17</v>
      </c>
      <c r="W21" s="772">
        <f>J21</f>
        <v>100</v>
      </c>
      <c r="X21" s="1812"/>
      <c r="Y21" s="3546"/>
      <c r="Z21" s="1813" t="str">
        <f>Q21</f>
        <v>基础设施水平</v>
      </c>
      <c r="AA21" s="1810">
        <f t="shared" ref="AA21" si="8">D21/F21</f>
        <v>1</v>
      </c>
      <c r="AB21" s="1810">
        <f t="shared" ref="AB21" si="9">D21/H21</f>
        <v>1</v>
      </c>
      <c r="AC21" s="1810">
        <f t="shared" ref="AC21" si="10">D21/J21</f>
        <v>1</v>
      </c>
    </row>
    <row r="22" spans="1:29" ht="15">
      <c r="A22" s="426"/>
      <c r="B22" s="1383"/>
      <c r="C22" s="2606"/>
      <c r="D22" s="446"/>
      <c r="E22" s="445"/>
      <c r="F22" s="447"/>
      <c r="G22" s="445"/>
      <c r="H22" s="446"/>
      <c r="I22" s="445"/>
      <c r="J22" s="446"/>
      <c r="K22" s="1382"/>
      <c r="L22" s="1139"/>
      <c r="M22" s="1130"/>
      <c r="N22" s="1130"/>
      <c r="O22" s="1138"/>
      <c r="P22" s="3546"/>
      <c r="Q22" s="1809"/>
      <c r="R22" s="771"/>
      <c r="S22" s="772"/>
      <c r="T22" s="771"/>
      <c r="U22" s="772"/>
      <c r="V22" s="771"/>
      <c r="W22" s="772"/>
      <c r="X22" s="1812"/>
      <c r="Y22" s="3546"/>
      <c r="Z22" s="1813"/>
      <c r="AA22" s="1810">
        <v>1</v>
      </c>
      <c r="AB22" s="1810">
        <v>1</v>
      </c>
      <c r="AC22" s="1810">
        <v>1</v>
      </c>
    </row>
    <row r="23" spans="1:29" ht="82.8">
      <c r="A23" s="426"/>
      <c r="B23" s="449" t="s">
        <v>2689</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9"/>
      <c r="M23" s="1130"/>
      <c r="N23" s="1130"/>
      <c r="O23" s="1138"/>
      <c r="P23" s="3546"/>
      <c r="Q23" s="1809" t="str">
        <f>B23</f>
        <v>环境质量</v>
      </c>
      <c r="R23" s="771" t="s">
        <v>17</v>
      </c>
      <c r="S23" s="772">
        <f>F23</f>
        <v>100</v>
      </c>
      <c r="T23" s="771" t="s">
        <v>17</v>
      </c>
      <c r="U23" s="772">
        <f>H23</f>
        <v>100</v>
      </c>
      <c r="V23" s="771" t="s">
        <v>17</v>
      </c>
      <c r="W23" s="772">
        <f>J23</f>
        <v>100</v>
      </c>
      <c r="X23" s="1812"/>
      <c r="Y23" s="3546"/>
      <c r="Z23" s="1813" t="str">
        <f>Q23</f>
        <v>环境质量</v>
      </c>
      <c r="AA23" s="1810">
        <f t="shared" si="3"/>
        <v>1</v>
      </c>
      <c r="AB23" s="1810">
        <f t="shared" si="4"/>
        <v>1</v>
      </c>
      <c r="AC23" s="1810">
        <f t="shared" si="5"/>
        <v>1</v>
      </c>
    </row>
    <row r="24" spans="1:29" ht="15">
      <c r="A24" s="426"/>
      <c r="B24" s="1383"/>
      <c r="C24" s="445"/>
      <c r="D24" s="446"/>
      <c r="E24" s="2603"/>
      <c r="F24" s="447"/>
      <c r="G24" s="2602"/>
      <c r="H24" s="446"/>
      <c r="I24" s="2603"/>
      <c r="J24" s="446"/>
      <c r="K24" s="613"/>
      <c r="L24" s="1139"/>
      <c r="M24" s="1130"/>
      <c r="N24" s="1130"/>
      <c r="O24" s="1138"/>
      <c r="P24" s="3546"/>
      <c r="Q24" s="1809"/>
      <c r="R24" s="771"/>
      <c r="S24" s="772"/>
      <c r="T24" s="771"/>
      <c r="U24" s="772"/>
      <c r="V24" s="771"/>
      <c r="W24" s="772"/>
      <c r="X24" s="1812"/>
      <c r="Y24" s="3546"/>
      <c r="Z24" s="1813"/>
      <c r="AA24" s="1810">
        <v>1</v>
      </c>
      <c r="AB24" s="1810">
        <v>1</v>
      </c>
      <c r="AC24" s="1810">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9"/>
      <c r="M25" s="1130"/>
      <c r="N25" s="1130"/>
      <c r="O25" s="1138"/>
      <c r="P25" s="3546"/>
      <c r="Q25" s="1809">
        <f>B25</f>
        <v>111</v>
      </c>
      <c r="R25" s="771" t="s">
        <v>17</v>
      </c>
      <c r="S25" s="772">
        <f>F25</f>
        <v>100</v>
      </c>
      <c r="T25" s="771" t="s">
        <v>17</v>
      </c>
      <c r="U25" s="772">
        <f>H25</f>
        <v>100</v>
      </c>
      <c r="V25" s="771" t="s">
        <v>17</v>
      </c>
      <c r="W25" s="772">
        <f>J25</f>
        <v>100</v>
      </c>
      <c r="X25" s="1812"/>
      <c r="Y25" s="3546"/>
      <c r="Z25" s="1813">
        <f>Q25</f>
        <v>111</v>
      </c>
      <c r="AA25" s="1810">
        <f t="shared" si="3"/>
        <v>1</v>
      </c>
      <c r="AB25" s="1810">
        <f t="shared" si="4"/>
        <v>1</v>
      </c>
      <c r="AC25" s="1810">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9"/>
      <c r="M26" s="1130"/>
      <c r="N26" s="1130"/>
      <c r="O26" s="1138"/>
      <c r="P26" s="3546"/>
      <c r="Q26" s="1809">
        <f t="shared" ref="Q26:Q40" si="11">B26</f>
        <v>111</v>
      </c>
      <c r="R26" s="771" t="s">
        <v>17</v>
      </c>
      <c r="S26" s="772">
        <f>F26</f>
        <v>100</v>
      </c>
      <c r="T26" s="771" t="s">
        <v>17</v>
      </c>
      <c r="U26" s="772">
        <f>H26</f>
        <v>100</v>
      </c>
      <c r="V26" s="771" t="s">
        <v>17</v>
      </c>
      <c r="W26" s="772">
        <f>J26</f>
        <v>100</v>
      </c>
      <c r="X26" s="1812"/>
      <c r="Y26" s="3546"/>
      <c r="Z26" s="1813">
        <f>Q26</f>
        <v>111</v>
      </c>
      <c r="AA26" s="1810">
        <f t="shared" si="3"/>
        <v>1</v>
      </c>
      <c r="AB26" s="1810">
        <f t="shared" si="4"/>
        <v>1</v>
      </c>
      <c r="AC26" s="1810">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1"/>
      <c r="M27" s="1132"/>
      <c r="N27" s="1132"/>
      <c r="O27" s="1133"/>
      <c r="P27" s="3546"/>
      <c r="Q27" s="1794">
        <f t="shared" si="11"/>
        <v>111</v>
      </c>
      <c r="R27" s="767" t="s">
        <v>17</v>
      </c>
      <c r="S27" s="768">
        <f>F27</f>
        <v>100</v>
      </c>
      <c r="T27" s="767" t="s">
        <v>17</v>
      </c>
      <c r="U27" s="768">
        <f>H27</f>
        <v>100</v>
      </c>
      <c r="V27" s="767" t="s">
        <v>17</v>
      </c>
      <c r="W27" s="768">
        <f>J27</f>
        <v>100</v>
      </c>
      <c r="X27" s="769"/>
      <c r="Y27" s="3546"/>
      <c r="Z27" s="54">
        <f>Q27</f>
        <v>111</v>
      </c>
      <c r="AA27" s="1810">
        <f>D27/F27</f>
        <v>1</v>
      </c>
      <c r="AB27" s="1810">
        <f>D27/H27</f>
        <v>1</v>
      </c>
      <c r="AC27" s="1810">
        <f>D27/J27</f>
        <v>1</v>
      </c>
    </row>
    <row r="28" spans="1:29" ht="15.6"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9"/>
      <c r="M28" s="1130"/>
      <c r="N28" s="1130"/>
      <c r="O28" s="1138"/>
      <c r="P28" s="3546"/>
      <c r="Q28" s="1809">
        <f t="shared" si="11"/>
        <v>111</v>
      </c>
      <c r="R28" s="771" t="s">
        <v>17</v>
      </c>
      <c r="S28" s="772">
        <f t="shared" ref="S28:S40" si="12">F28</f>
        <v>100</v>
      </c>
      <c r="T28" s="771" t="s">
        <v>17</v>
      </c>
      <c r="U28" s="772">
        <f t="shared" ref="U28:U40" si="13">H28</f>
        <v>100</v>
      </c>
      <c r="V28" s="771" t="s">
        <v>17</v>
      </c>
      <c r="W28" s="772">
        <f t="shared" ref="W28:W40" si="14">J28</f>
        <v>100</v>
      </c>
      <c r="X28" s="1812"/>
      <c r="Y28" s="3546"/>
      <c r="Z28" s="1813">
        <f t="shared" ref="Z28:Z40" si="15">Q28</f>
        <v>111</v>
      </c>
      <c r="AA28" s="1810">
        <f t="shared" si="3"/>
        <v>1</v>
      </c>
      <c r="AB28" s="1810">
        <f t="shared" si="4"/>
        <v>1</v>
      </c>
      <c r="AC28" s="1810">
        <f t="shared" si="5"/>
        <v>1</v>
      </c>
    </row>
    <row r="29" spans="1:29" ht="30">
      <c r="A29" s="464" t="s">
        <v>2562</v>
      </c>
      <c r="B29" s="70" t="s">
        <v>2692</v>
      </c>
      <c r="C29" s="2677"/>
      <c r="D29" s="465">
        <v>100</v>
      </c>
      <c r="E29" s="2677"/>
      <c r="F29" s="459">
        <f>SUMIF(88:88,E29,89:89)-SUMIF(88:88,C29,89:89)+100</f>
        <v>100</v>
      </c>
      <c r="G29" s="2677"/>
      <c r="H29" s="433">
        <f>SUMIF(88:88,G29,89:89)-SUMIF(88:88,C29,89:89)+100</f>
        <v>100</v>
      </c>
      <c r="I29" s="2677"/>
      <c r="J29" s="465">
        <f>SUMIF(88:88,I29,89:89)-SUMIF(88:88,C29,89:89)+100</f>
        <v>100</v>
      </c>
      <c r="K29" s="610"/>
      <c r="L29" s="1139"/>
      <c r="M29" s="1130"/>
      <c r="N29" s="1130"/>
      <c r="O29" s="1138"/>
      <c r="P29" s="3547" t="s">
        <v>2564</v>
      </c>
      <c r="Q29" s="1809" t="str">
        <f t="shared" si="11"/>
        <v>建筑类型</v>
      </c>
      <c r="R29" s="771" t="s">
        <v>17</v>
      </c>
      <c r="S29" s="772">
        <f t="shared" si="12"/>
        <v>100</v>
      </c>
      <c r="T29" s="771" t="s">
        <v>17</v>
      </c>
      <c r="U29" s="772">
        <f t="shared" si="13"/>
        <v>100</v>
      </c>
      <c r="V29" s="771" t="s">
        <v>17</v>
      </c>
      <c r="W29" s="772">
        <f t="shared" si="14"/>
        <v>100</v>
      </c>
      <c r="X29" s="1812"/>
      <c r="Y29" s="3548" t="s">
        <v>2564</v>
      </c>
      <c r="Z29" s="1813" t="str">
        <f t="shared" si="15"/>
        <v>建筑类型</v>
      </c>
      <c r="AA29" s="1810">
        <f t="shared" si="3"/>
        <v>1</v>
      </c>
      <c r="AB29" s="1810">
        <f t="shared" si="4"/>
        <v>1</v>
      </c>
      <c r="AC29" s="1810">
        <f t="shared" si="5"/>
        <v>1</v>
      </c>
    </row>
    <row r="30" spans="1:29" s="469" customFormat="1" ht="15">
      <c r="A30" s="466"/>
      <c r="B30" s="420" t="s">
        <v>2565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7"/>
      <c r="M30" s="1140"/>
      <c r="N30" s="1140"/>
      <c r="O30" s="1141"/>
      <c r="P30" s="3548"/>
      <c r="Q30" s="773" t="str">
        <f t="shared" si="11"/>
        <v>项目建筑规模</v>
      </c>
      <c r="R30" s="774" t="s">
        <v>17</v>
      </c>
      <c r="S30" s="775" t="e">
        <f t="shared" si="12"/>
        <v>#N/A</v>
      </c>
      <c r="T30" s="774" t="s">
        <v>17</v>
      </c>
      <c r="U30" s="775" t="e">
        <f t="shared" si="13"/>
        <v>#N/A</v>
      </c>
      <c r="V30" s="774" t="s">
        <v>17</v>
      </c>
      <c r="W30" s="775" t="e">
        <f t="shared" si="14"/>
        <v>#N/A</v>
      </c>
      <c r="X30" s="776"/>
      <c r="Y30" s="3548"/>
      <c r="Z30" s="777" t="str">
        <f t="shared" si="15"/>
        <v>项目建筑规模</v>
      </c>
      <c r="AA30" s="1810" t="e">
        <f t="shared" si="3"/>
        <v>#N/A</v>
      </c>
      <c r="AB30" s="1810" t="e">
        <f t="shared" si="4"/>
        <v>#N/A</v>
      </c>
      <c r="AC30" s="1810"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39"/>
      <c r="M31" s="1130"/>
      <c r="N31" s="1130"/>
      <c r="O31" s="1138"/>
      <c r="P31" s="3548"/>
      <c r="Q31" s="1809" t="str">
        <f t="shared" si="11"/>
        <v>建筑结构</v>
      </c>
      <c r="R31" s="771" t="s">
        <v>17</v>
      </c>
      <c r="S31" s="772">
        <f t="shared" si="12"/>
        <v>100</v>
      </c>
      <c r="T31" s="771" t="s">
        <v>17</v>
      </c>
      <c r="U31" s="772">
        <f t="shared" si="13"/>
        <v>100</v>
      </c>
      <c r="V31" s="771" t="s">
        <v>17</v>
      </c>
      <c r="W31" s="772">
        <f t="shared" si="14"/>
        <v>100</v>
      </c>
      <c r="X31" s="1812"/>
      <c r="Y31" s="3548"/>
      <c r="Z31" s="1813" t="str">
        <f t="shared" si="15"/>
        <v>建筑结构</v>
      </c>
      <c r="AA31" s="1810">
        <f t="shared" si="3"/>
        <v>1</v>
      </c>
      <c r="AB31" s="1810">
        <f t="shared" si="4"/>
        <v>1</v>
      </c>
      <c r="AC31" s="1810">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39"/>
      <c r="M32" s="1130"/>
      <c r="N32" s="1130"/>
      <c r="O32" s="1138"/>
      <c r="P32" s="3548"/>
      <c r="Q32" s="1809" t="str">
        <f t="shared" si="11"/>
        <v>公共部分装修</v>
      </c>
      <c r="R32" s="771" t="s">
        <v>17</v>
      </c>
      <c r="S32" s="772">
        <f t="shared" si="12"/>
        <v>100</v>
      </c>
      <c r="T32" s="771" t="s">
        <v>17</v>
      </c>
      <c r="U32" s="772">
        <f t="shared" si="13"/>
        <v>100</v>
      </c>
      <c r="V32" s="771" t="s">
        <v>17</v>
      </c>
      <c r="W32" s="772">
        <f t="shared" si="14"/>
        <v>100</v>
      </c>
      <c r="X32" s="1812"/>
      <c r="Y32" s="3548"/>
      <c r="Z32" s="1813" t="str">
        <f t="shared" si="15"/>
        <v>公共部分装修</v>
      </c>
      <c r="AA32" s="1810">
        <f t="shared" si="3"/>
        <v>1</v>
      </c>
      <c r="AB32" s="1810">
        <f t="shared" si="4"/>
        <v>1</v>
      </c>
      <c r="AC32" s="1810">
        <f t="shared" si="5"/>
        <v>1</v>
      </c>
    </row>
    <row r="33" spans="1:29" ht="15">
      <c r="A33" s="470"/>
      <c r="B33" s="420" t="s">
        <v>2661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9"/>
      <c r="M33" s="1130"/>
      <c r="N33" s="1130"/>
      <c r="O33" s="1138"/>
      <c r="P33" s="3548"/>
      <c r="Q33" s="1809" t="str">
        <f t="shared" si="11"/>
        <v>成新度</v>
      </c>
      <c r="R33" s="771" t="s">
        <v>17</v>
      </c>
      <c r="S33" s="772" t="e">
        <f t="shared" si="12"/>
        <v>#N/A</v>
      </c>
      <c r="T33" s="771" t="s">
        <v>17</v>
      </c>
      <c r="U33" s="772" t="e">
        <f t="shared" si="13"/>
        <v>#N/A</v>
      </c>
      <c r="V33" s="771" t="s">
        <v>17</v>
      </c>
      <c r="W33" s="772" t="e">
        <f t="shared" si="14"/>
        <v>#N/A</v>
      </c>
      <c r="X33" s="1812"/>
      <c r="Y33" s="3548"/>
      <c r="Z33" s="1813" t="str">
        <f t="shared" si="15"/>
        <v>成新度</v>
      </c>
      <c r="AA33" s="1810" t="e">
        <f t="shared" si="3"/>
        <v>#N/A</v>
      </c>
      <c r="AB33" s="1810" t="e">
        <f t="shared" si="4"/>
        <v>#N/A</v>
      </c>
      <c r="AC33" s="1810" t="e">
        <f t="shared" si="5"/>
        <v>#N/A</v>
      </c>
    </row>
    <row r="34" spans="1:29" s="115"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1"/>
      <c r="M34" s="1132"/>
      <c r="N34" s="1132"/>
      <c r="O34" s="1133"/>
      <c r="P34" s="3548"/>
      <c r="Q34" s="1794" t="str">
        <f t="shared" si="11"/>
        <v>物业管理</v>
      </c>
      <c r="R34" s="767" t="s">
        <v>17</v>
      </c>
      <c r="S34" s="768">
        <f t="shared" si="12"/>
        <v>100</v>
      </c>
      <c r="T34" s="767" t="s">
        <v>17</v>
      </c>
      <c r="U34" s="768">
        <f t="shared" si="13"/>
        <v>100</v>
      </c>
      <c r="V34" s="767" t="s">
        <v>17</v>
      </c>
      <c r="W34" s="768">
        <f t="shared" si="14"/>
        <v>100</v>
      </c>
      <c r="X34" s="769"/>
      <c r="Y34" s="3548"/>
      <c r="Z34" s="54" t="str">
        <f t="shared" si="15"/>
        <v>物业管理</v>
      </c>
      <c r="AA34" s="770">
        <f t="shared" si="3"/>
        <v>1</v>
      </c>
      <c r="AB34" s="770">
        <f t="shared" si="4"/>
        <v>1</v>
      </c>
      <c r="AC34" s="770">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9"/>
      <c r="M35" s="1130"/>
      <c r="N35" s="1130"/>
      <c r="O35" s="1138"/>
      <c r="P35" s="3548" t="s">
        <v>2564</v>
      </c>
      <c r="Q35" s="1809" t="str">
        <f t="shared" si="11"/>
        <v>市政基础设施</v>
      </c>
      <c r="R35" s="771" t="s">
        <v>17</v>
      </c>
      <c r="S35" s="772">
        <f t="shared" si="12"/>
        <v>100</v>
      </c>
      <c r="T35" s="771" t="s">
        <v>17</v>
      </c>
      <c r="U35" s="772">
        <f t="shared" si="13"/>
        <v>100</v>
      </c>
      <c r="V35" s="771" t="s">
        <v>17</v>
      </c>
      <c r="W35" s="772">
        <f t="shared" si="14"/>
        <v>100</v>
      </c>
      <c r="X35" s="1812"/>
      <c r="Y35" s="3548" t="s">
        <v>2564</v>
      </c>
      <c r="Z35" s="1813" t="str">
        <f t="shared" si="15"/>
        <v>市政基础设施</v>
      </c>
      <c r="AA35" s="1810">
        <f t="shared" si="3"/>
        <v>1</v>
      </c>
      <c r="AB35" s="1810">
        <f t="shared" si="4"/>
        <v>1</v>
      </c>
      <c r="AC35" s="1810">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9"/>
      <c r="M36" s="1130"/>
      <c r="N36" s="1130"/>
      <c r="O36" s="1138"/>
      <c r="P36" s="3548"/>
      <c r="Q36" s="1809" t="str">
        <f t="shared" si="11"/>
        <v>内部装修</v>
      </c>
      <c r="R36" s="771" t="s">
        <v>17</v>
      </c>
      <c r="S36" s="772">
        <f t="shared" si="12"/>
        <v>100</v>
      </c>
      <c r="T36" s="771" t="s">
        <v>17</v>
      </c>
      <c r="U36" s="772">
        <f t="shared" si="13"/>
        <v>100</v>
      </c>
      <c r="V36" s="771" t="s">
        <v>17</v>
      </c>
      <c r="W36" s="772">
        <f t="shared" si="14"/>
        <v>100</v>
      </c>
      <c r="X36" s="1812"/>
      <c r="Y36" s="3548"/>
      <c r="Z36" s="1813" t="str">
        <f t="shared" si="15"/>
        <v>内部装修</v>
      </c>
      <c r="AA36" s="1810">
        <f t="shared" si="3"/>
        <v>1</v>
      </c>
      <c r="AB36" s="1810">
        <f t="shared" si="4"/>
        <v>1</v>
      </c>
      <c r="AC36" s="1810">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9"/>
      <c r="M37" s="1130"/>
      <c r="N37" s="1130"/>
      <c r="O37" s="1138"/>
      <c r="P37" s="3548"/>
      <c r="Q37" s="1809" t="str">
        <f t="shared" si="11"/>
        <v>内部装修状况</v>
      </c>
      <c r="R37" s="771" t="s">
        <v>17</v>
      </c>
      <c r="S37" s="772">
        <f t="shared" si="12"/>
        <v>100</v>
      </c>
      <c r="T37" s="771" t="s">
        <v>17</v>
      </c>
      <c r="U37" s="772">
        <f t="shared" si="13"/>
        <v>100</v>
      </c>
      <c r="V37" s="771" t="s">
        <v>17</v>
      </c>
      <c r="W37" s="772">
        <f t="shared" si="14"/>
        <v>100</v>
      </c>
      <c r="X37" s="1812"/>
      <c r="Y37" s="3548"/>
      <c r="Z37" s="1813" t="str">
        <f t="shared" si="15"/>
        <v>内部装修状况</v>
      </c>
      <c r="AA37" s="1810">
        <f t="shared" si="3"/>
        <v>1</v>
      </c>
      <c r="AB37" s="1810">
        <f t="shared" si="4"/>
        <v>1</v>
      </c>
      <c r="AC37" s="1810">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7"/>
      <c r="M38" s="1140"/>
      <c r="N38" s="1140"/>
      <c r="O38" s="1141"/>
      <c r="P38" s="3548"/>
      <c r="Q38" s="773">
        <f t="shared" si="11"/>
        <v>111</v>
      </c>
      <c r="R38" s="774" t="s">
        <v>17</v>
      </c>
      <c r="S38" s="775">
        <f t="shared" si="12"/>
        <v>100</v>
      </c>
      <c r="T38" s="774" t="s">
        <v>17</v>
      </c>
      <c r="U38" s="775">
        <f t="shared" si="13"/>
        <v>100</v>
      </c>
      <c r="V38" s="774" t="s">
        <v>17</v>
      </c>
      <c r="W38" s="775">
        <f t="shared" si="14"/>
        <v>100</v>
      </c>
      <c r="X38" s="776"/>
      <c r="Y38" s="3548"/>
      <c r="Z38" s="777">
        <f t="shared" si="15"/>
        <v>111</v>
      </c>
      <c r="AA38" s="1810">
        <f t="shared" si="3"/>
        <v>1</v>
      </c>
      <c r="AB38" s="1810">
        <f t="shared" si="4"/>
        <v>1</v>
      </c>
      <c r="AC38" s="1810">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9"/>
      <c r="M39" s="1130"/>
      <c r="N39" s="1130"/>
      <c r="O39" s="1138"/>
      <c r="P39" s="3548"/>
      <c r="Q39" s="1809">
        <f t="shared" si="11"/>
        <v>111</v>
      </c>
      <c r="R39" s="771" t="s">
        <v>17</v>
      </c>
      <c r="S39" s="772">
        <f t="shared" si="12"/>
        <v>100</v>
      </c>
      <c r="T39" s="771" t="s">
        <v>17</v>
      </c>
      <c r="U39" s="772">
        <f t="shared" si="13"/>
        <v>100</v>
      </c>
      <c r="V39" s="771" t="s">
        <v>17</v>
      </c>
      <c r="W39" s="772">
        <f t="shared" si="14"/>
        <v>100</v>
      </c>
      <c r="X39" s="1812"/>
      <c r="Y39" s="3548"/>
      <c r="Z39" s="1813">
        <f t="shared" si="15"/>
        <v>111</v>
      </c>
      <c r="AA39" s="1810">
        <f t="shared" si="3"/>
        <v>1</v>
      </c>
      <c r="AB39" s="1810">
        <f t="shared" si="4"/>
        <v>1</v>
      </c>
      <c r="AC39" s="1810">
        <f t="shared" si="5"/>
        <v>1</v>
      </c>
    </row>
    <row r="40" spans="1:29" ht="15.6"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9"/>
      <c r="M40" s="1130"/>
      <c r="N40" s="1130"/>
      <c r="O40" s="1138"/>
      <c r="P40" s="3549"/>
      <c r="Q40" s="1809">
        <f t="shared" si="11"/>
        <v>111</v>
      </c>
      <c r="R40" s="771" t="s">
        <v>17</v>
      </c>
      <c r="S40" s="772">
        <f t="shared" si="12"/>
        <v>100</v>
      </c>
      <c r="T40" s="771" t="s">
        <v>17</v>
      </c>
      <c r="U40" s="772">
        <f t="shared" si="13"/>
        <v>100</v>
      </c>
      <c r="V40" s="771" t="s">
        <v>17</v>
      </c>
      <c r="W40" s="772">
        <f t="shared" si="14"/>
        <v>100</v>
      </c>
      <c r="X40" s="1812"/>
      <c r="Y40" s="3549"/>
      <c r="Z40" s="1813">
        <f t="shared" si="15"/>
        <v>111</v>
      </c>
      <c r="AA40" s="1810">
        <f t="shared" si="3"/>
        <v>1</v>
      </c>
      <c r="AB40" s="1810">
        <f t="shared" si="4"/>
        <v>1</v>
      </c>
      <c r="AC40" s="1810">
        <f t="shared" si="5"/>
        <v>1</v>
      </c>
    </row>
    <row r="41" spans="1:29" ht="14.4">
      <c r="A41" s="477" t="s">
        <v>2576</v>
      </c>
      <c r="B41" s="478"/>
      <c r="C41" s="1406" t="s">
        <v>1</v>
      </c>
      <c r="D41" s="1407"/>
      <c r="E41" s="1408"/>
      <c r="F41" s="1409"/>
      <c r="G41" s="1410"/>
      <c r="H41" s="1411"/>
      <c r="I41" s="1408"/>
      <c r="J41" s="1411"/>
      <c r="K41" s="780"/>
      <c r="L41" s="1142"/>
      <c r="M41" s="1143"/>
      <c r="N41" s="1130"/>
      <c r="O41" s="1143"/>
      <c r="P41" s="3540" t="str">
        <f>A41</f>
        <v>成交单价（元/平方米）</v>
      </c>
      <c r="Q41" s="3540"/>
      <c r="R41" s="3541">
        <f>E41</f>
        <v>0</v>
      </c>
      <c r="S41" s="3541"/>
      <c r="T41" s="3541">
        <f>G41</f>
        <v>0</v>
      </c>
      <c r="U41" s="3541"/>
      <c r="V41" s="3541">
        <f>I41</f>
        <v>0</v>
      </c>
      <c r="W41" s="3541"/>
      <c r="X41" s="756"/>
      <c r="Y41" s="778"/>
      <c r="Z41" s="756"/>
      <c r="AA41" s="756"/>
      <c r="AB41" s="756"/>
      <c r="AC41" s="756"/>
    </row>
    <row r="42" spans="1:29" ht="15" thickBot="1">
      <c r="A42" s="484" t="s">
        <v>2668</v>
      </c>
      <c r="B42" s="485"/>
      <c r="C42" s="1412" t="e">
        <f>R43</f>
        <v>#DIV/0!</v>
      </c>
      <c r="D42" s="1413"/>
      <c r="E42" s="1414" t="e">
        <f>R42</f>
        <v>#DIV/0!</v>
      </c>
      <c r="F42" s="1414"/>
      <c r="G42" s="1412" t="e">
        <f>T42</f>
        <v>#DIV/0!</v>
      </c>
      <c r="H42" s="1413"/>
      <c r="I42" s="1414" t="e">
        <f>V42</f>
        <v>#DIV/0!</v>
      </c>
      <c r="J42" s="1413"/>
      <c r="K42" s="781"/>
      <c r="L42" s="1142"/>
      <c r="M42" s="1143"/>
      <c r="N42" s="1130"/>
      <c r="O42" s="1143"/>
      <c r="P42" s="3540" t="str">
        <f>A42</f>
        <v>比较价值（元/平方米）</v>
      </c>
      <c r="Q42" s="3540"/>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756"/>
      <c r="Y42" s="756"/>
      <c r="Z42" s="756"/>
      <c r="AA42" s="756"/>
      <c r="AB42" s="756"/>
      <c r="AC42" s="756"/>
    </row>
    <row r="43" spans="1:29" ht="15" thickBot="1">
      <c r="A43" s="490" t="s">
        <v>2669</v>
      </c>
      <c r="B43" s="491"/>
      <c r="C43" s="1416" t="e">
        <f>R43</f>
        <v>#DIV/0!</v>
      </c>
      <c r="D43" s="1416"/>
      <c r="E43" s="1416"/>
      <c r="F43" s="1416"/>
      <c r="G43" s="1416"/>
      <c r="H43" s="1416"/>
      <c r="I43" s="1416"/>
      <c r="J43" s="1416"/>
      <c r="K43" s="782"/>
      <c r="L43" s="1142"/>
      <c r="M43" s="1143"/>
      <c r="N43" s="1143"/>
      <c r="O43" s="1143"/>
      <c r="P43" s="3542" t="str">
        <f>A43</f>
        <v>估价对象XX用房的比较价值（楼面单价，元/平方米）</v>
      </c>
      <c r="Q43" s="3543"/>
      <c r="R43" s="3544" t="e">
        <f>IF(F1="售价",ROUND(AVERAGE(R42:V42),0),ROUND(AVERAGE(R42:V42),1))</f>
        <v>#DIV/0!</v>
      </c>
      <c r="S43" s="3544"/>
      <c r="T43" s="3544"/>
      <c r="U43" s="3544"/>
      <c r="V43" s="3544"/>
      <c r="W43" s="3544"/>
      <c r="X43" s="756"/>
      <c r="Y43" s="756"/>
      <c r="Z43" s="756"/>
      <c r="AA43" s="756"/>
      <c r="AB43" s="756"/>
      <c r="AC43" s="756"/>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5" t="s">
        <v>2670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4"/>
      <c r="L46" s="1105"/>
      <c r="M46" s="1143"/>
      <c r="N46" s="1143"/>
      <c r="O46" s="1143"/>
    </row>
    <row r="47" spans="1:29" ht="13.5" customHeight="1">
      <c r="A47" s="1143"/>
      <c r="B47" s="1143"/>
      <c r="C47" s="495" t="s">
        <v>2671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4"/>
      <c r="L47" s="1105"/>
      <c r="M47" s="1143"/>
      <c r="N47" s="1143"/>
      <c r="O47" s="1143"/>
    </row>
    <row r="48" spans="1:29" s="500" customFormat="1" ht="13.5" customHeight="1">
      <c r="A48" s="1144"/>
      <c r="B48" s="1144"/>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7"/>
      <c r="L48" s="1148"/>
      <c r="M48" s="1144"/>
      <c r="N48" s="1144"/>
      <c r="O48" s="1144"/>
    </row>
    <row r="49" spans="1:17" s="500"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0" t="s">
        <v>2673</v>
      </c>
      <c r="B51" s="756"/>
      <c r="C51" s="761"/>
      <c r="D51" s="761"/>
      <c r="E51" s="761"/>
      <c r="F51" s="762"/>
      <c r="G51" s="762"/>
      <c r="H51" s="761"/>
      <c r="I51" s="761"/>
      <c r="J51" s="761"/>
      <c r="K51" s="1159"/>
      <c r="L51" s="1160"/>
      <c r="M51" s="1158"/>
      <c r="N51" s="1158"/>
      <c r="O51" s="1158"/>
      <c r="P51" s="501"/>
      <c r="Q51" s="502"/>
    </row>
    <row r="52" spans="1:17" s="506" customFormat="1" ht="14.4">
      <c r="A52" s="503" t="s">
        <v>2547</v>
      </c>
      <c r="B52" s="504"/>
      <c r="C52" s="1573" t="str">
        <f>YEAR(C7)&amp;"-"&amp;MONTH(C7)</f>
        <v>2018-11</v>
      </c>
      <c r="D52" s="1574">
        <f>EDATE(C52,-1)</f>
        <v>43374</v>
      </c>
      <c r="E52" s="1574">
        <f t="shared" ref="E52:O52" si="16">EDATE(D52,-1)</f>
        <v>43344</v>
      </c>
      <c r="F52" s="1574">
        <f t="shared" si="16"/>
        <v>43313</v>
      </c>
      <c r="G52" s="1574">
        <f t="shared" si="16"/>
        <v>43282</v>
      </c>
      <c r="H52" s="1574">
        <f t="shared" si="16"/>
        <v>43252</v>
      </c>
      <c r="I52" s="1574">
        <f t="shared" si="16"/>
        <v>43221</v>
      </c>
      <c r="J52" s="1574">
        <f t="shared" si="16"/>
        <v>43191</v>
      </c>
      <c r="K52" s="1574">
        <f t="shared" si="16"/>
        <v>43160</v>
      </c>
      <c r="L52" s="1574">
        <f t="shared" si="16"/>
        <v>43132</v>
      </c>
      <c r="M52" s="1574">
        <f t="shared" si="16"/>
        <v>43101</v>
      </c>
      <c r="N52" s="1574">
        <f t="shared" si="16"/>
        <v>43070</v>
      </c>
      <c r="O52" s="1574">
        <f t="shared" si="16"/>
        <v>43040</v>
      </c>
      <c r="P52" s="505"/>
    </row>
    <row r="53" spans="1:17" s="115" customFormat="1">
      <c r="A53" s="507"/>
      <c r="B53" s="508"/>
      <c r="C53" s="1572">
        <v>100</v>
      </c>
      <c r="D53" s="510"/>
      <c r="E53" s="510"/>
      <c r="F53" s="510"/>
      <c r="G53" s="510"/>
      <c r="H53" s="510"/>
      <c r="I53" s="510"/>
      <c r="J53" s="510"/>
      <c r="K53" s="510"/>
      <c r="L53" s="510"/>
      <c r="M53" s="511"/>
      <c r="N53" s="510"/>
      <c r="O53" s="512"/>
      <c r="P53" s="502"/>
    </row>
    <row r="54" spans="1:17" s="115" customFormat="1" ht="15" thickBot="1">
      <c r="A54" s="513" t="s">
        <v>2584</v>
      </c>
      <c r="B54" s="514"/>
      <c r="C54" s="515"/>
      <c r="D54" s="516"/>
      <c r="E54" s="516"/>
      <c r="F54" s="516"/>
      <c r="G54" s="516"/>
      <c r="H54" s="516"/>
      <c r="I54" s="516"/>
      <c r="J54" s="516"/>
      <c r="K54" s="516"/>
      <c r="L54" s="516"/>
      <c r="M54" s="517"/>
      <c r="N54" s="516"/>
      <c r="O54" s="518"/>
      <c r="P54" s="502"/>
      <c r="Q54" s="502"/>
    </row>
    <row r="55" spans="1:17" s="115" customFormat="1" ht="14.4">
      <c r="A55" s="519" t="s">
        <v>2549</v>
      </c>
      <c r="B55" s="508"/>
      <c r="C55" s="520" t="s">
        <v>2651</v>
      </c>
      <c r="D55" s="521"/>
      <c r="E55" s="521"/>
      <c r="F55" s="521"/>
      <c r="G55" s="521"/>
      <c r="H55" s="521"/>
      <c r="I55" s="521"/>
      <c r="J55" s="521"/>
      <c r="K55" s="521"/>
      <c r="L55" s="522"/>
      <c r="M55" s="523"/>
      <c r="N55" s="1150"/>
      <c r="O55" s="1150"/>
      <c r="P55" s="524"/>
      <c r="Q55" s="502"/>
    </row>
    <row r="56" spans="1:17" s="115" customFormat="1" ht="14.4" thickBot="1">
      <c r="A56" s="519"/>
      <c r="B56" s="508"/>
      <c r="C56" s="637">
        <v>100</v>
      </c>
      <c r="D56" s="510"/>
      <c r="E56" s="510"/>
      <c r="F56" s="510"/>
      <c r="G56" s="510"/>
      <c r="H56" s="510"/>
      <c r="I56" s="510"/>
      <c r="J56" s="510"/>
      <c r="K56" s="510"/>
      <c r="L56" s="510"/>
      <c r="M56" s="512"/>
      <c r="N56" s="1150"/>
      <c r="O56" s="1150"/>
      <c r="P56" s="502"/>
      <c r="Q56" s="502"/>
    </row>
    <row r="57" spans="1:17" ht="14.4">
      <c r="A57" s="525" t="s">
        <v>2587</v>
      </c>
      <c r="B57" s="526" t="s">
        <v>2553</v>
      </c>
      <c r="C57" s="527">
        <f>C9</f>
        <v>0</v>
      </c>
      <c r="D57" s="528"/>
      <c r="E57" s="528"/>
      <c r="F57" s="528"/>
      <c r="G57" s="528"/>
      <c r="H57" s="528"/>
      <c r="I57" s="528"/>
      <c r="J57" s="528"/>
      <c r="K57" s="529"/>
      <c r="L57" s="530"/>
      <c r="M57" s="531"/>
      <c r="N57" s="1151"/>
      <c r="O57" s="1151"/>
      <c r="P57" s="44"/>
      <c r="Q57" s="502"/>
    </row>
    <row r="58" spans="1:17" ht="14.4" thickBot="1">
      <c r="A58" s="532"/>
      <c r="B58" s="533"/>
      <c r="C58" s="534">
        <v>100</v>
      </c>
      <c r="D58" s="534"/>
      <c r="E58" s="534"/>
      <c r="F58" s="534"/>
      <c r="G58" s="534"/>
      <c r="H58" s="534"/>
      <c r="I58" s="534"/>
      <c r="J58" s="534"/>
      <c r="K58" s="534"/>
      <c r="L58" s="534"/>
      <c r="M58" s="535"/>
      <c r="N58" s="1152"/>
      <c r="O58" s="1152"/>
      <c r="P58" s="44"/>
      <c r="Q58" s="502"/>
    </row>
    <row r="59" spans="1:17" ht="29.4" thickTop="1">
      <c r="A59" s="532"/>
      <c r="B59" s="536" t="s">
        <v>2556</v>
      </c>
      <c r="C59" s="537" t="s">
        <v>2588</v>
      </c>
      <c r="D59" s="537" t="s">
        <v>2589</v>
      </c>
      <c r="E59" s="537" t="s">
        <v>2590</v>
      </c>
      <c r="F59" s="537" t="s">
        <v>2591</v>
      </c>
      <c r="G59" s="537" t="s">
        <v>2592</v>
      </c>
      <c r="H59" s="537" t="s">
        <v>2593</v>
      </c>
      <c r="I59" s="537" t="s">
        <v>2594</v>
      </c>
      <c r="J59" s="537"/>
      <c r="K59" s="538"/>
      <c r="L59" s="539"/>
      <c r="M59" s="540"/>
      <c r="N59" s="1151"/>
      <c r="O59" s="1151"/>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2"/>
      <c r="O60" s="1152"/>
      <c r="P60" s="44"/>
      <c r="Q60" s="502"/>
    </row>
    <row r="61" spans="1:17" ht="15" thickTop="1">
      <c r="A61" s="532"/>
      <c r="B61" s="544" t="s">
        <v>2557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2"/>
      <c r="O61" s="1152"/>
      <c r="P61" s="44"/>
      <c r="Q61" s="502"/>
    </row>
    <row r="62" spans="1:17">
      <c r="A62" s="532"/>
      <c r="B62" s="546"/>
      <c r="C62" s="547"/>
      <c r="D62" s="547"/>
      <c r="E62" s="547"/>
      <c r="F62" s="547"/>
      <c r="G62" s="547"/>
      <c r="H62" s="547"/>
      <c r="I62" s="547"/>
      <c r="J62" s="547"/>
      <c r="K62" s="548"/>
      <c r="L62" s="549"/>
      <c r="M62" s="550"/>
      <c r="N62" s="1151"/>
      <c r="O62" s="1151"/>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2"/>
      <c r="O63" s="1152"/>
      <c r="P63" s="44"/>
      <c r="Q63" s="502"/>
    </row>
    <row r="64" spans="1:17" s="469" customFormat="1" ht="14.4" thickTop="1">
      <c r="A64" s="551"/>
      <c r="B64" s="536">
        <f>B12</f>
        <v>111</v>
      </c>
      <c r="C64" s="552"/>
      <c r="D64" s="552"/>
      <c r="E64" s="552"/>
      <c r="F64" s="552"/>
      <c r="G64" s="552"/>
      <c r="H64" s="553"/>
      <c r="I64" s="553"/>
      <c r="J64" s="553"/>
      <c r="K64" s="553"/>
      <c r="L64" s="554"/>
      <c r="M64" s="555"/>
      <c r="N64" s="1153"/>
      <c r="O64" s="1153"/>
      <c r="P64" s="556"/>
      <c r="Q64" s="557"/>
    </row>
    <row r="65" spans="1:17" s="469" customFormat="1" ht="14.4" thickBot="1">
      <c r="A65" s="551"/>
      <c r="B65" s="541"/>
      <c r="C65" s="558"/>
      <c r="D65" s="534"/>
      <c r="E65" s="534"/>
      <c r="F65" s="534"/>
      <c r="G65" s="534"/>
      <c r="H65" s="534"/>
      <c r="I65" s="534"/>
      <c r="J65" s="534"/>
      <c r="K65" s="534"/>
      <c r="L65" s="534"/>
      <c r="M65" s="535"/>
      <c r="N65" s="1152"/>
      <c r="O65" s="1152"/>
      <c r="P65" s="556"/>
      <c r="Q65" s="557"/>
    </row>
    <row r="66" spans="1:17" s="469" customFormat="1" ht="14.4" thickTop="1">
      <c r="A66" s="551"/>
      <c r="B66" s="536">
        <f>B13</f>
        <v>111</v>
      </c>
      <c r="C66" s="552"/>
      <c r="D66" s="552"/>
      <c r="E66" s="552"/>
      <c r="F66" s="552"/>
      <c r="G66" s="552"/>
      <c r="H66" s="553"/>
      <c r="I66" s="553"/>
      <c r="J66" s="553"/>
      <c r="K66" s="553"/>
      <c r="L66" s="554"/>
      <c r="M66" s="555"/>
      <c r="N66" s="1153"/>
      <c r="O66" s="1153"/>
      <c r="P66" s="468"/>
      <c r="Q66" s="559"/>
    </row>
    <row r="67" spans="1:17" s="469" customFormat="1" ht="14.4" thickBot="1">
      <c r="A67" s="551"/>
      <c r="B67" s="541"/>
      <c r="C67" s="558"/>
      <c r="D67" s="534"/>
      <c r="E67" s="534"/>
      <c r="F67" s="534"/>
      <c r="G67" s="558"/>
      <c r="H67" s="560"/>
      <c r="I67" s="560"/>
      <c r="J67" s="560"/>
      <c r="K67" s="560"/>
      <c r="L67" s="560"/>
      <c r="M67" s="561"/>
      <c r="N67" s="1153"/>
      <c r="O67" s="1153"/>
      <c r="P67" s="556"/>
      <c r="Q67" s="557"/>
    </row>
    <row r="68" spans="1:17" s="469" customFormat="1" ht="14.4" thickTop="1">
      <c r="A68" s="551"/>
      <c r="B68" s="544">
        <f>B14</f>
        <v>111</v>
      </c>
      <c r="C68" s="521"/>
      <c r="D68" s="521"/>
      <c r="E68" s="521"/>
      <c r="F68" s="521"/>
      <c r="G68" s="521"/>
      <c r="H68" s="562"/>
      <c r="I68" s="562"/>
      <c r="J68" s="562"/>
      <c r="K68" s="562"/>
      <c r="L68" s="563"/>
      <c r="M68" s="564"/>
      <c r="N68" s="1153"/>
      <c r="O68" s="1153"/>
      <c r="P68" s="565"/>
      <c r="Q68" s="557"/>
    </row>
    <row r="69" spans="1:17" s="469" customFormat="1" ht="14.4" thickBot="1">
      <c r="A69" s="566"/>
      <c r="B69" s="567"/>
      <c r="C69" s="568"/>
      <c r="D69" s="568"/>
      <c r="E69" s="568"/>
      <c r="F69" s="568"/>
      <c r="G69" s="568"/>
      <c r="H69" s="569"/>
      <c r="I69" s="569"/>
      <c r="J69" s="569"/>
      <c r="K69" s="569"/>
      <c r="L69" s="569"/>
      <c r="M69" s="570"/>
      <c r="N69" s="1153"/>
      <c r="O69" s="1153"/>
      <c r="P69" s="556"/>
      <c r="Q69" s="557"/>
    </row>
    <row r="70" spans="1:17" ht="14.4">
      <c r="A70" s="525" t="s">
        <v>2558</v>
      </c>
      <c r="B70" s="526" t="s">
        <v>2704</v>
      </c>
      <c r="C70" s="571" t="s">
        <v>2596</v>
      </c>
      <c r="D70" s="571" t="s">
        <v>2597</v>
      </c>
      <c r="E70" s="571" t="s">
        <v>2598</v>
      </c>
      <c r="F70" s="571" t="s">
        <v>2599</v>
      </c>
      <c r="G70" s="571" t="s">
        <v>2600</v>
      </c>
      <c r="H70" s="527"/>
      <c r="I70" s="527"/>
      <c r="J70" s="527"/>
      <c r="K70" s="572"/>
      <c r="L70" s="573"/>
      <c r="M70" s="574"/>
      <c r="N70" s="1151"/>
      <c r="O70" s="1151"/>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2"/>
      <c r="O71" s="1152"/>
      <c r="P71" s="44"/>
      <c r="Q71" s="502"/>
    </row>
    <row r="72" spans="1:17" ht="15" thickTop="1">
      <c r="A72" s="532"/>
      <c r="B72" s="536" t="s">
        <v>2601</v>
      </c>
      <c r="C72" s="576" t="s">
        <v>2596</v>
      </c>
      <c r="D72" s="576" t="s">
        <v>2597</v>
      </c>
      <c r="E72" s="576" t="s">
        <v>2598</v>
      </c>
      <c r="F72" s="576" t="s">
        <v>2599</v>
      </c>
      <c r="G72" s="576" t="s">
        <v>2600</v>
      </c>
      <c r="H72" s="537"/>
      <c r="I72" s="537"/>
      <c r="J72" s="537"/>
      <c r="K72" s="538"/>
      <c r="L72" s="539"/>
      <c r="M72" s="540"/>
      <c r="N72" s="1151"/>
      <c r="O72" s="1151"/>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2"/>
      <c r="O73" s="1152"/>
      <c r="P73" s="44"/>
      <c r="Q73" s="502"/>
    </row>
    <row r="74" spans="1:17" ht="15" thickTop="1">
      <c r="A74" s="532"/>
      <c r="B74" s="536" t="s">
        <v>2602</v>
      </c>
      <c r="C74" s="576" t="s">
        <v>2596</v>
      </c>
      <c r="D74" s="576" t="s">
        <v>2597</v>
      </c>
      <c r="E74" s="576" t="s">
        <v>2598</v>
      </c>
      <c r="F74" s="576" t="s">
        <v>2599</v>
      </c>
      <c r="G74" s="576" t="s">
        <v>2600</v>
      </c>
      <c r="H74" s="537"/>
      <c r="I74" s="537"/>
      <c r="J74" s="537"/>
      <c r="K74" s="538"/>
      <c r="L74" s="539"/>
      <c r="M74" s="540"/>
      <c r="N74" s="1151"/>
      <c r="O74" s="1151"/>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2"/>
      <c r="O75" s="1152"/>
      <c r="P75" s="44"/>
      <c r="Q75" s="502"/>
    </row>
    <row r="76" spans="1:17" ht="15" thickTop="1">
      <c r="A76" s="532"/>
      <c r="B76" s="544" t="s">
        <v>2688</v>
      </c>
      <c r="C76" s="658" t="s">
        <v>2674</v>
      </c>
      <c r="D76" s="658" t="s">
        <v>2675</v>
      </c>
      <c r="E76" s="658" t="s">
        <v>2676</v>
      </c>
      <c r="F76" s="658" t="s">
        <v>2677</v>
      </c>
      <c r="G76" s="658" t="s">
        <v>2678</v>
      </c>
      <c r="H76" s="537"/>
      <c r="I76" s="537"/>
      <c r="J76" s="537"/>
      <c r="K76" s="537"/>
      <c r="L76" s="537"/>
      <c r="M76" s="1381"/>
      <c r="N76" s="1152"/>
      <c r="O76" s="1152"/>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2"/>
      <c r="O77" s="1152"/>
      <c r="P77" s="44"/>
      <c r="Q77" s="502"/>
    </row>
    <row r="78" spans="1:17" ht="15" thickTop="1">
      <c r="A78" s="532"/>
      <c r="B78" s="536" t="s">
        <v>2697</v>
      </c>
      <c r="C78" s="576" t="s">
        <v>2596</v>
      </c>
      <c r="D78" s="576" t="s">
        <v>2597</v>
      </c>
      <c r="E78" s="576" t="s">
        <v>2598</v>
      </c>
      <c r="F78" s="576" t="s">
        <v>2599</v>
      </c>
      <c r="G78" s="576" t="s">
        <v>2600</v>
      </c>
      <c r="H78" s="537"/>
      <c r="I78" s="537"/>
      <c r="J78" s="537"/>
      <c r="K78" s="538"/>
      <c r="L78" s="539"/>
      <c r="M78" s="540"/>
      <c r="N78" s="1151"/>
      <c r="O78" s="1151"/>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2"/>
      <c r="O79" s="1152"/>
      <c r="P79" s="44"/>
      <c r="Q79" s="502"/>
    </row>
    <row r="80" spans="1:17" s="115" customFormat="1" ht="14.4" thickTop="1">
      <c r="A80" s="577"/>
      <c r="B80" s="536">
        <f>B25</f>
        <v>111</v>
      </c>
      <c r="C80" s="552"/>
      <c r="D80" s="552"/>
      <c r="E80" s="552"/>
      <c r="F80" s="552"/>
      <c r="G80" s="552"/>
      <c r="H80" s="552"/>
      <c r="I80" s="552"/>
      <c r="J80" s="552"/>
      <c r="K80" s="552"/>
      <c r="L80" s="578"/>
      <c r="M80" s="579"/>
      <c r="N80" s="1150"/>
      <c r="O80" s="1150"/>
      <c r="P80" s="44"/>
      <c r="Q80" s="502"/>
    </row>
    <row r="81" spans="1:17" s="115" customFormat="1" ht="14.4" thickBot="1">
      <c r="A81" s="577"/>
      <c r="B81" s="541"/>
      <c r="C81" s="558"/>
      <c r="D81" s="534"/>
      <c r="E81" s="534"/>
      <c r="F81" s="534"/>
      <c r="G81" s="534"/>
      <c r="H81" s="534"/>
      <c r="I81" s="534"/>
      <c r="J81" s="534"/>
      <c r="K81" s="534"/>
      <c r="L81" s="534"/>
      <c r="M81" s="535"/>
      <c r="N81" s="1152"/>
      <c r="O81" s="1152"/>
      <c r="P81" s="44"/>
      <c r="Q81" s="502"/>
    </row>
    <row r="82" spans="1:17" s="115" customFormat="1" ht="14.4" thickTop="1">
      <c r="A82" s="577"/>
      <c r="B82" s="536">
        <f>B26</f>
        <v>111</v>
      </c>
      <c r="C82" s="552"/>
      <c r="D82" s="552"/>
      <c r="E82" s="552"/>
      <c r="F82" s="552"/>
      <c r="G82" s="552"/>
      <c r="H82" s="552"/>
      <c r="I82" s="552"/>
      <c r="J82" s="552"/>
      <c r="K82" s="552"/>
      <c r="L82" s="578"/>
      <c r="M82" s="579"/>
      <c r="N82" s="1150"/>
      <c r="O82" s="1150"/>
      <c r="P82" s="44"/>
      <c r="Q82" s="502"/>
    </row>
    <row r="83" spans="1:17" s="115" customFormat="1" ht="14.4" thickBot="1">
      <c r="A83" s="577"/>
      <c r="B83" s="541"/>
      <c r="C83" s="558"/>
      <c r="D83" s="534"/>
      <c r="E83" s="534"/>
      <c r="F83" s="534"/>
      <c r="G83" s="534"/>
      <c r="H83" s="534"/>
      <c r="I83" s="534"/>
      <c r="J83" s="534"/>
      <c r="K83" s="534"/>
      <c r="L83" s="534"/>
      <c r="M83" s="535"/>
      <c r="N83" s="1152"/>
      <c r="O83" s="1152"/>
      <c r="P83" s="44"/>
      <c r="Q83" s="502"/>
    </row>
    <row r="84" spans="1:17" s="469" customFormat="1" ht="14.4" thickTop="1">
      <c r="A84" s="551"/>
      <c r="B84" s="536">
        <f>B27</f>
        <v>111</v>
      </c>
      <c r="C84" s="552"/>
      <c r="D84" s="552"/>
      <c r="E84" s="552"/>
      <c r="F84" s="552"/>
      <c r="G84" s="552"/>
      <c r="H84" s="552"/>
      <c r="I84" s="552"/>
      <c r="J84" s="552"/>
      <c r="K84" s="552"/>
      <c r="L84" s="578"/>
      <c r="M84" s="579"/>
      <c r="N84" s="1153"/>
      <c r="O84" s="1153"/>
      <c r="P84" s="556"/>
      <c r="Q84" s="557"/>
    </row>
    <row r="85" spans="1:17" s="469" customFormat="1" ht="14.4" thickBot="1">
      <c r="A85" s="551"/>
      <c r="B85" s="541"/>
      <c r="C85" s="558"/>
      <c r="D85" s="534"/>
      <c r="E85" s="534"/>
      <c r="F85" s="534"/>
      <c r="G85" s="534"/>
      <c r="H85" s="534"/>
      <c r="I85" s="534"/>
      <c r="J85" s="534"/>
      <c r="K85" s="534"/>
      <c r="L85" s="534"/>
      <c r="M85" s="535"/>
      <c r="N85" s="1153"/>
      <c r="O85" s="1153"/>
      <c r="P85" s="556"/>
      <c r="Q85" s="557"/>
    </row>
    <row r="86" spans="1:17" ht="14.4" thickTop="1">
      <c r="A86" s="532"/>
      <c r="B86" s="544">
        <f>B28</f>
        <v>111</v>
      </c>
      <c r="C86" s="521"/>
      <c r="D86" s="521"/>
      <c r="E86" s="521"/>
      <c r="F86" s="521"/>
      <c r="G86" s="585"/>
      <c r="H86" s="585"/>
      <c r="I86" s="585"/>
      <c r="J86" s="585"/>
      <c r="K86" s="586"/>
      <c r="L86" s="587"/>
      <c r="M86" s="588"/>
      <c r="N86" s="1151"/>
      <c r="O86" s="1151"/>
      <c r="P86" s="44"/>
      <c r="Q86" s="502"/>
    </row>
    <row r="87" spans="1:17" ht="14.4" thickBot="1">
      <c r="A87" s="2634"/>
      <c r="B87" s="567"/>
      <c r="C87" s="568"/>
      <c r="D87" s="568"/>
      <c r="E87" s="568"/>
      <c r="F87" s="568"/>
      <c r="G87" s="589"/>
      <c r="H87" s="589"/>
      <c r="I87" s="589"/>
      <c r="J87" s="589"/>
      <c r="K87" s="589"/>
      <c r="L87" s="589"/>
      <c r="M87" s="590"/>
      <c r="N87" s="1152"/>
      <c r="O87" s="1152"/>
      <c r="P87" s="44"/>
      <c r="Q87" s="502"/>
    </row>
    <row r="88" spans="1:17" ht="14.4">
      <c r="A88" s="525" t="s">
        <v>2562</v>
      </c>
      <c r="B88" s="526" t="s">
        <v>2611</v>
      </c>
      <c r="C88" s="528"/>
      <c r="D88" s="528"/>
      <c r="E88" s="528"/>
      <c r="F88" s="528"/>
      <c r="G88" s="528"/>
      <c r="H88" s="528"/>
      <c r="I88" s="528"/>
      <c r="J88" s="528"/>
      <c r="K88" s="529"/>
      <c r="L88" s="530"/>
      <c r="M88" s="531"/>
      <c r="N88" s="1151"/>
      <c r="O88" s="1151"/>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2"/>
      <c r="O89" s="1152"/>
      <c r="P89" s="44"/>
      <c r="Q89" s="502"/>
    </row>
    <row r="90" spans="1:17" ht="1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0"/>
      <c r="O90" s="1150"/>
      <c r="P90" s="44"/>
      <c r="Q90" s="502"/>
    </row>
    <row r="91" spans="1:17" s="469" customFormat="1">
      <c r="A91" s="591"/>
      <c r="B91" s="592"/>
      <c r="C91" s="593"/>
      <c r="D91" s="593"/>
      <c r="E91" s="593"/>
      <c r="F91" s="593"/>
      <c r="G91" s="593"/>
      <c r="H91" s="593"/>
      <c r="I91" s="593"/>
      <c r="J91" s="594"/>
      <c r="K91" s="594"/>
      <c r="L91" s="595"/>
      <c r="M91" s="596"/>
      <c r="N91" s="1153"/>
      <c r="O91" s="1153"/>
      <c r="P91" s="556"/>
      <c r="Q91" s="557"/>
    </row>
    <row r="92" spans="1:17" s="469" customFormat="1" ht="14.4" thickBot="1">
      <c r="A92" s="551"/>
      <c r="B92" s="541"/>
      <c r="C92" s="558"/>
      <c r="D92" s="534"/>
      <c r="E92" s="534"/>
      <c r="F92" s="534"/>
      <c r="G92" s="534"/>
      <c r="H92" s="534"/>
      <c r="I92" s="534"/>
      <c r="J92" s="534"/>
      <c r="K92" s="534"/>
      <c r="L92" s="534"/>
      <c r="M92" s="535"/>
      <c r="N92" s="1152"/>
      <c r="O92" s="1152"/>
      <c r="P92" s="556"/>
      <c r="Q92" s="557"/>
    </row>
    <row r="93" spans="1:17" ht="15" thickTop="1">
      <c r="A93" s="597"/>
      <c r="B93" s="536" t="s">
        <v>2613</v>
      </c>
      <c r="C93" s="552"/>
      <c r="D93" s="552"/>
      <c r="E93" s="581"/>
      <c r="F93" s="581"/>
      <c r="G93" s="581"/>
      <c r="H93" s="581"/>
      <c r="I93" s="581"/>
      <c r="J93" s="581"/>
      <c r="K93" s="582"/>
      <c r="L93" s="583"/>
      <c r="M93" s="584"/>
      <c r="N93" s="1151"/>
      <c r="O93" s="1151"/>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2"/>
      <c r="O94" s="1152"/>
      <c r="P94" s="44"/>
      <c r="Q94" s="502"/>
    </row>
    <row r="95" spans="1:17" ht="15" thickTop="1">
      <c r="A95" s="597"/>
      <c r="B95" s="536" t="s">
        <v>2615</v>
      </c>
      <c r="C95" s="552"/>
      <c r="D95" s="552"/>
      <c r="E95" s="552"/>
      <c r="F95" s="581"/>
      <c r="G95" s="581"/>
      <c r="H95" s="581"/>
      <c r="I95" s="581"/>
      <c r="J95" s="581"/>
      <c r="K95" s="582"/>
      <c r="L95" s="583"/>
      <c r="M95" s="584"/>
      <c r="N95" s="1151"/>
      <c r="O95" s="1151"/>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2"/>
      <c r="O96" s="1152"/>
      <c r="P96" s="44"/>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1"/>
      <c r="O97" s="1151"/>
      <c r="P97" s="44"/>
      <c r="Q97" s="502"/>
    </row>
    <row r="98" spans="1:17">
      <c r="A98" s="597"/>
      <c r="B98" s="544"/>
      <c r="C98" s="601">
        <v>0.5</v>
      </c>
      <c r="D98" s="601">
        <v>0.6</v>
      </c>
      <c r="E98" s="601">
        <v>0.7</v>
      </c>
      <c r="F98" s="601">
        <v>0.8</v>
      </c>
      <c r="G98" s="601">
        <v>0.9</v>
      </c>
      <c r="H98" s="601">
        <v>1.0001</v>
      </c>
      <c r="I98" s="621"/>
      <c r="J98" s="621"/>
      <c r="K98" s="622"/>
      <c r="L98" s="623"/>
      <c r="M98" s="624"/>
      <c r="N98" s="1151"/>
      <c r="O98" s="1151"/>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2"/>
      <c r="O99" s="1152"/>
      <c r="P99" s="44"/>
      <c r="Q99" s="502"/>
    </row>
    <row r="100" spans="1:17" s="469" customFormat="1" ht="15" thickTop="1">
      <c r="A100" s="591"/>
      <c r="B100" s="536" t="s">
        <v>2616</v>
      </c>
      <c r="C100" s="552"/>
      <c r="D100" s="552"/>
      <c r="E100" s="552"/>
      <c r="F100" s="552"/>
      <c r="G100" s="552"/>
      <c r="H100" s="581"/>
      <c r="I100" s="581"/>
      <c r="J100" s="581"/>
      <c r="K100" s="582"/>
      <c r="L100" s="583"/>
      <c r="M100" s="584"/>
      <c r="N100" s="1153"/>
      <c r="O100" s="1153"/>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3"/>
      <c r="O101" s="1153"/>
      <c r="P101" s="556"/>
      <c r="Q101" s="557"/>
    </row>
    <row r="102" spans="1:17" ht="15" thickTop="1">
      <c r="A102" s="597"/>
      <c r="B102" s="536" t="s">
        <v>2617</v>
      </c>
      <c r="C102" s="552"/>
      <c r="D102" s="552"/>
      <c r="E102" s="552"/>
      <c r="F102" s="552"/>
      <c r="G102" s="552"/>
      <c r="H102" s="581"/>
      <c r="I102" s="581"/>
      <c r="J102" s="581"/>
      <c r="K102" s="582"/>
      <c r="L102" s="583"/>
      <c r="M102" s="584"/>
      <c r="N102" s="1151"/>
      <c r="O102" s="1151"/>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2"/>
      <c r="O103" s="1152"/>
      <c r="P103" s="44"/>
      <c r="Q103" s="502"/>
    </row>
    <row r="104" spans="1:17" ht="15" thickTop="1">
      <c r="A104" s="597"/>
      <c r="B104" s="536" t="s">
        <v>2619</v>
      </c>
      <c r="C104" s="552"/>
      <c r="D104" s="552"/>
      <c r="E104" s="552"/>
      <c r="F104" s="552"/>
      <c r="G104" s="552"/>
      <c r="H104" s="581"/>
      <c r="I104" s="581"/>
      <c r="J104" s="581"/>
      <c r="K104" s="582"/>
      <c r="L104" s="583"/>
      <c r="M104" s="584"/>
      <c r="N104" s="1151"/>
      <c r="O104" s="1151"/>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2"/>
      <c r="O105" s="1152"/>
      <c r="P105" s="44"/>
      <c r="Q105" s="502"/>
    </row>
    <row r="106" spans="1:17" ht="29.4" thickTop="1">
      <c r="A106" s="597"/>
      <c r="B106" s="634" t="s">
        <v>2705</v>
      </c>
      <c r="C106" s="576" t="s">
        <v>2596</v>
      </c>
      <c r="D106" s="576" t="s">
        <v>2597</v>
      </c>
      <c r="E106" s="576" t="s">
        <v>2598</v>
      </c>
      <c r="F106" s="576" t="s">
        <v>2599</v>
      </c>
      <c r="G106" s="576" t="s">
        <v>2600</v>
      </c>
      <c r="H106" s="537"/>
      <c r="I106" s="537"/>
      <c r="J106" s="537"/>
      <c r="K106" s="538"/>
      <c r="L106" s="539"/>
      <c r="M106" s="540"/>
      <c r="N106" s="1152"/>
      <c r="O106" s="1152"/>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2"/>
      <c r="O107" s="1152"/>
      <c r="P107" s="44"/>
      <c r="Q107" s="502"/>
    </row>
    <row r="108" spans="1:17" s="469" customFormat="1" ht="14.4" thickTop="1">
      <c r="A108" s="591"/>
      <c r="B108" s="536">
        <f>B38</f>
        <v>111</v>
      </c>
      <c r="C108" s="552"/>
      <c r="D108" s="552"/>
      <c r="E108" s="552"/>
      <c r="F108" s="552"/>
      <c r="G108" s="552"/>
      <c r="H108" s="553"/>
      <c r="I108" s="553"/>
      <c r="J108" s="553"/>
      <c r="K108" s="553"/>
      <c r="L108" s="554"/>
      <c r="M108" s="555"/>
      <c r="N108" s="1153"/>
      <c r="O108" s="1153"/>
      <c r="P108" s="556"/>
      <c r="Q108" s="557"/>
    </row>
    <row r="109" spans="1:17" s="469" customFormat="1" ht="14.4" thickBot="1">
      <c r="A109" s="551"/>
      <c r="B109" s="533"/>
      <c r="C109" s="558"/>
      <c r="D109" s="534"/>
      <c r="E109" s="534"/>
      <c r="F109" s="534"/>
      <c r="G109" s="558"/>
      <c r="H109" s="560"/>
      <c r="I109" s="560"/>
      <c r="J109" s="560"/>
      <c r="K109" s="560"/>
      <c r="L109" s="560"/>
      <c r="M109" s="561"/>
      <c r="N109" s="1153"/>
      <c r="O109" s="1153"/>
      <c r="P109" s="556"/>
      <c r="Q109" s="557"/>
    </row>
    <row r="110" spans="1:17" ht="14.4" thickTop="1">
      <c r="A110" s="597"/>
      <c r="B110" s="536">
        <f>B39</f>
        <v>111</v>
      </c>
      <c r="C110" s="552"/>
      <c r="D110" s="552"/>
      <c r="E110" s="552"/>
      <c r="F110" s="552"/>
      <c r="G110" s="552"/>
      <c r="H110" s="553"/>
      <c r="I110" s="553"/>
      <c r="J110" s="553"/>
      <c r="K110" s="553"/>
      <c r="L110" s="554"/>
      <c r="M110" s="555"/>
      <c r="N110" s="1151"/>
      <c r="O110" s="1151"/>
      <c r="P110" s="44"/>
      <c r="Q110" s="502"/>
    </row>
    <row r="111" spans="1:17" ht="14.4" thickBot="1">
      <c r="A111" s="532"/>
      <c r="B111" s="541"/>
      <c r="C111" s="558"/>
      <c r="D111" s="534"/>
      <c r="E111" s="534"/>
      <c r="F111" s="534"/>
      <c r="G111" s="558"/>
      <c r="H111" s="560"/>
      <c r="I111" s="560"/>
      <c r="J111" s="560"/>
      <c r="K111" s="560"/>
      <c r="L111" s="560"/>
      <c r="M111" s="561"/>
      <c r="N111" s="1152"/>
      <c r="O111" s="1152"/>
      <c r="P111" s="44"/>
      <c r="Q111" s="502"/>
    </row>
    <row r="112" spans="1:17" ht="14.4" thickTop="1">
      <c r="A112" s="597"/>
      <c r="B112" s="544">
        <f>B40</f>
        <v>111</v>
      </c>
      <c r="C112" s="521"/>
      <c r="D112" s="521"/>
      <c r="E112" s="521"/>
      <c r="F112" s="521"/>
      <c r="G112" s="585"/>
      <c r="H112" s="585"/>
      <c r="I112" s="585"/>
      <c r="J112" s="585"/>
      <c r="K112" s="521"/>
      <c r="L112" s="522"/>
      <c r="M112" s="588"/>
      <c r="N112" s="1151"/>
      <c r="O112" s="1151"/>
      <c r="P112" s="44"/>
      <c r="Q112" s="502"/>
    </row>
    <row r="113" spans="1:17" ht="14.4" thickBot="1">
      <c r="A113" s="2634"/>
      <c r="B113" s="567"/>
      <c r="C113" s="568"/>
      <c r="D113" s="568"/>
      <c r="E113" s="568"/>
      <c r="F113" s="568"/>
      <c r="G113" s="589"/>
      <c r="H113" s="589"/>
      <c r="I113" s="589"/>
      <c r="J113" s="589"/>
      <c r="K113" s="589"/>
      <c r="L113" s="589"/>
      <c r="M113" s="590"/>
      <c r="N113" s="1152"/>
      <c r="O113" s="1152"/>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56" priority="16" stopIfTrue="1" operator="containsText" text="超过">
      <formula>NOT(ISERROR(SEARCH("超过",F46)))</formula>
    </cfRule>
  </conditionalFormatting>
  <conditionalFormatting sqref="H48">
    <cfRule type="containsText" dxfId="155" priority="15" stopIfTrue="1" operator="containsText" text="超过">
      <formula>NOT(ISERROR(SEARCH("超过",H48)))</formula>
    </cfRule>
  </conditionalFormatting>
  <conditionalFormatting sqref="F48">
    <cfRule type="containsText" dxfId="154" priority="14" stopIfTrue="1" operator="containsText" text="超过">
      <formula>NOT(ISERROR(SEARCH("超过",F48)))</formula>
    </cfRule>
  </conditionalFormatting>
  <conditionalFormatting sqref="F47 H47">
    <cfRule type="containsText" dxfId="153" priority="13" stopIfTrue="1" operator="containsText" text="超过">
      <formula>NOT(ISERROR(SEARCH("超过",F47)))</formula>
    </cfRule>
  </conditionalFormatting>
  <conditionalFormatting sqref="E46">
    <cfRule type="expression" dxfId="152" priority="12" stopIfTrue="1">
      <formula>$F$46="超过30%"</formula>
    </cfRule>
  </conditionalFormatting>
  <conditionalFormatting sqref="E47">
    <cfRule type="expression" dxfId="151" priority="11" stopIfTrue="1">
      <formula>$F$47="超过20%"</formula>
    </cfRule>
  </conditionalFormatting>
  <conditionalFormatting sqref="E48">
    <cfRule type="expression" dxfId="150" priority="10" stopIfTrue="1">
      <formula>$F$48="超过30%"</formula>
    </cfRule>
  </conditionalFormatting>
  <conditionalFormatting sqref="G48">
    <cfRule type="expression" dxfId="149" priority="9" stopIfTrue="1">
      <formula>$H$48="超过30%"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J46">
    <cfRule type="containsText" dxfId="146" priority="6" stopIfTrue="1" operator="containsText" text="超过">
      <formula>NOT(ISERROR(SEARCH("超过",J46)))</formula>
    </cfRule>
  </conditionalFormatting>
  <conditionalFormatting sqref="J48">
    <cfRule type="containsText" dxfId="145" priority="5" stopIfTrue="1" operator="containsText" text="超过">
      <formula>NOT(ISERROR(SEARCH("超过",J48)))</formula>
    </cfRule>
  </conditionalFormatting>
  <conditionalFormatting sqref="J47">
    <cfRule type="containsText" dxfId="144" priority="4" stopIfTrue="1" operator="containsText" text="超过">
      <formula>NOT(ISERROR(SEARCH("超过",J47)))</formula>
    </cfRule>
  </conditionalFormatting>
  <conditionalFormatting sqref="I46">
    <cfRule type="expression" dxfId="143" priority="3" stopIfTrue="1">
      <formula>$J$46="超过30%"</formula>
    </cfRule>
  </conditionalFormatting>
  <conditionalFormatting sqref="I47">
    <cfRule type="expression" dxfId="142" priority="2" stopIfTrue="1">
      <formula>$J$47="超过20%"</formula>
    </cfRule>
  </conditionalFormatting>
  <conditionalFormatting sqref="I48">
    <cfRule type="expression" dxfId="14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T16"/>
  <sheetViews>
    <sheetView workbookViewId="0">
      <pane xSplit="1" ySplit="1" topLeftCell="J2" activePane="bottomRight" state="frozen"/>
      <selection pane="topRight" activeCell="B1" sqref="B1"/>
      <selection pane="bottomLeft" activeCell="A2" sqref="A2"/>
      <selection pane="bottomRight" activeCell="AC25" sqref="AC25"/>
    </sheetView>
  </sheetViews>
  <sheetFormatPr defaultRowHeight="14.4"/>
  <cols>
    <col min="1" max="1" width="38.109375" customWidth="1"/>
    <col min="38" max="39" width="0" hidden="1" customWidth="1"/>
    <col min="42" max="45" width="0" hidden="1" customWidth="1"/>
  </cols>
  <sheetData>
    <row r="1" spans="1:46" s="3721" customFormat="1" ht="12">
      <c r="A1" s="3721" t="s">
        <v>3359</v>
      </c>
      <c r="B1" s="3721" t="s">
        <v>3360</v>
      </c>
      <c r="C1" s="3721" t="s">
        <v>3361</v>
      </c>
      <c r="D1" s="3721" t="s">
        <v>3362</v>
      </c>
      <c r="E1" s="3721" t="s">
        <v>3363</v>
      </c>
      <c r="F1" s="3721" t="s">
        <v>3364</v>
      </c>
      <c r="G1" s="3721" t="s">
        <v>3365</v>
      </c>
      <c r="H1" s="3721" t="s">
        <v>3366</v>
      </c>
      <c r="I1" s="3721" t="s">
        <v>3367</v>
      </c>
      <c r="J1" s="3721" t="s">
        <v>3368</v>
      </c>
      <c r="K1" s="3721" t="s">
        <v>3369</v>
      </c>
      <c r="L1" s="3721" t="s">
        <v>3370</v>
      </c>
      <c r="M1" s="3721" t="s">
        <v>3371</v>
      </c>
      <c r="N1" s="3721" t="s">
        <v>3372</v>
      </c>
      <c r="O1" s="3721" t="s">
        <v>3373</v>
      </c>
      <c r="P1" s="3721" t="s">
        <v>3374</v>
      </c>
      <c r="Q1" s="3721" t="s">
        <v>3375</v>
      </c>
      <c r="R1" s="3721" t="s">
        <v>3376</v>
      </c>
      <c r="S1" s="3721" t="s">
        <v>3377</v>
      </c>
      <c r="T1" s="3721" t="s">
        <v>3378</v>
      </c>
      <c r="U1" s="3721" t="s">
        <v>3379</v>
      </c>
      <c r="V1" s="3721" t="s">
        <v>3380</v>
      </c>
      <c r="W1" s="3721" t="s">
        <v>3381</v>
      </c>
      <c r="X1" s="3721" t="s">
        <v>3382</v>
      </c>
      <c r="Y1" s="3721" t="s">
        <v>3383</v>
      </c>
      <c r="Z1" s="3721" t="s">
        <v>3384</v>
      </c>
      <c r="AA1" s="3721" t="s">
        <v>3385</v>
      </c>
      <c r="AB1" s="3721" t="s">
        <v>3386</v>
      </c>
      <c r="AC1" s="3721" t="s">
        <v>3387</v>
      </c>
      <c r="AD1" s="3721" t="s">
        <v>3388</v>
      </c>
      <c r="AE1" s="3721" t="s">
        <v>3389</v>
      </c>
      <c r="AF1" s="3721" t="s">
        <v>3390</v>
      </c>
      <c r="AG1" s="3721" t="s">
        <v>3391</v>
      </c>
      <c r="AH1" s="3721" t="s">
        <v>3392</v>
      </c>
      <c r="AI1" s="3721" t="s">
        <v>3393</v>
      </c>
      <c r="AJ1" s="3721" t="s">
        <v>3394</v>
      </c>
      <c r="AK1" s="3721" t="s">
        <v>3395</v>
      </c>
      <c r="AL1" s="3721" t="s">
        <v>3396</v>
      </c>
      <c r="AM1" s="3721" t="s">
        <v>3397</v>
      </c>
      <c r="AN1" s="3721" t="s">
        <v>3398</v>
      </c>
      <c r="AO1" s="3721" t="s">
        <v>3399</v>
      </c>
      <c r="AP1" s="3721" t="s">
        <v>3400</v>
      </c>
      <c r="AQ1" s="3721" t="s">
        <v>3401</v>
      </c>
      <c r="AR1" s="3721" t="s">
        <v>3402</v>
      </c>
      <c r="AT1" s="3721" t="s">
        <v>3489</v>
      </c>
    </row>
    <row r="2" spans="1:46" s="3721" customFormat="1" ht="12">
      <c r="A2" s="3721" t="s">
        <v>3403</v>
      </c>
      <c r="B2" s="3721" t="s">
        <v>3047</v>
      </c>
      <c r="C2" s="3721" t="s">
        <v>3108</v>
      </c>
      <c r="D2" s="3721" t="s">
        <v>3404</v>
      </c>
      <c r="E2" s="3721" t="s">
        <v>1331</v>
      </c>
      <c r="F2" s="3721" t="s">
        <v>3405</v>
      </c>
      <c r="G2" s="3721" t="s">
        <v>3406</v>
      </c>
      <c r="H2" s="3721" t="s">
        <v>3407</v>
      </c>
      <c r="I2" s="3721" t="s">
        <v>3408</v>
      </c>
      <c r="J2" s="3721">
        <v>55333.599999999999</v>
      </c>
      <c r="K2" s="3721">
        <v>66400</v>
      </c>
      <c r="L2" s="3721" t="s">
        <v>3409</v>
      </c>
      <c r="M2" s="3721" t="s">
        <v>1331</v>
      </c>
      <c r="N2" s="3721" t="s">
        <v>1331</v>
      </c>
      <c r="O2" s="3721" t="s">
        <v>1331</v>
      </c>
      <c r="P2" s="3721" t="s">
        <v>1331</v>
      </c>
      <c r="Q2" s="3721" t="s">
        <v>1331</v>
      </c>
      <c r="R2" s="3721" t="s">
        <v>1331</v>
      </c>
      <c r="S2" s="3721" t="s">
        <v>1331</v>
      </c>
      <c r="T2" s="3721" t="s">
        <v>1331</v>
      </c>
      <c r="U2" s="3721" t="s">
        <v>1331</v>
      </c>
      <c r="V2" s="3721" t="s">
        <v>1331</v>
      </c>
      <c r="W2" s="3721" t="s">
        <v>3410</v>
      </c>
      <c r="X2" s="3721" t="s">
        <v>3411</v>
      </c>
      <c r="Y2" s="3721" t="s">
        <v>3412</v>
      </c>
      <c r="Z2" s="3721" t="s">
        <v>3413</v>
      </c>
      <c r="AA2" s="3721" t="s">
        <v>3413</v>
      </c>
      <c r="AB2" s="3721" t="s">
        <v>3407</v>
      </c>
      <c r="AC2" s="3721" t="s">
        <v>3414</v>
      </c>
      <c r="AD2" s="3721" t="s">
        <v>3415</v>
      </c>
      <c r="AE2" s="3721">
        <v>2000</v>
      </c>
      <c r="AF2" s="3721">
        <v>9634</v>
      </c>
      <c r="AG2" s="3721">
        <v>9634</v>
      </c>
      <c r="AH2" s="3721">
        <v>116.07</v>
      </c>
      <c r="AI2" s="3721">
        <v>116.07</v>
      </c>
      <c r="AJ2" s="3721">
        <v>1450.9</v>
      </c>
      <c r="AK2" s="3721">
        <v>1450.9</v>
      </c>
      <c r="AL2" s="3721" t="s">
        <v>1331</v>
      </c>
      <c r="AM2" s="3721" t="s">
        <v>1331</v>
      </c>
      <c r="AN2" s="3721">
        <v>0</v>
      </c>
      <c r="AO2" s="3721" t="s">
        <v>3416</v>
      </c>
      <c r="AP2" s="3721" t="s">
        <v>1331</v>
      </c>
      <c r="AQ2" s="3721" t="s">
        <v>1331</v>
      </c>
      <c r="AR2" s="3721" t="s">
        <v>1331</v>
      </c>
      <c r="AT2" s="3721">
        <f>AG2/J2*10000</f>
        <v>1741.0759466219442</v>
      </c>
    </row>
    <row r="3" spans="1:46" s="3721" customFormat="1" ht="12">
      <c r="A3" s="3721" t="s">
        <v>3417</v>
      </c>
      <c r="B3" s="3721" t="s">
        <v>3047</v>
      </c>
      <c r="C3" s="3721" t="s">
        <v>3108</v>
      </c>
      <c r="D3" s="3721" t="s">
        <v>3404</v>
      </c>
      <c r="E3" s="3721" t="s">
        <v>1331</v>
      </c>
      <c r="F3" s="3721" t="s">
        <v>3418</v>
      </c>
      <c r="G3" s="3721" t="s">
        <v>3406</v>
      </c>
      <c r="H3" s="3721" t="s">
        <v>3419</v>
      </c>
      <c r="I3" s="3721" t="s">
        <v>3420</v>
      </c>
      <c r="J3" s="3721">
        <v>57769</v>
      </c>
      <c r="K3" s="3721">
        <v>57769</v>
      </c>
      <c r="L3" s="3721" t="s">
        <v>3421</v>
      </c>
      <c r="M3" s="3721" t="s">
        <v>1331</v>
      </c>
      <c r="N3" s="3721" t="s">
        <v>1331</v>
      </c>
      <c r="O3" s="3721" t="s">
        <v>1331</v>
      </c>
      <c r="P3" s="3721" t="s">
        <v>1331</v>
      </c>
      <c r="Q3" s="3721" t="s">
        <v>1331</v>
      </c>
      <c r="R3" s="3721" t="s">
        <v>1331</v>
      </c>
      <c r="S3" s="3721" t="s">
        <v>1331</v>
      </c>
      <c r="T3" s="3721" t="s">
        <v>1331</v>
      </c>
      <c r="U3" s="3721" t="s">
        <v>1331</v>
      </c>
      <c r="V3" s="3721" t="s">
        <v>1331</v>
      </c>
      <c r="W3" s="3721" t="s">
        <v>3410</v>
      </c>
      <c r="X3" s="3721" t="s">
        <v>3422</v>
      </c>
      <c r="Y3" s="3721" t="s">
        <v>3423</v>
      </c>
      <c r="Z3" s="3721" t="s">
        <v>3424</v>
      </c>
      <c r="AA3" s="3721" t="s">
        <v>3424</v>
      </c>
      <c r="AB3" s="3721" t="s">
        <v>3419</v>
      </c>
      <c r="AC3" s="3721" t="s">
        <v>3414</v>
      </c>
      <c r="AD3" s="3721" t="s">
        <v>3425</v>
      </c>
      <c r="AE3" s="3721">
        <v>1510</v>
      </c>
      <c r="AF3" s="3721">
        <v>7505</v>
      </c>
      <c r="AG3" s="3721">
        <v>7505</v>
      </c>
      <c r="AH3" s="3721">
        <v>86.61</v>
      </c>
      <c r="AI3" s="3721">
        <v>86.61</v>
      </c>
      <c r="AJ3" s="3721">
        <v>1299.1300000000001</v>
      </c>
      <c r="AK3" s="3721">
        <v>1299.1400000000001</v>
      </c>
      <c r="AL3" s="3721" t="s">
        <v>1331</v>
      </c>
      <c r="AM3" s="3721" t="s">
        <v>1331</v>
      </c>
      <c r="AN3" s="3721">
        <v>0</v>
      </c>
      <c r="AO3" s="3721" t="s">
        <v>3416</v>
      </c>
      <c r="AP3" s="3721" t="s">
        <v>1331</v>
      </c>
      <c r="AQ3" s="3721" t="s">
        <v>1331</v>
      </c>
      <c r="AR3" s="3721" t="s">
        <v>1331</v>
      </c>
      <c r="AT3" s="3721">
        <f t="shared" ref="AT3:AT16" si="0">AG3/J3*10000</f>
        <v>1299.1396769893886</v>
      </c>
    </row>
    <row r="4" spans="1:46" s="3721" customFormat="1" ht="12">
      <c r="A4" s="3721" t="s">
        <v>3426</v>
      </c>
      <c r="B4" s="3721" t="s">
        <v>3047</v>
      </c>
      <c r="C4" s="3721" t="s">
        <v>3108</v>
      </c>
      <c r="D4" s="3721" t="s">
        <v>3404</v>
      </c>
      <c r="E4" s="3721" t="s">
        <v>1331</v>
      </c>
      <c r="F4" s="3721" t="s">
        <v>3427</v>
      </c>
      <c r="G4" s="3721" t="s">
        <v>3406</v>
      </c>
      <c r="H4" s="3721" t="s">
        <v>3428</v>
      </c>
      <c r="I4" s="3721" t="s">
        <v>3420</v>
      </c>
      <c r="J4" s="3721">
        <v>32779.72</v>
      </c>
      <c r="K4" s="3721">
        <v>39335.660000000003</v>
      </c>
      <c r="L4" s="3721" t="s">
        <v>3409</v>
      </c>
      <c r="M4" s="3721" t="s">
        <v>1331</v>
      </c>
      <c r="N4" s="3721" t="s">
        <v>1331</v>
      </c>
      <c r="O4" s="3721" t="s">
        <v>1331</v>
      </c>
      <c r="P4" s="3721" t="s">
        <v>1331</v>
      </c>
      <c r="Q4" s="3721" t="s">
        <v>1331</v>
      </c>
      <c r="R4" s="3721" t="s">
        <v>1331</v>
      </c>
      <c r="S4" s="3721" t="s">
        <v>1331</v>
      </c>
      <c r="T4" s="3721" t="s">
        <v>1331</v>
      </c>
      <c r="U4" s="3721" t="s">
        <v>1331</v>
      </c>
      <c r="V4" s="3721" t="s">
        <v>1331</v>
      </c>
      <c r="W4" s="3721" t="s">
        <v>3410</v>
      </c>
      <c r="X4" s="3721" t="s">
        <v>3422</v>
      </c>
      <c r="Y4" s="3721" t="s">
        <v>3423</v>
      </c>
      <c r="Z4" s="3721" t="s">
        <v>3424</v>
      </c>
      <c r="AA4" s="3721" t="s">
        <v>3424</v>
      </c>
      <c r="AB4" s="3721" t="s">
        <v>3428</v>
      </c>
      <c r="AC4" s="3721" t="s">
        <v>3414</v>
      </c>
      <c r="AD4" s="3721" t="s">
        <v>3429</v>
      </c>
      <c r="AE4" s="3721">
        <v>900</v>
      </c>
      <c r="AF4" s="3721">
        <v>4456</v>
      </c>
      <c r="AG4" s="3721">
        <v>4456</v>
      </c>
      <c r="AH4" s="3721">
        <v>90.63</v>
      </c>
      <c r="AI4" s="3721">
        <v>90.63</v>
      </c>
      <c r="AJ4" s="3721">
        <v>1132.81</v>
      </c>
      <c r="AK4" s="3721">
        <v>1132.8</v>
      </c>
      <c r="AL4" s="3721" t="s">
        <v>1331</v>
      </c>
      <c r="AM4" s="3721" t="s">
        <v>1331</v>
      </c>
      <c r="AN4" s="3721">
        <v>0</v>
      </c>
      <c r="AO4" s="3721" t="s">
        <v>3416</v>
      </c>
      <c r="AP4" s="3721" t="s">
        <v>1331</v>
      </c>
      <c r="AQ4" s="3721" t="s">
        <v>1331</v>
      </c>
      <c r="AR4" s="3721" t="s">
        <v>1331</v>
      </c>
      <c r="AT4" s="3721">
        <f t="shared" si="0"/>
        <v>1359.3770782666845</v>
      </c>
    </row>
    <row r="5" spans="1:46" s="3721" customFormat="1" ht="12">
      <c r="A5" s="3721" t="s">
        <v>3430</v>
      </c>
      <c r="B5" s="3721" t="s">
        <v>3047</v>
      </c>
      <c r="C5" s="3721" t="s">
        <v>3108</v>
      </c>
      <c r="D5" s="3721" t="s">
        <v>3404</v>
      </c>
      <c r="E5" s="3721" t="s">
        <v>1331</v>
      </c>
      <c r="F5" s="3721" t="s">
        <v>3405</v>
      </c>
      <c r="G5" s="3721" t="s">
        <v>3406</v>
      </c>
      <c r="H5" s="3721" t="s">
        <v>3431</v>
      </c>
      <c r="I5" s="3721" t="s">
        <v>3408</v>
      </c>
      <c r="J5" s="3721">
        <v>32326.54</v>
      </c>
      <c r="K5" s="3721">
        <v>38791.85</v>
      </c>
      <c r="L5" s="3721" t="s">
        <v>3409</v>
      </c>
      <c r="M5" s="3721" t="s">
        <v>1331</v>
      </c>
      <c r="N5" s="3721" t="s">
        <v>1331</v>
      </c>
      <c r="O5" s="3721" t="s">
        <v>1331</v>
      </c>
      <c r="P5" s="3721" t="s">
        <v>1331</v>
      </c>
      <c r="Q5" s="3721" t="s">
        <v>1331</v>
      </c>
      <c r="R5" s="3721" t="s">
        <v>1331</v>
      </c>
      <c r="S5" s="3721" t="s">
        <v>1331</v>
      </c>
      <c r="T5" s="3721" t="s">
        <v>1331</v>
      </c>
      <c r="U5" s="3721" t="s">
        <v>1331</v>
      </c>
      <c r="V5" s="3721" t="s">
        <v>1331</v>
      </c>
      <c r="W5" s="3721" t="s">
        <v>3410</v>
      </c>
      <c r="X5" s="3721" t="s">
        <v>3432</v>
      </c>
      <c r="Y5" s="3721" t="s">
        <v>3433</v>
      </c>
      <c r="Z5" s="3721" t="s">
        <v>3434</v>
      </c>
      <c r="AA5" s="3721" t="s">
        <v>3434</v>
      </c>
      <c r="AB5" s="3721" t="s">
        <v>3431</v>
      </c>
      <c r="AC5" s="3721" t="s">
        <v>3414</v>
      </c>
      <c r="AD5" s="3721" t="s">
        <v>3435</v>
      </c>
      <c r="AE5" s="3721">
        <v>900</v>
      </c>
      <c r="AF5" s="3721">
        <v>4194</v>
      </c>
      <c r="AG5" s="3721">
        <v>4194</v>
      </c>
      <c r="AH5" s="3721">
        <v>86.49</v>
      </c>
      <c r="AI5" s="3721">
        <v>86.49</v>
      </c>
      <c r="AJ5" s="3721">
        <v>1081.1500000000001</v>
      </c>
      <c r="AK5" s="3721">
        <v>1081.1500000000001</v>
      </c>
      <c r="AL5" s="3721" t="s">
        <v>1331</v>
      </c>
      <c r="AM5" s="3721" t="s">
        <v>1331</v>
      </c>
      <c r="AN5" s="3721">
        <v>0</v>
      </c>
      <c r="AO5" s="3721" t="s">
        <v>3416</v>
      </c>
      <c r="AP5" s="3721" t="s">
        <v>1331</v>
      </c>
      <c r="AQ5" s="3721" t="s">
        <v>1331</v>
      </c>
      <c r="AR5" s="3721" t="s">
        <v>1331</v>
      </c>
      <c r="AT5" s="3721">
        <f t="shared" si="0"/>
        <v>1297.3859868702311</v>
      </c>
    </row>
    <row r="6" spans="1:46" s="3721" customFormat="1" ht="12">
      <c r="A6" s="3721" t="s">
        <v>3436</v>
      </c>
      <c r="B6" s="3721" t="s">
        <v>3047</v>
      </c>
      <c r="C6" s="3721" t="s">
        <v>3108</v>
      </c>
      <c r="D6" s="3721" t="s">
        <v>3404</v>
      </c>
      <c r="E6" s="3721" t="s">
        <v>1331</v>
      </c>
      <c r="F6" s="3721" t="s">
        <v>3405</v>
      </c>
      <c r="G6" s="3721" t="s">
        <v>3406</v>
      </c>
      <c r="H6" s="3721" t="s">
        <v>3437</v>
      </c>
      <c r="I6" s="3721" t="s">
        <v>3408</v>
      </c>
      <c r="J6" s="3721">
        <v>31995.71</v>
      </c>
      <c r="K6" s="3721">
        <v>38394.85</v>
      </c>
      <c r="L6" s="3721" t="s">
        <v>3409</v>
      </c>
      <c r="M6" s="3721" t="s">
        <v>1331</v>
      </c>
      <c r="N6" s="3721" t="s">
        <v>1331</v>
      </c>
      <c r="O6" s="3721" t="s">
        <v>1331</v>
      </c>
      <c r="P6" s="3721" t="s">
        <v>1331</v>
      </c>
      <c r="Q6" s="3721" t="s">
        <v>1331</v>
      </c>
      <c r="R6" s="3721" t="s">
        <v>1331</v>
      </c>
      <c r="S6" s="3721" t="s">
        <v>1331</v>
      </c>
      <c r="T6" s="3721" t="s">
        <v>1331</v>
      </c>
      <c r="U6" s="3721" t="s">
        <v>1331</v>
      </c>
      <c r="V6" s="3721" t="s">
        <v>1331</v>
      </c>
      <c r="W6" s="3721" t="s">
        <v>3438</v>
      </c>
      <c r="X6" s="3721" t="s">
        <v>3432</v>
      </c>
      <c r="Y6" s="3721" t="s">
        <v>3433</v>
      </c>
      <c r="Z6" s="3721" t="s">
        <v>3439</v>
      </c>
      <c r="AA6" s="3721" t="s">
        <v>3439</v>
      </c>
      <c r="AB6" s="3721" t="s">
        <v>3437</v>
      </c>
      <c r="AC6" s="3721" t="s">
        <v>3414</v>
      </c>
      <c r="AD6" s="3721" t="s">
        <v>3440</v>
      </c>
      <c r="AE6" s="3721">
        <v>900</v>
      </c>
      <c r="AF6" s="3721">
        <v>4151</v>
      </c>
      <c r="AG6" s="3721">
        <v>4151</v>
      </c>
      <c r="AH6" s="3721">
        <v>86.49</v>
      </c>
      <c r="AI6" s="3721">
        <v>86.49</v>
      </c>
      <c r="AJ6" s="3721">
        <v>1081.1300000000001</v>
      </c>
      <c r="AK6" s="3721">
        <v>1081.1300000000001</v>
      </c>
      <c r="AL6" s="3721" t="s">
        <v>1331</v>
      </c>
      <c r="AM6" s="3721" t="s">
        <v>1331</v>
      </c>
      <c r="AN6" s="3721">
        <v>0</v>
      </c>
      <c r="AO6" s="3721" t="s">
        <v>3416</v>
      </c>
      <c r="AP6" s="3721" t="s">
        <v>1331</v>
      </c>
      <c r="AQ6" s="3721" t="s">
        <v>1331</v>
      </c>
      <c r="AR6" s="3721" t="s">
        <v>1331</v>
      </c>
      <c r="AT6" s="3721">
        <f t="shared" si="0"/>
        <v>1297.3614275163764</v>
      </c>
    </row>
    <row r="7" spans="1:46" s="3721" customFormat="1" ht="12">
      <c r="A7" s="3721" t="s">
        <v>3441</v>
      </c>
      <c r="B7" s="3721" t="s">
        <v>3047</v>
      </c>
      <c r="C7" s="3721" t="s">
        <v>3108</v>
      </c>
      <c r="D7" s="3721" t="s">
        <v>3404</v>
      </c>
      <c r="E7" s="3721" t="s">
        <v>1331</v>
      </c>
      <c r="F7" s="3721" t="s">
        <v>3442</v>
      </c>
      <c r="G7" s="3721" t="s">
        <v>3406</v>
      </c>
      <c r="H7" s="3721" t="s">
        <v>3443</v>
      </c>
      <c r="I7" s="3721" t="s">
        <v>3408</v>
      </c>
      <c r="J7" s="3721">
        <v>49749.07</v>
      </c>
      <c r="K7" s="3721">
        <v>49749.07</v>
      </c>
      <c r="L7" s="3721" t="s">
        <v>3421</v>
      </c>
      <c r="M7" s="3721" t="s">
        <v>1331</v>
      </c>
      <c r="N7" s="3721" t="s">
        <v>1331</v>
      </c>
      <c r="O7" s="3721" t="s">
        <v>1331</v>
      </c>
      <c r="P7" s="3721" t="s">
        <v>1331</v>
      </c>
      <c r="Q7" s="3721" t="s">
        <v>1331</v>
      </c>
      <c r="R7" s="3721" t="s">
        <v>1331</v>
      </c>
      <c r="S7" s="3721" t="s">
        <v>1331</v>
      </c>
      <c r="T7" s="3721" t="s">
        <v>1331</v>
      </c>
      <c r="U7" s="3721" t="s">
        <v>1331</v>
      </c>
      <c r="V7" s="3721" t="s">
        <v>1331</v>
      </c>
      <c r="W7" s="3721" t="s">
        <v>3438</v>
      </c>
      <c r="X7" s="3721" t="s">
        <v>3432</v>
      </c>
      <c r="Y7" s="3721" t="s">
        <v>3433</v>
      </c>
      <c r="Z7" s="3721" t="s">
        <v>3444</v>
      </c>
      <c r="AA7" s="3721" t="s">
        <v>3444</v>
      </c>
      <c r="AB7" s="3721" t="s">
        <v>3443</v>
      </c>
      <c r="AC7" s="3721" t="s">
        <v>3414</v>
      </c>
      <c r="AD7" s="3721" t="s">
        <v>3445</v>
      </c>
      <c r="AE7" s="3721">
        <v>1300</v>
      </c>
      <c r="AF7" s="3721">
        <v>6156</v>
      </c>
      <c r="AG7" s="3721">
        <v>6156</v>
      </c>
      <c r="AH7" s="3721">
        <v>82.49</v>
      </c>
      <c r="AI7" s="3721">
        <v>82.49</v>
      </c>
      <c r="AJ7" s="3721">
        <v>1237.4100000000001</v>
      </c>
      <c r="AK7" s="3721">
        <v>1237.4100000000001</v>
      </c>
      <c r="AL7" s="3721" t="s">
        <v>1331</v>
      </c>
      <c r="AM7" s="3721" t="s">
        <v>1331</v>
      </c>
      <c r="AN7" s="3721">
        <v>0</v>
      </c>
      <c r="AO7" s="3721" t="s">
        <v>3416</v>
      </c>
      <c r="AP7" s="3721" t="s">
        <v>1331</v>
      </c>
      <c r="AQ7" s="3721" t="s">
        <v>1331</v>
      </c>
      <c r="AR7" s="3721" t="s">
        <v>1331</v>
      </c>
      <c r="AT7" s="3721">
        <f t="shared" si="0"/>
        <v>1237.4100661580205</v>
      </c>
    </row>
    <row r="8" spans="1:46" s="3721" customFormat="1" ht="12">
      <c r="A8" s="3721" t="s">
        <v>3446</v>
      </c>
      <c r="B8" s="3721" t="s">
        <v>3047</v>
      </c>
      <c r="C8" s="3721" t="s">
        <v>3108</v>
      </c>
      <c r="D8" s="3721" t="s">
        <v>3404</v>
      </c>
      <c r="E8" s="3721" t="s">
        <v>1331</v>
      </c>
      <c r="F8" s="3721" t="s">
        <v>3447</v>
      </c>
      <c r="G8" s="3721" t="s">
        <v>3406</v>
      </c>
      <c r="H8" s="3721" t="s">
        <v>3448</v>
      </c>
      <c r="I8" s="3721" t="s">
        <v>3408</v>
      </c>
      <c r="J8" s="3721">
        <v>10121</v>
      </c>
      <c r="K8" s="3721">
        <v>10121</v>
      </c>
      <c r="L8" s="3721">
        <v>1</v>
      </c>
      <c r="M8" s="3721" t="s">
        <v>1331</v>
      </c>
      <c r="N8" s="3721" t="s">
        <v>1331</v>
      </c>
      <c r="O8" s="3721" t="s">
        <v>1331</v>
      </c>
      <c r="P8" s="3721" t="s">
        <v>1331</v>
      </c>
      <c r="Q8" s="3721" t="s">
        <v>1331</v>
      </c>
      <c r="R8" s="3721" t="s">
        <v>1331</v>
      </c>
      <c r="S8" s="3721" t="s">
        <v>1331</v>
      </c>
      <c r="T8" s="3721" t="s">
        <v>1331</v>
      </c>
      <c r="U8" s="3721" t="s">
        <v>1331</v>
      </c>
      <c r="V8" s="3721" t="s">
        <v>1331</v>
      </c>
      <c r="W8" s="3721" t="s">
        <v>3438</v>
      </c>
      <c r="X8" s="3721" t="s">
        <v>3449</v>
      </c>
      <c r="Y8" s="3721" t="s">
        <v>3450</v>
      </c>
      <c r="Z8" s="3721" t="s">
        <v>3451</v>
      </c>
      <c r="AA8" s="3721" t="s">
        <v>3451</v>
      </c>
      <c r="AB8" s="3721" t="s">
        <v>3448</v>
      </c>
      <c r="AC8" s="3721" t="s">
        <v>3414</v>
      </c>
      <c r="AD8" s="3721" t="s">
        <v>3452</v>
      </c>
      <c r="AE8" s="3721">
        <v>100</v>
      </c>
      <c r="AF8" s="3721">
        <v>926</v>
      </c>
      <c r="AG8" s="3721">
        <v>926</v>
      </c>
      <c r="AH8" s="3721">
        <v>61</v>
      </c>
      <c r="AI8" s="3721">
        <v>61</v>
      </c>
      <c r="AJ8" s="3721">
        <v>914.92</v>
      </c>
      <c r="AK8" s="3721">
        <v>914.92</v>
      </c>
      <c r="AL8" s="3721" t="s">
        <v>1331</v>
      </c>
      <c r="AM8" s="3721" t="s">
        <v>1331</v>
      </c>
      <c r="AN8" s="3721">
        <v>0</v>
      </c>
      <c r="AO8" s="3721" t="s">
        <v>3416</v>
      </c>
      <c r="AP8" s="3721" t="s">
        <v>1331</v>
      </c>
      <c r="AQ8" s="3721" t="s">
        <v>1331</v>
      </c>
      <c r="AR8" s="3721" t="s">
        <v>1331</v>
      </c>
      <c r="AT8" s="3721">
        <f t="shared" si="0"/>
        <v>914.9293548068373</v>
      </c>
    </row>
    <row r="9" spans="1:46" s="3721" customFormat="1" ht="12">
      <c r="A9" s="3721" t="s">
        <v>3453</v>
      </c>
      <c r="B9" s="3721" t="s">
        <v>3047</v>
      </c>
      <c r="C9" s="3721" t="s">
        <v>3108</v>
      </c>
      <c r="D9" s="3721" t="s">
        <v>3404</v>
      </c>
      <c r="E9" s="3721" t="s">
        <v>1331</v>
      </c>
      <c r="F9" s="3721" t="s">
        <v>3454</v>
      </c>
      <c r="G9" s="3721" t="s">
        <v>3406</v>
      </c>
      <c r="H9" s="3721" t="s">
        <v>3455</v>
      </c>
      <c r="I9" s="3721" t="s">
        <v>3408</v>
      </c>
      <c r="J9" s="3721">
        <v>25137.72</v>
      </c>
      <c r="K9" s="3721">
        <v>25137.72</v>
      </c>
      <c r="L9" s="3721" t="s">
        <v>3456</v>
      </c>
      <c r="M9" s="3721" t="s">
        <v>1331</v>
      </c>
      <c r="N9" s="3721" t="s">
        <v>1331</v>
      </c>
      <c r="O9" s="3721" t="s">
        <v>1331</v>
      </c>
      <c r="P9" s="3721" t="s">
        <v>1331</v>
      </c>
      <c r="Q9" s="3721" t="s">
        <v>1331</v>
      </c>
      <c r="R9" s="3721" t="s">
        <v>1331</v>
      </c>
      <c r="S9" s="3721" t="s">
        <v>1331</v>
      </c>
      <c r="T9" s="3721" t="s">
        <v>1331</v>
      </c>
      <c r="U9" s="3721" t="s">
        <v>1331</v>
      </c>
      <c r="V9" s="3721" t="s">
        <v>1331</v>
      </c>
      <c r="W9" s="3721" t="s">
        <v>3438</v>
      </c>
      <c r="X9" s="3721" t="s">
        <v>3457</v>
      </c>
      <c r="Y9" s="3721" t="s">
        <v>3458</v>
      </c>
      <c r="Z9" s="3721" t="s">
        <v>3459</v>
      </c>
      <c r="AA9" s="3721" t="s">
        <v>3459</v>
      </c>
      <c r="AB9" s="3721" t="s">
        <v>3455</v>
      </c>
      <c r="AC9" s="3721" t="s">
        <v>3414</v>
      </c>
      <c r="AD9" s="3721" t="s">
        <v>3460</v>
      </c>
      <c r="AE9" s="3721">
        <v>300</v>
      </c>
      <c r="AF9" s="3721">
        <v>2984</v>
      </c>
      <c r="AG9" s="3721">
        <v>2984</v>
      </c>
      <c r="AH9" s="3721">
        <v>79.14</v>
      </c>
      <c r="AI9" s="3721">
        <v>79.14</v>
      </c>
      <c r="AJ9" s="3721">
        <v>1187.06</v>
      </c>
      <c r="AK9" s="3721">
        <v>1187.05</v>
      </c>
      <c r="AL9" s="3721" t="s">
        <v>1331</v>
      </c>
      <c r="AM9" s="3721" t="s">
        <v>1331</v>
      </c>
      <c r="AN9" s="3721">
        <v>0</v>
      </c>
      <c r="AO9" s="3721" t="s">
        <v>3416</v>
      </c>
      <c r="AP9" s="3721" t="s">
        <v>1331</v>
      </c>
      <c r="AQ9" s="3721" t="s">
        <v>1331</v>
      </c>
      <c r="AR9" s="3721" t="s">
        <v>1331</v>
      </c>
      <c r="AT9" s="3721">
        <f t="shared" si="0"/>
        <v>1187.0607199061808</v>
      </c>
    </row>
    <row r="10" spans="1:46" s="3721" customFormat="1" ht="12">
      <c r="A10" s="3721" t="s">
        <v>3461</v>
      </c>
      <c r="B10" s="3721" t="s">
        <v>3047</v>
      </c>
      <c r="C10" s="3721" t="s">
        <v>3108</v>
      </c>
      <c r="D10" s="3721" t="s">
        <v>3404</v>
      </c>
      <c r="E10" s="3721" t="s">
        <v>1331</v>
      </c>
      <c r="F10" s="3721" t="s">
        <v>3454</v>
      </c>
      <c r="G10" s="3721" t="s">
        <v>3406</v>
      </c>
      <c r="H10" s="3721" t="s">
        <v>3462</v>
      </c>
      <c r="I10" s="3721" t="s">
        <v>3408</v>
      </c>
      <c r="J10" s="3721">
        <v>12530</v>
      </c>
      <c r="K10" s="3721">
        <v>12530</v>
      </c>
      <c r="L10" s="3721" t="s">
        <v>3456</v>
      </c>
      <c r="M10" s="3721" t="s">
        <v>1331</v>
      </c>
      <c r="N10" s="3721" t="s">
        <v>1331</v>
      </c>
      <c r="O10" s="3721" t="s">
        <v>1331</v>
      </c>
      <c r="P10" s="3721" t="s">
        <v>1331</v>
      </c>
      <c r="Q10" s="3721" t="s">
        <v>1331</v>
      </c>
      <c r="R10" s="3721" t="s">
        <v>1331</v>
      </c>
      <c r="S10" s="3721" t="s">
        <v>1331</v>
      </c>
      <c r="T10" s="3721" t="s">
        <v>1331</v>
      </c>
      <c r="U10" s="3721" t="s">
        <v>1331</v>
      </c>
      <c r="V10" s="3721" t="s">
        <v>1331</v>
      </c>
      <c r="W10" s="3721" t="s">
        <v>3438</v>
      </c>
      <c r="X10" s="3721" t="s">
        <v>3457</v>
      </c>
      <c r="Y10" s="3721" t="s">
        <v>3458</v>
      </c>
      <c r="Z10" s="3721" t="s">
        <v>3459</v>
      </c>
      <c r="AA10" s="3721" t="s">
        <v>3459</v>
      </c>
      <c r="AB10" s="3721" t="s">
        <v>3462</v>
      </c>
      <c r="AC10" s="3721" t="s">
        <v>3414</v>
      </c>
      <c r="AD10" s="3721" t="s">
        <v>3460</v>
      </c>
      <c r="AE10" s="3721">
        <v>150</v>
      </c>
      <c r="AF10" s="3721">
        <v>1488</v>
      </c>
      <c r="AG10" s="3721">
        <v>1488</v>
      </c>
      <c r="AH10" s="3721">
        <v>79.17</v>
      </c>
      <c r="AI10" s="3721">
        <v>79.17</v>
      </c>
      <c r="AJ10" s="3721">
        <v>1187.54</v>
      </c>
      <c r="AK10" s="3721">
        <v>1187.54</v>
      </c>
      <c r="AL10" s="3721" t="s">
        <v>1331</v>
      </c>
      <c r="AM10" s="3721" t="s">
        <v>1331</v>
      </c>
      <c r="AN10" s="3721">
        <v>0</v>
      </c>
      <c r="AO10" s="3721" t="s">
        <v>3416</v>
      </c>
      <c r="AP10" s="3721" t="s">
        <v>1331</v>
      </c>
      <c r="AQ10" s="3721" t="s">
        <v>1331</v>
      </c>
      <c r="AR10" s="3721" t="s">
        <v>1331</v>
      </c>
      <c r="AT10" s="3721">
        <f t="shared" si="0"/>
        <v>1187.5498802873105</v>
      </c>
    </row>
    <row r="11" spans="1:46" s="3721" customFormat="1" ht="12">
      <c r="A11" s="3721" t="s">
        <v>3463</v>
      </c>
      <c r="B11" s="3721" t="s">
        <v>3047</v>
      </c>
      <c r="C11" s="3721" t="s">
        <v>3108</v>
      </c>
      <c r="D11" s="3721" t="s">
        <v>3404</v>
      </c>
      <c r="E11" s="3721" t="s">
        <v>1331</v>
      </c>
      <c r="F11" s="3721" t="s">
        <v>3405</v>
      </c>
      <c r="G11" s="3721" t="s">
        <v>3406</v>
      </c>
      <c r="H11" s="3721" t="s">
        <v>3464</v>
      </c>
      <c r="I11" s="3721" t="s">
        <v>3408</v>
      </c>
      <c r="J11" s="3721">
        <v>69999.3</v>
      </c>
      <c r="K11" s="3721">
        <v>83999.16</v>
      </c>
      <c r="L11" s="3721">
        <v>1.2</v>
      </c>
      <c r="M11" s="3721" t="s">
        <v>1331</v>
      </c>
      <c r="N11" s="3721" t="s">
        <v>1331</v>
      </c>
      <c r="O11" s="3721" t="s">
        <v>1331</v>
      </c>
      <c r="P11" s="3721" t="s">
        <v>1331</v>
      </c>
      <c r="Q11" s="3721" t="s">
        <v>1331</v>
      </c>
      <c r="R11" s="3721" t="s">
        <v>1331</v>
      </c>
      <c r="S11" s="3721" t="s">
        <v>1331</v>
      </c>
      <c r="T11" s="3721" t="s">
        <v>1331</v>
      </c>
      <c r="U11" s="3721" t="s">
        <v>1331</v>
      </c>
      <c r="V11" s="3721" t="s">
        <v>1331</v>
      </c>
      <c r="W11" s="3721" t="s">
        <v>3438</v>
      </c>
      <c r="X11" s="3721" t="s">
        <v>3465</v>
      </c>
      <c r="Y11" s="3721" t="s">
        <v>3466</v>
      </c>
      <c r="Z11" s="3721" t="s">
        <v>3467</v>
      </c>
      <c r="AA11" s="3721" t="s">
        <v>3467</v>
      </c>
      <c r="AB11" s="3721" t="s">
        <v>3464</v>
      </c>
      <c r="AC11" s="3721" t="s">
        <v>3414</v>
      </c>
      <c r="AD11" s="3721" t="s">
        <v>3468</v>
      </c>
      <c r="AE11" s="3721">
        <v>1200</v>
      </c>
      <c r="AF11" s="3721">
        <v>11315</v>
      </c>
      <c r="AG11" s="3721">
        <v>11315</v>
      </c>
      <c r="AH11" s="3721">
        <v>107.76</v>
      </c>
      <c r="AI11" s="3721">
        <v>107.76</v>
      </c>
      <c r="AJ11" s="3721">
        <v>1347.03</v>
      </c>
      <c r="AK11" s="3721">
        <v>1347.03</v>
      </c>
      <c r="AL11" s="3721" t="s">
        <v>1331</v>
      </c>
      <c r="AM11" s="3721" t="s">
        <v>1331</v>
      </c>
      <c r="AN11" s="3721">
        <v>0</v>
      </c>
      <c r="AO11" s="3721" t="s">
        <v>3416</v>
      </c>
      <c r="AP11" s="3721" t="s">
        <v>1331</v>
      </c>
      <c r="AQ11" s="3721" t="s">
        <v>1331</v>
      </c>
      <c r="AR11" s="3721" t="s">
        <v>1331</v>
      </c>
      <c r="AT11" s="3721">
        <f t="shared" si="0"/>
        <v>1616.4447358759301</v>
      </c>
    </row>
    <row r="12" spans="1:46" s="3721" customFormat="1" ht="12">
      <c r="A12" s="3721" t="s">
        <v>3469</v>
      </c>
      <c r="B12" s="3721" t="s">
        <v>3047</v>
      </c>
      <c r="C12" s="3721" t="s">
        <v>3108</v>
      </c>
      <c r="D12" s="3721" t="s">
        <v>3404</v>
      </c>
      <c r="E12" s="3721" t="s">
        <v>1331</v>
      </c>
      <c r="F12" s="3721" t="s">
        <v>3470</v>
      </c>
      <c r="G12" s="3721" t="s">
        <v>3406</v>
      </c>
      <c r="H12" s="3721" t="s">
        <v>3471</v>
      </c>
      <c r="I12" s="3721" t="s">
        <v>3408</v>
      </c>
      <c r="J12" s="3721">
        <v>60631</v>
      </c>
      <c r="K12" s="3721">
        <v>60631</v>
      </c>
      <c r="L12" s="3721">
        <v>1</v>
      </c>
      <c r="M12" s="3721" t="s">
        <v>1331</v>
      </c>
      <c r="N12" s="3721" t="s">
        <v>1331</v>
      </c>
      <c r="O12" s="3721" t="s">
        <v>1331</v>
      </c>
      <c r="P12" s="3721" t="s">
        <v>1331</v>
      </c>
      <c r="Q12" s="3721" t="s">
        <v>1331</v>
      </c>
      <c r="R12" s="3721" t="s">
        <v>1331</v>
      </c>
      <c r="S12" s="3721" t="s">
        <v>1331</v>
      </c>
      <c r="T12" s="3721" t="s">
        <v>1331</v>
      </c>
      <c r="U12" s="3721" t="s">
        <v>1331</v>
      </c>
      <c r="V12" s="3721" t="s">
        <v>1331</v>
      </c>
      <c r="W12" s="3721" t="s">
        <v>3438</v>
      </c>
      <c r="X12" s="3721" t="s">
        <v>3465</v>
      </c>
      <c r="Y12" s="3721" t="s">
        <v>3466</v>
      </c>
      <c r="Z12" s="3721" t="s">
        <v>3472</v>
      </c>
      <c r="AA12" s="3721" t="s">
        <v>3472</v>
      </c>
      <c r="AB12" s="3721" t="s">
        <v>3471</v>
      </c>
      <c r="AC12" s="3721" t="s">
        <v>3414</v>
      </c>
      <c r="AD12" s="3721" t="s">
        <v>3473</v>
      </c>
      <c r="AE12" s="3721">
        <v>660</v>
      </c>
      <c r="AF12" s="3721">
        <v>6579</v>
      </c>
      <c r="AG12" s="3721">
        <v>6579</v>
      </c>
      <c r="AH12" s="3721">
        <v>72.34</v>
      </c>
      <c r="AI12" s="3721">
        <v>72.34</v>
      </c>
      <c r="AJ12" s="3721">
        <v>1085.08</v>
      </c>
      <c r="AK12" s="3721">
        <v>1085.08</v>
      </c>
      <c r="AL12" s="3721" t="s">
        <v>1331</v>
      </c>
      <c r="AM12" s="3721" t="s">
        <v>1331</v>
      </c>
      <c r="AN12" s="3721">
        <v>0</v>
      </c>
      <c r="AO12" s="3721" t="s">
        <v>3416</v>
      </c>
      <c r="AP12" s="3721" t="s">
        <v>1331</v>
      </c>
      <c r="AQ12" s="3721" t="s">
        <v>1331</v>
      </c>
      <c r="AR12" s="3721" t="s">
        <v>1331</v>
      </c>
      <c r="AT12" s="3721">
        <f t="shared" si="0"/>
        <v>1085.0884860879748</v>
      </c>
    </row>
    <row r="13" spans="1:46" s="3721" customFormat="1" ht="12">
      <c r="A13" s="3721" t="s">
        <v>3474</v>
      </c>
      <c r="B13" s="3721" t="s">
        <v>3047</v>
      </c>
      <c r="C13" s="3721" t="s">
        <v>3108</v>
      </c>
      <c r="D13" s="3721" t="s">
        <v>3404</v>
      </c>
      <c r="E13" s="3721" t="s">
        <v>1331</v>
      </c>
      <c r="F13" s="3721" t="s">
        <v>3405</v>
      </c>
      <c r="G13" s="3721" t="s">
        <v>3406</v>
      </c>
      <c r="H13" s="3721" t="s">
        <v>3475</v>
      </c>
      <c r="I13" s="3721" t="s">
        <v>3408</v>
      </c>
      <c r="J13" s="3721">
        <v>16666.78</v>
      </c>
      <c r="K13" s="3721">
        <v>20000.14</v>
      </c>
      <c r="L13" s="3721">
        <v>1.2</v>
      </c>
      <c r="M13" s="3721" t="s">
        <v>1331</v>
      </c>
      <c r="N13" s="3721" t="s">
        <v>1331</v>
      </c>
      <c r="O13" s="3721" t="s">
        <v>1331</v>
      </c>
      <c r="P13" s="3721" t="s">
        <v>1331</v>
      </c>
      <c r="Q13" s="3721" t="s">
        <v>1331</v>
      </c>
      <c r="R13" s="3721" t="s">
        <v>1331</v>
      </c>
      <c r="S13" s="3721" t="s">
        <v>1331</v>
      </c>
      <c r="T13" s="3721" t="s">
        <v>1331</v>
      </c>
      <c r="U13" s="3721" t="s">
        <v>1331</v>
      </c>
      <c r="V13" s="3721" t="s">
        <v>1331</v>
      </c>
      <c r="W13" s="3721" t="s">
        <v>3438</v>
      </c>
      <c r="X13" s="3721" t="s">
        <v>3465</v>
      </c>
      <c r="Y13" s="3721" t="s">
        <v>3466</v>
      </c>
      <c r="Z13" s="3721" t="s">
        <v>3476</v>
      </c>
      <c r="AA13" s="3721" t="s">
        <v>3476</v>
      </c>
      <c r="AB13" s="3721" t="s">
        <v>3475</v>
      </c>
      <c r="AC13" s="3721" t="s">
        <v>3414</v>
      </c>
      <c r="AD13" s="3721" t="s">
        <v>3477</v>
      </c>
      <c r="AE13" s="3721">
        <v>270</v>
      </c>
      <c r="AF13" s="3721">
        <v>2695</v>
      </c>
      <c r="AG13" s="3721">
        <v>2695</v>
      </c>
      <c r="AH13" s="3721">
        <v>107.8</v>
      </c>
      <c r="AI13" s="3721">
        <v>107.8</v>
      </c>
      <c r="AJ13" s="3721">
        <v>1347.49</v>
      </c>
      <c r="AK13" s="3721">
        <v>1347.49</v>
      </c>
      <c r="AL13" s="3721" t="s">
        <v>1331</v>
      </c>
      <c r="AM13" s="3721" t="s">
        <v>1331</v>
      </c>
      <c r="AN13" s="3721">
        <v>0</v>
      </c>
      <c r="AO13" s="3721" t="s">
        <v>3416</v>
      </c>
      <c r="AP13" s="3721" t="s">
        <v>1331</v>
      </c>
      <c r="AQ13" s="3721" t="s">
        <v>1331</v>
      </c>
      <c r="AR13" s="3721" t="s">
        <v>1331</v>
      </c>
      <c r="AT13" s="3721">
        <f t="shared" si="0"/>
        <v>1616.9890044747699</v>
      </c>
    </row>
    <row r="14" spans="1:46" s="3721" customFormat="1" ht="12">
      <c r="A14" s="3721" t="s">
        <v>3478</v>
      </c>
      <c r="B14" s="3721" t="s">
        <v>3047</v>
      </c>
      <c r="C14" s="3721" t="s">
        <v>3108</v>
      </c>
      <c r="D14" s="3721" t="s">
        <v>3404</v>
      </c>
      <c r="E14" s="3721" t="s">
        <v>1331</v>
      </c>
      <c r="F14" s="3721" t="s">
        <v>3470</v>
      </c>
      <c r="G14" s="3721" t="s">
        <v>3406</v>
      </c>
      <c r="H14" s="3721" t="s">
        <v>3479</v>
      </c>
      <c r="I14" s="3721" t="s">
        <v>3408</v>
      </c>
      <c r="J14" s="3721">
        <v>41557</v>
      </c>
      <c r="K14" s="3721">
        <v>41557</v>
      </c>
      <c r="L14" s="3721">
        <v>1</v>
      </c>
      <c r="M14" s="3721" t="s">
        <v>1331</v>
      </c>
      <c r="N14" s="3721" t="s">
        <v>1331</v>
      </c>
      <c r="O14" s="3721" t="s">
        <v>1331</v>
      </c>
      <c r="P14" s="3721" t="s">
        <v>1331</v>
      </c>
      <c r="Q14" s="3721" t="s">
        <v>1331</v>
      </c>
      <c r="R14" s="3721" t="s">
        <v>1331</v>
      </c>
      <c r="S14" s="3721" t="s">
        <v>1331</v>
      </c>
      <c r="T14" s="3721" t="s">
        <v>1331</v>
      </c>
      <c r="U14" s="3721" t="s">
        <v>1331</v>
      </c>
      <c r="V14" s="3721" t="s">
        <v>1331</v>
      </c>
      <c r="W14" s="3721" t="s">
        <v>3438</v>
      </c>
      <c r="X14" s="3721" t="s">
        <v>3465</v>
      </c>
      <c r="Y14" s="3721" t="s">
        <v>3466</v>
      </c>
      <c r="Z14" s="3721" t="s">
        <v>3480</v>
      </c>
      <c r="AA14" s="3721" t="s">
        <v>3480</v>
      </c>
      <c r="AB14" s="3721" t="s">
        <v>3479</v>
      </c>
      <c r="AC14" s="3721" t="s">
        <v>3414</v>
      </c>
      <c r="AD14" s="3721" t="s">
        <v>3481</v>
      </c>
      <c r="AE14" s="3721">
        <v>460</v>
      </c>
      <c r="AF14" s="3721">
        <v>4509</v>
      </c>
      <c r="AG14" s="3721">
        <v>4509</v>
      </c>
      <c r="AH14" s="3721">
        <v>72.33</v>
      </c>
      <c r="AI14" s="3721">
        <v>72.33</v>
      </c>
      <c r="AJ14" s="3721">
        <v>1085.01</v>
      </c>
      <c r="AK14" s="3721">
        <v>1085.01</v>
      </c>
      <c r="AL14" s="3721" t="s">
        <v>1331</v>
      </c>
      <c r="AM14" s="3721" t="s">
        <v>1331</v>
      </c>
      <c r="AN14" s="3721">
        <v>0</v>
      </c>
      <c r="AO14" s="3721" t="s">
        <v>3416</v>
      </c>
      <c r="AP14" s="3721" t="s">
        <v>1331</v>
      </c>
      <c r="AQ14" s="3721" t="s">
        <v>1331</v>
      </c>
      <c r="AR14" s="3721" t="s">
        <v>1331</v>
      </c>
      <c r="AT14" s="3721">
        <f t="shared" si="0"/>
        <v>1085.0157614842265</v>
      </c>
    </row>
    <row r="15" spans="1:46" s="3721" customFormat="1" ht="12">
      <c r="A15" s="3721" t="s">
        <v>3482</v>
      </c>
      <c r="B15" s="3721" t="s">
        <v>3047</v>
      </c>
      <c r="C15" s="3721" t="s">
        <v>3108</v>
      </c>
      <c r="D15" s="3721" t="s">
        <v>3404</v>
      </c>
      <c r="E15" s="3721" t="s">
        <v>1331</v>
      </c>
      <c r="F15" s="3721" t="s">
        <v>3405</v>
      </c>
      <c r="G15" s="3721" t="s">
        <v>3406</v>
      </c>
      <c r="H15" s="3721" t="s">
        <v>3483</v>
      </c>
      <c r="I15" s="3721" t="s">
        <v>3408</v>
      </c>
      <c r="J15" s="3721">
        <v>24075.919999999998</v>
      </c>
      <c r="K15" s="3721">
        <v>20063.27</v>
      </c>
      <c r="L15" s="3721">
        <v>0.83</v>
      </c>
      <c r="M15" s="3721" t="s">
        <v>1331</v>
      </c>
      <c r="N15" s="3721" t="s">
        <v>1331</v>
      </c>
      <c r="O15" s="3721" t="s">
        <v>1331</v>
      </c>
      <c r="P15" s="3721" t="s">
        <v>1331</v>
      </c>
      <c r="Q15" s="3721" t="s">
        <v>1331</v>
      </c>
      <c r="R15" s="3721" t="s">
        <v>1331</v>
      </c>
      <c r="S15" s="3721" t="s">
        <v>1331</v>
      </c>
      <c r="T15" s="3721" t="s">
        <v>1331</v>
      </c>
      <c r="U15" s="3721" t="s">
        <v>1331</v>
      </c>
      <c r="V15" s="3721" t="s">
        <v>1331</v>
      </c>
      <c r="W15" s="3721" t="s">
        <v>3438</v>
      </c>
      <c r="X15" s="3721" t="s">
        <v>3465</v>
      </c>
      <c r="Y15" s="3721" t="s">
        <v>3466</v>
      </c>
      <c r="Z15" s="3721" t="s">
        <v>3480</v>
      </c>
      <c r="AA15" s="3721" t="s">
        <v>3480</v>
      </c>
      <c r="AB15" s="3721" t="s">
        <v>3483</v>
      </c>
      <c r="AC15" s="3721" t="s">
        <v>3414</v>
      </c>
      <c r="AD15" s="3721" t="s">
        <v>3484</v>
      </c>
      <c r="AE15" s="3721">
        <v>330</v>
      </c>
      <c r="AF15" s="3721">
        <v>3244</v>
      </c>
      <c r="AG15" s="3721">
        <v>3244</v>
      </c>
      <c r="AH15" s="3721">
        <v>89.83</v>
      </c>
      <c r="AI15" s="3721">
        <v>89.83</v>
      </c>
      <c r="AJ15" s="3721">
        <v>1616.88</v>
      </c>
      <c r="AK15" s="3721">
        <v>1616.88</v>
      </c>
      <c r="AL15" s="3721" t="s">
        <v>1331</v>
      </c>
      <c r="AM15" s="3721" t="s">
        <v>1331</v>
      </c>
      <c r="AN15" s="3721">
        <v>0</v>
      </c>
      <c r="AO15" s="3721" t="s">
        <v>3416</v>
      </c>
      <c r="AP15" s="3721" t="s">
        <v>1331</v>
      </c>
      <c r="AQ15" s="3721" t="s">
        <v>1331</v>
      </c>
      <c r="AR15" s="3721" t="s">
        <v>1331</v>
      </c>
      <c r="AT15" s="3721">
        <f t="shared" si="0"/>
        <v>1347.4043774858865</v>
      </c>
    </row>
    <row r="16" spans="1:46" s="3721" customFormat="1" ht="12">
      <c r="A16" s="3721" t="s">
        <v>3485</v>
      </c>
      <c r="B16" s="3721" t="s">
        <v>3047</v>
      </c>
      <c r="C16" s="3721" t="s">
        <v>3108</v>
      </c>
      <c r="D16" s="3721" t="s">
        <v>3404</v>
      </c>
      <c r="E16" s="3721" t="s">
        <v>1331</v>
      </c>
      <c r="F16" s="3721" t="s">
        <v>3405</v>
      </c>
      <c r="G16" s="3721" t="s">
        <v>3406</v>
      </c>
      <c r="H16" s="3721" t="s">
        <v>3486</v>
      </c>
      <c r="I16" s="3721" t="s">
        <v>3408</v>
      </c>
      <c r="J16" s="3721">
        <v>23332.67</v>
      </c>
      <c r="K16" s="3721">
        <v>27999.200000000001</v>
      </c>
      <c r="L16" s="3721">
        <v>1.2000000000000002</v>
      </c>
      <c r="M16" s="3721" t="s">
        <v>1331</v>
      </c>
      <c r="N16" s="3721" t="s">
        <v>1331</v>
      </c>
      <c r="O16" s="3721" t="s">
        <v>1331</v>
      </c>
      <c r="P16" s="3721" t="s">
        <v>1331</v>
      </c>
      <c r="Q16" s="3721" t="s">
        <v>1331</v>
      </c>
      <c r="R16" s="3721" t="s">
        <v>1331</v>
      </c>
      <c r="S16" s="3721" t="s">
        <v>1331</v>
      </c>
      <c r="T16" s="3721" t="s">
        <v>1331</v>
      </c>
      <c r="U16" s="3721" t="s">
        <v>1331</v>
      </c>
      <c r="V16" s="3721" t="s">
        <v>1331</v>
      </c>
      <c r="W16" s="3721" t="s">
        <v>3438</v>
      </c>
      <c r="X16" s="3721" t="s">
        <v>3465</v>
      </c>
      <c r="Y16" s="3721" t="s">
        <v>3466</v>
      </c>
      <c r="Z16" s="3721" t="s">
        <v>3487</v>
      </c>
      <c r="AA16" s="3721" t="s">
        <v>3487</v>
      </c>
      <c r="AB16" s="3721" t="s">
        <v>3486</v>
      </c>
      <c r="AC16" s="3721" t="s">
        <v>3414</v>
      </c>
      <c r="AD16" s="3721" t="s">
        <v>3488</v>
      </c>
      <c r="AE16" s="3721">
        <v>380</v>
      </c>
      <c r="AF16" s="3721">
        <v>3772</v>
      </c>
      <c r="AG16" s="3721">
        <v>3772</v>
      </c>
      <c r="AH16" s="3721">
        <v>107.77</v>
      </c>
      <c r="AI16" s="3721">
        <v>107.77</v>
      </c>
      <c r="AJ16" s="3721">
        <v>1347.18</v>
      </c>
      <c r="AK16" s="3721">
        <v>1347.18</v>
      </c>
      <c r="AL16" s="3721" t="s">
        <v>1331</v>
      </c>
      <c r="AM16" s="3721" t="s">
        <v>1331</v>
      </c>
      <c r="AN16" s="3721">
        <v>0</v>
      </c>
      <c r="AO16" s="3721" t="s">
        <v>3416</v>
      </c>
      <c r="AP16" s="3721" t="s">
        <v>1331</v>
      </c>
      <c r="AQ16" s="3721" t="s">
        <v>1331</v>
      </c>
      <c r="AR16" s="3721" t="s">
        <v>1331</v>
      </c>
      <c r="AT16" s="3721">
        <f t="shared" si="0"/>
        <v>1616.617386694279</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55" zoomScaleNormal="55" workbookViewId="0">
      <selection activeCell="C39" sqref="C39"/>
    </sheetView>
  </sheetViews>
  <sheetFormatPr defaultColWidth="9" defaultRowHeight="13.8"/>
  <cols>
    <col min="1" max="1" width="14.33203125" style="401" customWidth="1"/>
    <col min="2" max="2" width="15.77734375" style="401" customWidth="1"/>
    <col min="3" max="3" width="17.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2743</v>
      </c>
      <c r="B1" s="393"/>
      <c r="C1" s="394"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2329</v>
      </c>
      <c r="B2" s="669">
        <f>F61</f>
        <v>9087</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2331</v>
      </c>
      <c r="B3" s="607">
        <f>ROUND(IF(D3="",B2*10000/'数据-汇总表'!E3,B2*10000/D3),0)</f>
        <v>880</v>
      </c>
      <c r="C3" s="245" t="s">
        <v>2745</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2644</v>
      </c>
      <c r="B4" s="400"/>
      <c r="C4" s="3553" t="s">
        <v>2645</v>
      </c>
      <c r="D4" s="3554"/>
      <c r="E4" s="3555" t="s">
        <v>2646</v>
      </c>
      <c r="F4" s="3556"/>
      <c r="G4" s="3553" t="s">
        <v>2647</v>
      </c>
      <c r="H4" s="3554"/>
      <c r="I4" s="3553" t="s">
        <v>2648</v>
      </c>
      <c r="J4" s="3554"/>
      <c r="K4" s="608" t="s">
        <v>2649</v>
      </c>
      <c r="L4" s="1129"/>
      <c r="M4" s="1130"/>
      <c r="N4" s="1130"/>
      <c r="O4" s="1130"/>
      <c r="P4" s="3557" t="s">
        <v>2650</v>
      </c>
      <c r="Q4" s="3558"/>
      <c r="R4" s="3563" t="s">
        <v>2646</v>
      </c>
      <c r="S4" s="3564"/>
      <c r="T4" s="3563" t="s">
        <v>2647</v>
      </c>
      <c r="U4" s="3564"/>
      <c r="V4" s="3569" t="s">
        <v>2648</v>
      </c>
      <c r="W4" s="3569"/>
      <c r="X4" s="1812"/>
      <c r="Y4" s="3563" t="s">
        <v>2650</v>
      </c>
      <c r="Z4" s="3564"/>
      <c r="AA4" s="3550" t="s">
        <v>2646</v>
      </c>
      <c r="AB4" s="3551" t="s">
        <v>2647</v>
      </c>
      <c r="AC4" s="3550" t="s">
        <v>2648</v>
      </c>
    </row>
    <row r="5" spans="1:29">
      <c r="A5" s="402"/>
      <c r="B5" s="403"/>
      <c r="C5" s="3572" t="s">
        <v>2541</v>
      </c>
      <c r="D5" s="3573"/>
      <c r="E5" s="3579" t="str">
        <f>土地案例!A4</f>
        <v>北京高端制造业(房山)基地03街区F区工业用地项目</v>
      </c>
      <c r="F5" s="3580"/>
      <c r="G5" s="3579" t="str">
        <f>土地案例!A3</f>
        <v>北京石化新材料科技产业基地核心区东区B5-10(2)地块工业用地项目</v>
      </c>
      <c r="H5" s="3580"/>
      <c r="I5" s="3579" t="str">
        <f>土地案例!A4</f>
        <v>北京高端制造业(房山)基地03街区F区工业用地项目</v>
      </c>
      <c r="J5" s="3580"/>
      <c r="K5" s="608"/>
      <c r="L5" s="1129"/>
      <c r="M5" s="1130"/>
      <c r="N5" s="1130"/>
      <c r="O5" s="1130"/>
      <c r="P5" s="3559"/>
      <c r="Q5" s="3560"/>
      <c r="R5" s="3565"/>
      <c r="S5" s="3566"/>
      <c r="T5" s="3565"/>
      <c r="U5" s="3566"/>
      <c r="V5" s="3569"/>
      <c r="W5" s="3569"/>
      <c r="X5" s="1812"/>
      <c r="Y5" s="3565"/>
      <c r="Z5" s="3566"/>
      <c r="AA5" s="3551"/>
      <c r="AB5" s="3551"/>
      <c r="AC5" s="3551"/>
    </row>
    <row r="6" spans="1:29" ht="15" thickBot="1">
      <c r="A6" s="404"/>
      <c r="B6" s="405"/>
      <c r="C6" s="3584" t="s">
        <v>2796</v>
      </c>
      <c r="D6" s="3585"/>
      <c r="E6" s="3579" t="str">
        <f>'比较法-工业2'!E8:F8</f>
        <v>窦店</v>
      </c>
      <c r="F6" s="3580"/>
      <c r="G6" s="3586" t="s">
        <v>3295</v>
      </c>
      <c r="H6" s="3580"/>
      <c r="I6" s="3579" t="str">
        <f>'比较法-工业2'!I8:J8</f>
        <v>窦店</v>
      </c>
      <c r="J6" s="3580"/>
      <c r="K6" s="608" t="s">
        <v>2546</v>
      </c>
      <c r="L6" s="1129"/>
      <c r="M6" s="1130"/>
      <c r="N6" s="1130"/>
      <c r="O6" s="1130"/>
      <c r="P6" s="3561"/>
      <c r="Q6" s="3562"/>
      <c r="R6" s="3565"/>
      <c r="S6" s="3566"/>
      <c r="T6" s="3567"/>
      <c r="U6" s="3568"/>
      <c r="V6" s="3569"/>
      <c r="W6" s="3569"/>
      <c r="X6" s="1812"/>
      <c r="Y6" s="3567"/>
      <c r="Z6" s="3568"/>
      <c r="AA6" s="3552"/>
      <c r="AB6" s="3552"/>
      <c r="AC6" s="3552"/>
    </row>
    <row r="7" spans="1:29" s="115" customFormat="1" ht="15" thickBot="1">
      <c r="A7" s="406" t="s">
        <v>2547</v>
      </c>
      <c r="B7" s="407"/>
      <c r="C7" s="408">
        <f>'数据-取费表'!B2</f>
        <v>43424</v>
      </c>
      <c r="D7" s="409">
        <v>100</v>
      </c>
      <c r="E7" s="410" t="str">
        <f>土地案例!AA5</f>
        <v>2016-02-01</v>
      </c>
      <c r="F7" s="411">
        <f>SUMIF(65:65,YEAR(E7)&amp;"-"&amp;INT((MONTH(E7)+2)/3),66:66)</f>
        <v>94.5</v>
      </c>
      <c r="G7" s="2694" t="str">
        <f>土地案例!AA3</f>
        <v>2016-11-24</v>
      </c>
      <c r="H7" s="409">
        <f>SUMIF(65:65,YEAR(G7)&amp;"-"&amp;INT((MONTH(G7)+2)/3),66:66)</f>
        <v>96</v>
      </c>
      <c r="I7" s="2694" t="str">
        <f>土地案例!AA4</f>
        <v>2016-11-24</v>
      </c>
      <c r="J7" s="409">
        <f>SUMIF(65:65,YEAR(I7)&amp;"-"&amp;INT((MONTH(I7)+2)/3),66:66)</f>
        <v>96</v>
      </c>
      <c r="K7" s="609"/>
      <c r="L7" s="1131"/>
      <c r="M7" s="1132"/>
      <c r="N7" s="1132"/>
      <c r="O7" s="1132"/>
      <c r="P7" s="3574" t="s">
        <v>2548</v>
      </c>
      <c r="Q7" s="3576"/>
      <c r="R7" s="767" t="s">
        <v>17</v>
      </c>
      <c r="S7" s="768">
        <f t="shared" ref="S7:S15" si="0">F7</f>
        <v>94.5</v>
      </c>
      <c r="T7" s="767" t="s">
        <v>17</v>
      </c>
      <c r="U7" s="768">
        <f t="shared" ref="U7:U15" si="1">H7</f>
        <v>96</v>
      </c>
      <c r="V7" s="767" t="s">
        <v>17</v>
      </c>
      <c r="W7" s="768">
        <f t="shared" ref="W7:W15" si="2">J7</f>
        <v>96</v>
      </c>
      <c r="X7" s="769"/>
      <c r="Y7" s="3574" t="s">
        <v>2548</v>
      </c>
      <c r="Z7" s="3575"/>
      <c r="AA7" s="770">
        <f>D7/F7</f>
        <v>1.0582010582010581</v>
      </c>
      <c r="AB7" s="770">
        <f>D7/H7</f>
        <v>1.0416666666666667</v>
      </c>
      <c r="AC7" s="770">
        <f>D7/J7</f>
        <v>1.0416666666666667</v>
      </c>
    </row>
    <row r="8" spans="1:29" s="115" customFormat="1" ht="15" thickBot="1">
      <c r="A8" s="406" t="s">
        <v>2549</v>
      </c>
      <c r="B8" s="407"/>
      <c r="C8" s="412" t="s">
        <v>2550</v>
      </c>
      <c r="D8" s="409">
        <v>100</v>
      </c>
      <c r="E8" s="3333" t="s">
        <v>3283</v>
      </c>
      <c r="F8" s="411">
        <f>SUMIF(68:68,E8,69:69)-SUMIF(68:68,C8,69:69)+100</f>
        <v>100</v>
      </c>
      <c r="G8" s="3333" t="s">
        <v>3283</v>
      </c>
      <c r="H8" s="409">
        <f>SUMIF(68:68,G8,69:69)-SUMIF(68:68,C8,69:69)+100</f>
        <v>100</v>
      </c>
      <c r="I8" s="3333" t="s">
        <v>3283</v>
      </c>
      <c r="J8" s="409">
        <f>SUMIF(68:68,I8,69:69)-SUMIF(68:68,C8,69:69)+100</f>
        <v>100</v>
      </c>
      <c r="K8" s="609"/>
      <c r="L8" s="1131"/>
      <c r="M8" s="1132"/>
      <c r="N8" s="1132"/>
      <c r="O8" s="1132"/>
      <c r="P8" s="3574" t="s">
        <v>2551</v>
      </c>
      <c r="Q8" s="3575"/>
      <c r="R8" s="767" t="s">
        <v>17</v>
      </c>
      <c r="S8" s="768">
        <f t="shared" si="0"/>
        <v>100</v>
      </c>
      <c r="T8" s="767" t="s">
        <v>17</v>
      </c>
      <c r="U8" s="768">
        <f t="shared" si="1"/>
        <v>100</v>
      </c>
      <c r="V8" s="767" t="s">
        <v>17</v>
      </c>
      <c r="W8" s="768">
        <f t="shared" si="2"/>
        <v>100</v>
      </c>
      <c r="X8" s="769"/>
      <c r="Y8" s="3574" t="s">
        <v>2551</v>
      </c>
      <c r="Z8" s="3575"/>
      <c r="AA8" s="770">
        <f t="shared" ref="AA8:AA40" si="3">D8/F8</f>
        <v>1</v>
      </c>
      <c r="AB8" s="770">
        <f t="shared" ref="AB8:AB40" si="4">D8/H8</f>
        <v>1</v>
      </c>
      <c r="AC8" s="770">
        <f t="shared" ref="AC8:AC40" si="5">D8/J8</f>
        <v>1</v>
      </c>
    </row>
    <row r="9" spans="1:29" s="115" customFormat="1" ht="14.4">
      <c r="A9" s="413" t="s">
        <v>2552</v>
      </c>
      <c r="B9" s="70" t="s">
        <v>2553</v>
      </c>
      <c r="C9" s="3334" t="s">
        <v>3284</v>
      </c>
      <c r="D9" s="133">
        <v>100</v>
      </c>
      <c r="E9" s="3334" t="s">
        <v>3285</v>
      </c>
      <c r="F9" s="133">
        <f>SUMIF(70:70,E9,71:71)-SUMIF(70:70,C9,71:71)+100</f>
        <v>100</v>
      </c>
      <c r="G9" s="3334" t="s">
        <v>3285</v>
      </c>
      <c r="H9" s="133">
        <f>SUMIF(70:70,G9,71:71)-SUMIF(70:70,C9,71:71)+100</f>
        <v>100</v>
      </c>
      <c r="I9" s="3334" t="s">
        <v>3285</v>
      </c>
      <c r="J9" s="133">
        <f>SUMIF(70:70,I9,71:71)-SUMIF(70:70,C9,71:71)+100</f>
        <v>100</v>
      </c>
      <c r="K9" s="609"/>
      <c r="L9" s="1131"/>
      <c r="M9" s="1132"/>
      <c r="N9" s="1132"/>
      <c r="O9" s="1133"/>
      <c r="P9" s="3540" t="s">
        <v>2554</v>
      </c>
      <c r="Q9" s="1794" t="str">
        <f t="shared" ref="Q9:Q15" si="6">B9</f>
        <v>用途</v>
      </c>
      <c r="R9" s="767" t="s">
        <v>17</v>
      </c>
      <c r="S9" s="768">
        <f t="shared" si="0"/>
        <v>100</v>
      </c>
      <c r="T9" s="767" t="s">
        <v>17</v>
      </c>
      <c r="U9" s="768">
        <f t="shared" si="1"/>
        <v>100</v>
      </c>
      <c r="V9" s="767" t="s">
        <v>17</v>
      </c>
      <c r="W9" s="768">
        <f t="shared" si="2"/>
        <v>100</v>
      </c>
      <c r="X9" s="769"/>
      <c r="Y9" s="3390" t="s">
        <v>2555</v>
      </c>
      <c r="Z9" s="54" t="str">
        <f t="shared" ref="Z9:Z15" si="7">Q9</f>
        <v>用途</v>
      </c>
      <c r="AA9" s="770">
        <f t="shared" si="3"/>
        <v>1</v>
      </c>
      <c r="AB9" s="770">
        <f t="shared" si="4"/>
        <v>1</v>
      </c>
      <c r="AC9" s="770">
        <f t="shared" si="5"/>
        <v>1</v>
      </c>
    </row>
    <row r="10" spans="1:29" s="425" customFormat="1" ht="28.8">
      <c r="A10" s="419"/>
      <c r="B10" s="420" t="s">
        <v>2556</v>
      </c>
      <c r="C10" s="430">
        <f>'比较法-工业2'!C12</f>
        <v>45.68</v>
      </c>
      <c r="D10" s="134">
        <v>100</v>
      </c>
      <c r="E10" s="430">
        <v>50</v>
      </c>
      <c r="F10" s="134">
        <f>ROUND(100/'数据-取费表'!G16,0)</f>
        <v>103</v>
      </c>
      <c r="G10" s="430">
        <v>50</v>
      </c>
      <c r="H10" s="134">
        <f>ROUND(100/'数据-取费表'!G16,0)</f>
        <v>103</v>
      </c>
      <c r="I10" s="430">
        <v>50</v>
      </c>
      <c r="J10" s="134">
        <f>ROUND(100/'数据-取费表'!G16,0)</f>
        <v>103</v>
      </c>
      <c r="K10" s="670"/>
      <c r="L10" s="1134"/>
      <c r="M10" s="1135"/>
      <c r="N10" s="1135"/>
      <c r="O10" s="1136"/>
      <c r="P10" s="3540"/>
      <c r="Q10" s="1794" t="str">
        <f t="shared" si="6"/>
        <v>土地使用年限（年）</v>
      </c>
      <c r="R10" s="767" t="s">
        <v>17</v>
      </c>
      <c r="S10" s="768">
        <f t="shared" si="0"/>
        <v>103</v>
      </c>
      <c r="T10" s="767" t="s">
        <v>17</v>
      </c>
      <c r="U10" s="768">
        <f t="shared" si="1"/>
        <v>103</v>
      </c>
      <c r="V10" s="767" t="s">
        <v>17</v>
      </c>
      <c r="W10" s="768">
        <f t="shared" si="2"/>
        <v>103</v>
      </c>
      <c r="X10" s="769"/>
      <c r="Y10" s="3390"/>
      <c r="Z10" s="54" t="str">
        <f t="shared" si="7"/>
        <v>土地使用年限（年）</v>
      </c>
      <c r="AA10" s="770">
        <f t="shared" si="3"/>
        <v>0.970873786407767</v>
      </c>
      <c r="AB10" s="770">
        <f t="shared" si="4"/>
        <v>0.970873786407767</v>
      </c>
      <c r="AC10" s="770">
        <f t="shared" si="5"/>
        <v>0.970873786407767</v>
      </c>
    </row>
    <row r="11" spans="1:29" ht="15">
      <c r="A11" s="426"/>
      <c r="B11" s="420" t="s">
        <v>2557</v>
      </c>
      <c r="C11" s="427">
        <f>'数据-汇总表'!I4</f>
        <v>1.5</v>
      </c>
      <c r="D11" s="134">
        <v>100</v>
      </c>
      <c r="E11" s="427">
        <v>1.2</v>
      </c>
      <c r="F11" s="134">
        <f>LOOKUP(E11,75:75,76:76)-LOOKUP(C11,75:75,76:76)+100</f>
        <v>100</v>
      </c>
      <c r="G11" s="428">
        <v>1</v>
      </c>
      <c r="H11" s="134">
        <f>LOOKUP(G11,75:75,76:76)-LOOKUP(C11,75:75,76:76)+100</f>
        <v>100</v>
      </c>
      <c r="I11" s="427">
        <v>1.2</v>
      </c>
      <c r="J11" s="134">
        <f>LOOKUP(I11,75:75,76:76)-LOOKUP(C11,75:75,76:76)+100</f>
        <v>100</v>
      </c>
      <c r="K11" s="671">
        <v>2</v>
      </c>
      <c r="L11" s="1137"/>
      <c r="M11" s="1130"/>
      <c r="N11" s="1130"/>
      <c r="O11" s="1138"/>
      <c r="P11" s="3540"/>
      <c r="Q11" s="1794" t="str">
        <f t="shared" si="6"/>
        <v>容积率</v>
      </c>
      <c r="R11" s="767" t="s">
        <v>17</v>
      </c>
      <c r="S11" s="768">
        <f t="shared" si="0"/>
        <v>100</v>
      </c>
      <c r="T11" s="767" t="s">
        <v>17</v>
      </c>
      <c r="U11" s="768">
        <f t="shared" si="1"/>
        <v>100</v>
      </c>
      <c r="V11" s="767" t="s">
        <v>17</v>
      </c>
      <c r="W11" s="768">
        <f t="shared" si="2"/>
        <v>100</v>
      </c>
      <c r="X11" s="769"/>
      <c r="Y11" s="3390"/>
      <c r="Z11" s="54" t="str">
        <f t="shared" si="7"/>
        <v>容积率</v>
      </c>
      <c r="AA11" s="770">
        <f t="shared" si="3"/>
        <v>1</v>
      </c>
      <c r="AB11" s="770">
        <f t="shared" si="4"/>
        <v>1</v>
      </c>
      <c r="AC11" s="770">
        <f t="shared" si="5"/>
        <v>1</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1"/>
      <c r="M12" s="1132"/>
      <c r="N12" s="1132"/>
      <c r="O12" s="1133"/>
      <c r="P12" s="3540"/>
      <c r="Q12" s="1794">
        <f t="shared" si="6"/>
        <v>111</v>
      </c>
      <c r="R12" s="767" t="s">
        <v>17</v>
      </c>
      <c r="S12" s="768">
        <f t="shared" si="0"/>
        <v>100</v>
      </c>
      <c r="T12" s="767" t="s">
        <v>17</v>
      </c>
      <c r="U12" s="768">
        <f t="shared" si="1"/>
        <v>100</v>
      </c>
      <c r="V12" s="767" t="s">
        <v>17</v>
      </c>
      <c r="W12" s="768">
        <f t="shared" si="2"/>
        <v>100</v>
      </c>
      <c r="X12" s="769"/>
      <c r="Y12" s="3390"/>
      <c r="Z12" s="54">
        <f t="shared" si="7"/>
        <v>111</v>
      </c>
      <c r="AA12" s="770">
        <f>D12/F12</f>
        <v>1</v>
      </c>
      <c r="AB12" s="770">
        <f>D12/H12</f>
        <v>1</v>
      </c>
      <c r="AC12" s="770">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39"/>
      <c r="M13" s="1130"/>
      <c r="N13" s="1130"/>
      <c r="O13" s="1138"/>
      <c r="P13" s="3540"/>
      <c r="Q13" s="1794">
        <f t="shared" si="6"/>
        <v>111</v>
      </c>
      <c r="R13" s="767" t="s">
        <v>17</v>
      </c>
      <c r="S13" s="768">
        <f t="shared" si="0"/>
        <v>100</v>
      </c>
      <c r="T13" s="767" t="s">
        <v>17</v>
      </c>
      <c r="U13" s="768">
        <f t="shared" si="1"/>
        <v>100</v>
      </c>
      <c r="V13" s="767" t="s">
        <v>17</v>
      </c>
      <c r="W13" s="768">
        <f t="shared" si="2"/>
        <v>100</v>
      </c>
      <c r="X13" s="769"/>
      <c r="Y13" s="3390"/>
      <c r="Z13" s="54">
        <f t="shared" si="7"/>
        <v>111</v>
      </c>
      <c r="AA13" s="770">
        <f t="shared" si="3"/>
        <v>1</v>
      </c>
      <c r="AB13" s="770">
        <f t="shared" si="4"/>
        <v>1</v>
      </c>
      <c r="AC13" s="770">
        <f t="shared" si="5"/>
        <v>1</v>
      </c>
    </row>
    <row r="14" spans="1:29" ht="15.6"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39"/>
      <c r="M14" s="1130"/>
      <c r="N14" s="1130"/>
      <c r="O14" s="1138"/>
      <c r="P14" s="3540"/>
      <c r="Q14" s="1794">
        <f t="shared" si="6"/>
        <v>111</v>
      </c>
      <c r="R14" s="767" t="s">
        <v>17</v>
      </c>
      <c r="S14" s="768">
        <f t="shared" si="0"/>
        <v>100</v>
      </c>
      <c r="T14" s="767" t="s">
        <v>17</v>
      </c>
      <c r="U14" s="768">
        <f t="shared" si="1"/>
        <v>100</v>
      </c>
      <c r="V14" s="767" t="s">
        <v>17</v>
      </c>
      <c r="W14" s="768">
        <f t="shared" si="2"/>
        <v>100</v>
      </c>
      <c r="X14" s="769"/>
      <c r="Y14" s="3390"/>
      <c r="Z14" s="54">
        <f t="shared" si="7"/>
        <v>111</v>
      </c>
      <c r="AA14" s="770">
        <f t="shared" si="3"/>
        <v>1</v>
      </c>
      <c r="AB14" s="770">
        <f t="shared" si="4"/>
        <v>1</v>
      </c>
      <c r="AC14" s="770">
        <f t="shared" si="5"/>
        <v>1</v>
      </c>
    </row>
    <row r="15" spans="1:29" ht="55.2">
      <c r="A15" s="438" t="s">
        <v>2558</v>
      </c>
      <c r="B15" s="627" t="s">
        <v>2797</v>
      </c>
      <c r="C15" s="2691" t="str">
        <f>估价对象房地状况!G15</f>
        <v>估价对象位于XX开发区，园区建设成熟度XX，产业集聚程度XX</v>
      </c>
      <c r="D15" s="439">
        <v>100</v>
      </c>
      <c r="E15" s="440"/>
      <c r="F15" s="439">
        <f>SUMIF(83:83,E16,84:84)-SUMIF(83:83,C16,84:84)+100</f>
        <v>110</v>
      </c>
      <c r="G15" s="440"/>
      <c r="H15" s="439">
        <f>SUMIF(83:83,G16,84:84)-SUMIF(83:83,C16,84:84)+100</f>
        <v>110</v>
      </c>
      <c r="I15" s="442"/>
      <c r="J15" s="439">
        <f>SUMIF(83:83,I16,84:84)-SUMIF(83:83,C16,84:84)+100</f>
        <v>110</v>
      </c>
      <c r="K15" s="671">
        <v>5</v>
      </c>
      <c r="L15" s="1139"/>
      <c r="M15" s="1130"/>
      <c r="N15" s="1130"/>
      <c r="O15" s="1138"/>
      <c r="P15" s="3545" t="s">
        <v>2559</v>
      </c>
      <c r="Q15" s="1809" t="str">
        <f t="shared" si="6"/>
        <v>产业集聚程度</v>
      </c>
      <c r="R15" s="771" t="s">
        <v>17</v>
      </c>
      <c r="S15" s="772">
        <f t="shared" si="0"/>
        <v>110</v>
      </c>
      <c r="T15" s="771" t="s">
        <v>17</v>
      </c>
      <c r="U15" s="772">
        <f t="shared" si="1"/>
        <v>110</v>
      </c>
      <c r="V15" s="771" t="s">
        <v>17</v>
      </c>
      <c r="W15" s="772">
        <f t="shared" si="2"/>
        <v>110</v>
      </c>
      <c r="X15" s="1812"/>
      <c r="Y15" s="3545" t="s">
        <v>2559</v>
      </c>
      <c r="Z15" s="1813" t="str">
        <f t="shared" si="7"/>
        <v>产业集聚程度</v>
      </c>
      <c r="AA15" s="1810">
        <f t="shared" si="3"/>
        <v>0.90909090909090906</v>
      </c>
      <c r="AB15" s="1810">
        <f t="shared" si="4"/>
        <v>0.90909090909090906</v>
      </c>
      <c r="AC15" s="1810">
        <f t="shared" si="5"/>
        <v>0.90909090909090906</v>
      </c>
    </row>
    <row r="16" spans="1:29" ht="15">
      <c r="A16" s="426"/>
      <c r="B16" s="628"/>
      <c r="C16" s="3335" t="s">
        <v>3296</v>
      </c>
      <c r="D16" s="446"/>
      <c r="E16" s="3336" t="s">
        <v>3297</v>
      </c>
      <c r="F16" s="446"/>
      <c r="G16" s="3336" t="s">
        <v>3297</v>
      </c>
      <c r="H16" s="448"/>
      <c r="I16" s="3336" t="s">
        <v>3297</v>
      </c>
      <c r="J16" s="446"/>
      <c r="K16" s="670"/>
      <c r="L16" s="1139"/>
      <c r="M16" s="1130"/>
      <c r="N16" s="1130"/>
      <c r="O16" s="1138"/>
      <c r="P16" s="3546"/>
      <c r="Q16" s="1809"/>
      <c r="R16" s="771"/>
      <c r="S16" s="772"/>
      <c r="T16" s="771"/>
      <c r="U16" s="772"/>
      <c r="V16" s="771"/>
      <c r="W16" s="772"/>
      <c r="X16" s="1812"/>
      <c r="Y16" s="3546"/>
      <c r="Z16" s="1813"/>
      <c r="AA16" s="1810">
        <v>1</v>
      </c>
      <c r="AB16" s="1810">
        <v>1</v>
      </c>
      <c r="AC16" s="1810">
        <v>1</v>
      </c>
    </row>
    <row r="17" spans="1:29" ht="82.8">
      <c r="A17" s="426"/>
      <c r="B17" s="629" t="s">
        <v>2708</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v>2</v>
      </c>
      <c r="L17" s="1139"/>
      <c r="M17" s="1130"/>
      <c r="N17" s="1130"/>
      <c r="O17" s="1138"/>
      <c r="P17" s="3546"/>
      <c r="Q17" s="1809" t="str">
        <f>B17</f>
        <v>交通便捷度</v>
      </c>
      <c r="R17" s="771" t="s">
        <v>17</v>
      </c>
      <c r="S17" s="772">
        <f>F17</f>
        <v>100</v>
      </c>
      <c r="T17" s="771" t="s">
        <v>17</v>
      </c>
      <c r="U17" s="772">
        <f>H17</f>
        <v>100</v>
      </c>
      <c r="V17" s="771" t="s">
        <v>17</v>
      </c>
      <c r="W17" s="772">
        <f>J17</f>
        <v>100</v>
      </c>
      <c r="X17" s="1812"/>
      <c r="Y17" s="3546"/>
      <c r="Z17" s="1813" t="str">
        <f>Q17</f>
        <v>交通便捷度</v>
      </c>
      <c r="AA17" s="1810">
        <f t="shared" si="3"/>
        <v>1</v>
      </c>
      <c r="AB17" s="1810">
        <f t="shared" si="4"/>
        <v>1</v>
      </c>
      <c r="AC17" s="1810">
        <f t="shared" si="5"/>
        <v>1</v>
      </c>
    </row>
    <row r="18" spans="1:29" ht="15">
      <c r="A18" s="426"/>
      <c r="B18" s="630"/>
      <c r="C18" s="3335" t="s">
        <v>3286</v>
      </c>
      <c r="D18" s="446"/>
      <c r="E18" s="3337" t="s">
        <v>3286</v>
      </c>
      <c r="F18" s="446"/>
      <c r="G18" s="3337" t="s">
        <v>3286</v>
      </c>
      <c r="H18" s="446"/>
      <c r="I18" s="3338" t="s">
        <v>3286</v>
      </c>
      <c r="J18" s="446"/>
      <c r="K18" s="670"/>
      <c r="L18" s="1139"/>
      <c r="M18" s="1130"/>
      <c r="N18" s="1130"/>
      <c r="O18" s="1138"/>
      <c r="P18" s="3546"/>
      <c r="Q18" s="1809"/>
      <c r="R18" s="771"/>
      <c r="S18" s="772"/>
      <c r="T18" s="771"/>
      <c r="U18" s="772"/>
      <c r="V18" s="771"/>
      <c r="W18" s="772"/>
      <c r="X18" s="1812"/>
      <c r="Y18" s="3546"/>
      <c r="Z18" s="1813"/>
      <c r="AA18" s="1810">
        <v>1</v>
      </c>
      <c r="AB18" s="1810">
        <v>1</v>
      </c>
      <c r="AC18" s="1810">
        <v>1</v>
      </c>
    </row>
    <row r="19" spans="1:29" ht="28.8">
      <c r="A19" s="426"/>
      <c r="B19" s="629" t="s">
        <v>2747</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v>2</v>
      </c>
      <c r="L19" s="1139"/>
      <c r="M19" s="1130"/>
      <c r="N19" s="1130"/>
      <c r="O19" s="1138"/>
      <c r="P19" s="3546"/>
      <c r="Q19" s="1809" t="str">
        <f t="shared" ref="Q19:Q33" si="8">B19</f>
        <v>区域土地利用方向</v>
      </c>
      <c r="R19" s="771" t="s">
        <v>17</v>
      </c>
      <c r="S19" s="772">
        <f>F19</f>
        <v>100</v>
      </c>
      <c r="T19" s="771" t="s">
        <v>17</v>
      </c>
      <c r="U19" s="772">
        <f>H19</f>
        <v>100</v>
      </c>
      <c r="V19" s="771" t="s">
        <v>17</v>
      </c>
      <c r="W19" s="772">
        <f>J19</f>
        <v>100</v>
      </c>
      <c r="X19" s="1812"/>
      <c r="Y19" s="3546"/>
      <c r="Z19" s="1813" t="str">
        <f>Q19</f>
        <v>区域土地利用方向</v>
      </c>
      <c r="AA19" s="1810">
        <f t="shared" si="3"/>
        <v>1</v>
      </c>
      <c r="AB19" s="1810">
        <f t="shared" si="4"/>
        <v>1</v>
      </c>
      <c r="AC19" s="1810">
        <f t="shared" si="5"/>
        <v>1</v>
      </c>
    </row>
    <row r="20" spans="1:29" ht="15">
      <c r="A20" s="402"/>
      <c r="B20" s="630"/>
      <c r="C20" s="3335" t="s">
        <v>3287</v>
      </c>
      <c r="D20" s="446"/>
      <c r="E20" s="3337" t="s">
        <v>3287</v>
      </c>
      <c r="F20" s="446"/>
      <c r="G20" s="3337" t="s">
        <v>3287</v>
      </c>
      <c r="H20" s="446"/>
      <c r="I20" s="3337" t="s">
        <v>3287</v>
      </c>
      <c r="J20" s="446"/>
      <c r="K20" s="808"/>
      <c r="L20" s="1139"/>
      <c r="M20" s="1130"/>
      <c r="N20" s="1130"/>
      <c r="O20" s="1138"/>
      <c r="P20" s="3546"/>
      <c r="Q20" s="1809"/>
      <c r="R20" s="771"/>
      <c r="S20" s="772"/>
      <c r="T20" s="771"/>
      <c r="U20" s="772"/>
      <c r="V20" s="771"/>
      <c r="W20" s="772"/>
      <c r="X20" s="1812"/>
      <c r="Y20" s="3546"/>
      <c r="Z20" s="1813"/>
      <c r="AA20" s="1810"/>
      <c r="AB20" s="1810"/>
      <c r="AC20" s="1810"/>
    </row>
    <row r="21" spans="1:29" ht="69">
      <c r="A21" s="402"/>
      <c r="B21" s="629" t="s">
        <v>2798</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v>2</v>
      </c>
      <c r="L21" s="1139"/>
      <c r="M21" s="1130"/>
      <c r="N21" s="1130"/>
      <c r="O21" s="1138"/>
      <c r="P21" s="3546"/>
      <c r="Q21" s="1809" t="str">
        <f t="shared" si="8"/>
        <v>环境状况</v>
      </c>
      <c r="R21" s="771" t="s">
        <v>17</v>
      </c>
      <c r="S21" s="772">
        <f>F21</f>
        <v>100</v>
      </c>
      <c r="T21" s="771" t="s">
        <v>17</v>
      </c>
      <c r="U21" s="772">
        <f>H21</f>
        <v>100</v>
      </c>
      <c r="V21" s="771" t="s">
        <v>17</v>
      </c>
      <c r="W21" s="772">
        <f>J21</f>
        <v>100</v>
      </c>
      <c r="X21" s="1812"/>
      <c r="Y21" s="3546"/>
      <c r="Z21" s="1813" t="str">
        <f>Q21</f>
        <v>环境状况</v>
      </c>
      <c r="AA21" s="1810">
        <f t="shared" si="3"/>
        <v>1</v>
      </c>
      <c r="AB21" s="1810">
        <f t="shared" si="4"/>
        <v>1</v>
      </c>
      <c r="AC21" s="1810">
        <f t="shared" si="5"/>
        <v>1</v>
      </c>
    </row>
    <row r="22" spans="1:29" ht="15">
      <c r="A22" s="402"/>
      <c r="B22" s="630"/>
      <c r="C22" s="3335" t="s">
        <v>3286</v>
      </c>
      <c r="D22" s="446"/>
      <c r="E22" s="3336" t="s">
        <v>3286</v>
      </c>
      <c r="F22" s="446"/>
      <c r="G22" s="3336" t="s">
        <v>3138</v>
      </c>
      <c r="H22" s="446"/>
      <c r="I22" s="3335" t="s">
        <v>3286</v>
      </c>
      <c r="J22" s="446"/>
      <c r="K22" s="670"/>
      <c r="L22" s="1139"/>
      <c r="M22" s="1130"/>
      <c r="N22" s="1130"/>
      <c r="O22" s="1138"/>
      <c r="P22" s="3546"/>
      <c r="Q22" s="1809"/>
      <c r="R22" s="771"/>
      <c r="S22" s="772"/>
      <c r="T22" s="771"/>
      <c r="U22" s="772"/>
      <c r="V22" s="771"/>
      <c r="W22" s="772"/>
      <c r="X22" s="1812"/>
      <c r="Y22" s="3546"/>
      <c r="Z22" s="1813"/>
      <c r="AA22" s="1810">
        <v>1</v>
      </c>
      <c r="AB22" s="1810">
        <v>1</v>
      </c>
      <c r="AC22" s="1810">
        <v>1</v>
      </c>
    </row>
    <row r="23" spans="1:29" s="115" customFormat="1" ht="41.4">
      <c r="A23" s="647"/>
      <c r="B23" s="631" t="s">
        <v>2653</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v>2</v>
      </c>
      <c r="L23" s="1131"/>
      <c r="M23" s="1132"/>
      <c r="N23" s="1132"/>
      <c r="O23" s="1133"/>
      <c r="P23" s="3546"/>
      <c r="Q23" s="1794" t="str">
        <f t="shared" si="8"/>
        <v>公共配套设施</v>
      </c>
      <c r="R23" s="767" t="s">
        <v>17</v>
      </c>
      <c r="S23" s="768">
        <f>F23</f>
        <v>100</v>
      </c>
      <c r="T23" s="767" t="s">
        <v>17</v>
      </c>
      <c r="U23" s="768">
        <f>H23</f>
        <v>100</v>
      </c>
      <c r="V23" s="767" t="s">
        <v>17</v>
      </c>
      <c r="W23" s="768">
        <f>J23</f>
        <v>100</v>
      </c>
      <c r="X23" s="769"/>
      <c r="Y23" s="3546"/>
      <c r="Z23" s="54" t="str">
        <f>Q23</f>
        <v>公共配套设施</v>
      </c>
      <c r="AA23" s="1810">
        <f>D23/F23</f>
        <v>1</v>
      </c>
      <c r="AB23" s="1810">
        <f>D23/H23</f>
        <v>1</v>
      </c>
      <c r="AC23" s="1810">
        <f>D23/J23</f>
        <v>1</v>
      </c>
    </row>
    <row r="24" spans="1:29" s="115" customFormat="1" ht="15">
      <c r="A24" s="647"/>
      <c r="B24" s="630"/>
      <c r="C24" s="3339" t="s">
        <v>3286</v>
      </c>
      <c r="D24" s="446"/>
      <c r="E24" s="3336" t="s">
        <v>3286</v>
      </c>
      <c r="F24" s="446"/>
      <c r="G24" s="3336" t="s">
        <v>3286</v>
      </c>
      <c r="H24" s="446"/>
      <c r="I24" s="3335" t="s">
        <v>3286</v>
      </c>
      <c r="J24" s="446"/>
      <c r="K24" s="670"/>
      <c r="L24" s="1131"/>
      <c r="M24" s="1132"/>
      <c r="N24" s="1132"/>
      <c r="O24" s="1133"/>
      <c r="P24" s="3546"/>
      <c r="Q24" s="1794"/>
      <c r="R24" s="767"/>
      <c r="S24" s="768"/>
      <c r="T24" s="767"/>
      <c r="U24" s="768"/>
      <c r="V24" s="767"/>
      <c r="W24" s="768"/>
      <c r="X24" s="769"/>
      <c r="Y24" s="3546"/>
      <c r="Z24" s="54"/>
      <c r="AA24" s="770">
        <v>1</v>
      </c>
      <c r="AB24" s="770">
        <v>1</v>
      </c>
      <c r="AC24" s="770">
        <v>1</v>
      </c>
    </row>
    <row r="25" spans="1:29" s="115" customFormat="1" ht="27.6">
      <c r="A25" s="647"/>
      <c r="B25" s="631" t="s">
        <v>2654</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v>2</v>
      </c>
      <c r="L25" s="1131"/>
      <c r="M25" s="1132"/>
      <c r="N25" s="1132"/>
      <c r="O25" s="1133"/>
      <c r="P25" s="3546"/>
      <c r="Q25" s="1794" t="str">
        <f t="shared" ref="Q25" si="9">B25</f>
        <v>基础设施水平</v>
      </c>
      <c r="R25" s="767" t="s">
        <v>17</v>
      </c>
      <c r="S25" s="768">
        <f>F25</f>
        <v>100</v>
      </c>
      <c r="T25" s="767" t="s">
        <v>17</v>
      </c>
      <c r="U25" s="768">
        <f>H25</f>
        <v>100</v>
      </c>
      <c r="V25" s="767" t="s">
        <v>17</v>
      </c>
      <c r="W25" s="768">
        <f>J25</f>
        <v>100</v>
      </c>
      <c r="X25" s="769"/>
      <c r="Y25" s="3546"/>
      <c r="Z25" s="54" t="str">
        <f>Q25</f>
        <v>基础设施水平</v>
      </c>
      <c r="AA25" s="1810">
        <f>D25/F25</f>
        <v>1</v>
      </c>
      <c r="AB25" s="1810">
        <f>D25/H25</f>
        <v>1</v>
      </c>
      <c r="AC25" s="1810">
        <f>D25/J25</f>
        <v>1</v>
      </c>
    </row>
    <row r="26" spans="1:29" s="115" customFormat="1" ht="15.6" thickBot="1">
      <c r="A26" s="647"/>
      <c r="B26" s="630"/>
      <c r="C26" s="3339" t="s">
        <v>3288</v>
      </c>
      <c r="D26" s="446"/>
      <c r="E26" s="3340" t="s">
        <v>3288</v>
      </c>
      <c r="F26" s="446"/>
      <c r="G26" s="3340" t="s">
        <v>3288</v>
      </c>
      <c r="H26" s="446"/>
      <c r="I26" s="3340" t="s">
        <v>3288</v>
      </c>
      <c r="J26" s="446"/>
      <c r="K26" s="670"/>
      <c r="L26" s="1131"/>
      <c r="M26" s="1132"/>
      <c r="N26" s="1132"/>
      <c r="O26" s="1133"/>
      <c r="P26" s="3546"/>
      <c r="Q26" s="1794"/>
      <c r="R26" s="767"/>
      <c r="S26" s="768"/>
      <c r="T26" s="767"/>
      <c r="U26" s="768"/>
      <c r="V26" s="767"/>
      <c r="W26" s="768"/>
      <c r="X26" s="769"/>
      <c r="Y26" s="3546"/>
      <c r="Z26" s="54"/>
      <c r="AA26" s="770">
        <v>1</v>
      </c>
      <c r="AB26" s="770">
        <v>1</v>
      </c>
      <c r="AC26" s="770">
        <v>1</v>
      </c>
    </row>
    <row r="27" spans="1:29" ht="15" hidden="1">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39"/>
      <c r="M27" s="1130"/>
      <c r="N27" s="1130"/>
      <c r="O27" s="1138"/>
      <c r="P27" s="3546"/>
      <c r="Q27" s="1809" t="str">
        <f t="shared" si="8"/>
        <v>临街状况</v>
      </c>
      <c r="R27" s="771" t="s">
        <v>17</v>
      </c>
      <c r="S27" s="772">
        <f t="shared" ref="S27:S40" si="10">F27</f>
        <v>100</v>
      </c>
      <c r="T27" s="771" t="s">
        <v>17</v>
      </c>
      <c r="U27" s="772">
        <f t="shared" ref="U27:U40" si="11">H27</f>
        <v>100</v>
      </c>
      <c r="V27" s="771" t="s">
        <v>17</v>
      </c>
      <c r="W27" s="772">
        <f t="shared" ref="W27:W40" si="12">J27</f>
        <v>100</v>
      </c>
      <c r="X27" s="1812"/>
      <c r="Y27" s="3546"/>
      <c r="Z27" s="1813" t="str">
        <f t="shared" ref="Z27:Z40" si="13">Q27</f>
        <v>临街状况</v>
      </c>
      <c r="AA27" s="1810">
        <f t="shared" si="3"/>
        <v>1</v>
      </c>
      <c r="AB27" s="1810">
        <f t="shared" si="4"/>
        <v>1</v>
      </c>
      <c r="AC27" s="1810">
        <f t="shared" si="5"/>
        <v>1</v>
      </c>
    </row>
    <row r="28" spans="1:29" ht="28.8" hidden="1">
      <c r="A28" s="426"/>
      <c r="B28" s="631" t="s">
        <v>2690</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9"/>
      <c r="M28" s="1130"/>
      <c r="N28" s="1130"/>
      <c r="O28" s="1138"/>
      <c r="P28" s="3546"/>
      <c r="Q28" s="1809" t="str">
        <f t="shared" si="8"/>
        <v>毗邻道路的类型与等级</v>
      </c>
      <c r="R28" s="771" t="s">
        <v>17</v>
      </c>
      <c r="S28" s="772">
        <f t="shared" si="10"/>
        <v>100</v>
      </c>
      <c r="T28" s="771" t="s">
        <v>17</v>
      </c>
      <c r="U28" s="772">
        <f t="shared" si="11"/>
        <v>100</v>
      </c>
      <c r="V28" s="771" t="s">
        <v>17</v>
      </c>
      <c r="W28" s="772">
        <f t="shared" si="12"/>
        <v>100</v>
      </c>
      <c r="X28" s="1812"/>
      <c r="Y28" s="3546"/>
      <c r="Z28" s="1813" t="str">
        <f t="shared" si="13"/>
        <v>毗邻道路的类型与等级</v>
      </c>
      <c r="AA28" s="1810">
        <f t="shared" si="3"/>
        <v>1</v>
      </c>
      <c r="AB28" s="1810">
        <f t="shared" si="4"/>
        <v>1</v>
      </c>
      <c r="AC28" s="1810">
        <f t="shared" si="5"/>
        <v>1</v>
      </c>
    </row>
    <row r="29" spans="1:29" ht="15" hidden="1">
      <c r="A29" s="426"/>
      <c r="B29" s="630"/>
      <c r="C29" s="445"/>
      <c r="D29" s="446"/>
      <c r="E29" s="2609"/>
      <c r="F29" s="446"/>
      <c r="G29" s="2609"/>
      <c r="H29" s="446"/>
      <c r="I29" s="2609"/>
      <c r="J29" s="446"/>
      <c r="K29" s="611"/>
      <c r="L29" s="1139"/>
      <c r="M29" s="1130"/>
      <c r="N29" s="1130"/>
      <c r="O29" s="1138"/>
      <c r="P29" s="3546"/>
      <c r="Q29" s="1809"/>
      <c r="R29" s="771"/>
      <c r="S29" s="772"/>
      <c r="T29" s="771"/>
      <c r="U29" s="772"/>
      <c r="V29" s="771"/>
      <c r="W29" s="772"/>
      <c r="X29" s="1812"/>
      <c r="Y29" s="3546"/>
      <c r="Z29" s="1813"/>
      <c r="AA29" s="1810">
        <v>1</v>
      </c>
      <c r="AB29" s="1810">
        <v>1</v>
      </c>
      <c r="AC29" s="1810">
        <v>1</v>
      </c>
    </row>
    <row r="30" spans="1:29" ht="15" hidden="1">
      <c r="A30" s="426"/>
      <c r="B30" s="652" t="s">
        <v>2749</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9"/>
      <c r="M30" s="1130"/>
      <c r="N30" s="1130"/>
      <c r="O30" s="1138"/>
      <c r="P30" s="3546"/>
      <c r="Q30" s="1809" t="str">
        <f t="shared" si="8"/>
        <v>土地级别</v>
      </c>
      <c r="R30" s="771" t="s">
        <v>17</v>
      </c>
      <c r="S30" s="772">
        <f t="shared" si="10"/>
        <v>100</v>
      </c>
      <c r="T30" s="771" t="s">
        <v>17</v>
      </c>
      <c r="U30" s="772">
        <f t="shared" si="11"/>
        <v>100</v>
      </c>
      <c r="V30" s="771" t="s">
        <v>17</v>
      </c>
      <c r="W30" s="772">
        <f t="shared" si="12"/>
        <v>100</v>
      </c>
      <c r="X30" s="1812"/>
      <c r="Y30" s="3546"/>
      <c r="Z30" s="1813" t="str">
        <f t="shared" si="13"/>
        <v>土地级别</v>
      </c>
      <c r="AA30" s="1810">
        <f t="shared" si="3"/>
        <v>1</v>
      </c>
      <c r="AB30" s="1810">
        <f t="shared" si="4"/>
        <v>1</v>
      </c>
      <c r="AC30" s="1810">
        <f t="shared" si="5"/>
        <v>1</v>
      </c>
    </row>
    <row r="31" spans="1:29" ht="15" hidden="1">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9"/>
      <c r="M31" s="1130"/>
      <c r="N31" s="1130"/>
      <c r="O31" s="1138"/>
      <c r="P31" s="3546"/>
      <c r="Q31" s="1809">
        <f t="shared" si="8"/>
        <v>111</v>
      </c>
      <c r="R31" s="771" t="s">
        <v>17</v>
      </c>
      <c r="S31" s="772">
        <f t="shared" si="10"/>
        <v>100</v>
      </c>
      <c r="T31" s="771" t="s">
        <v>17</v>
      </c>
      <c r="U31" s="772">
        <f t="shared" si="11"/>
        <v>100</v>
      </c>
      <c r="V31" s="771" t="s">
        <v>17</v>
      </c>
      <c r="W31" s="772">
        <f t="shared" si="12"/>
        <v>100</v>
      </c>
      <c r="X31" s="1812"/>
      <c r="Y31" s="3546"/>
      <c r="Z31" s="1813">
        <f t="shared" si="13"/>
        <v>111</v>
      </c>
      <c r="AA31" s="1810">
        <f t="shared" si="3"/>
        <v>1</v>
      </c>
      <c r="AB31" s="1810">
        <f t="shared" si="4"/>
        <v>1</v>
      </c>
      <c r="AC31" s="1810">
        <f t="shared" si="5"/>
        <v>1</v>
      </c>
    </row>
    <row r="32" spans="1:29" ht="15" hidden="1">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9"/>
      <c r="M32" s="1130"/>
      <c r="N32" s="1130"/>
      <c r="O32" s="1138"/>
      <c r="P32" s="3547" t="s">
        <v>2564</v>
      </c>
      <c r="Q32" s="1809">
        <f t="shared" si="8"/>
        <v>111</v>
      </c>
      <c r="R32" s="771" t="s">
        <v>17</v>
      </c>
      <c r="S32" s="772">
        <f t="shared" si="10"/>
        <v>100</v>
      </c>
      <c r="T32" s="771" t="s">
        <v>17</v>
      </c>
      <c r="U32" s="772">
        <f t="shared" si="11"/>
        <v>100</v>
      </c>
      <c r="V32" s="771" t="s">
        <v>17</v>
      </c>
      <c r="W32" s="772">
        <f t="shared" si="12"/>
        <v>100</v>
      </c>
      <c r="X32" s="1812"/>
      <c r="Y32" s="3548" t="s">
        <v>2564</v>
      </c>
      <c r="Z32" s="1813">
        <f t="shared" si="13"/>
        <v>111</v>
      </c>
      <c r="AA32" s="1810">
        <f t="shared" si="3"/>
        <v>1</v>
      </c>
      <c r="AB32" s="1810">
        <f t="shared" si="4"/>
        <v>1</v>
      </c>
      <c r="AC32" s="1810">
        <f t="shared" si="5"/>
        <v>1</v>
      </c>
    </row>
    <row r="33" spans="1:29" s="469" customFormat="1" ht="15.6" hidden="1"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7"/>
      <c r="M33" s="1140"/>
      <c r="N33" s="1140"/>
      <c r="O33" s="1141"/>
      <c r="P33" s="3548"/>
      <c r="Q33" s="1809">
        <f t="shared" si="8"/>
        <v>111</v>
      </c>
      <c r="R33" s="774" t="s">
        <v>17</v>
      </c>
      <c r="S33" s="775">
        <f t="shared" si="10"/>
        <v>100</v>
      </c>
      <c r="T33" s="774" t="s">
        <v>17</v>
      </c>
      <c r="U33" s="775">
        <f t="shared" si="11"/>
        <v>100</v>
      </c>
      <c r="V33" s="774" t="s">
        <v>17</v>
      </c>
      <c r="W33" s="775">
        <f t="shared" si="12"/>
        <v>100</v>
      </c>
      <c r="X33" s="776"/>
      <c r="Y33" s="3548"/>
      <c r="Z33" s="777">
        <f t="shared" si="13"/>
        <v>111</v>
      </c>
      <c r="AA33" s="1810">
        <f t="shared" si="3"/>
        <v>1</v>
      </c>
      <c r="AB33" s="1810">
        <f t="shared" si="4"/>
        <v>1</v>
      </c>
      <c r="AC33" s="1810">
        <f t="shared" si="5"/>
        <v>1</v>
      </c>
    </row>
    <row r="34" spans="1:29" ht="15">
      <c r="A34" s="438" t="s">
        <v>2562</v>
      </c>
      <c r="B34" s="454" t="s">
        <v>2750</v>
      </c>
      <c r="C34" s="677">
        <f>'数据-基础表'!A3</f>
        <v>119876.49</v>
      </c>
      <c r="D34" s="465">
        <v>100</v>
      </c>
      <c r="E34" s="677">
        <f>土地案例!J5</f>
        <v>32326.54</v>
      </c>
      <c r="F34" s="465">
        <f>LOOKUP(E34,108:108,109:109)-LOOKUP(C34,108:108,109:109)+100</f>
        <v>94</v>
      </c>
      <c r="G34" s="677">
        <f>土地案例!J3</f>
        <v>57769</v>
      </c>
      <c r="H34" s="465">
        <f>LOOKUP(G34,108:108,109:109)-LOOKUP(C34,108:108,109:109)+100</f>
        <v>97</v>
      </c>
      <c r="I34" s="528">
        <f>土地案例!J4</f>
        <v>32779.72</v>
      </c>
      <c r="J34" s="465">
        <f>LOOKUP(I34,108:108,109:109)-LOOKUP(C34,108:108,109:109)+100</f>
        <v>94</v>
      </c>
      <c r="K34" s="611"/>
      <c r="L34" s="1139"/>
      <c r="M34" s="1130"/>
      <c r="N34" s="1130"/>
      <c r="O34" s="1138"/>
      <c r="P34" s="3548"/>
      <c r="Q34" s="1809" t="str">
        <f>B34</f>
        <v>宗地面积</v>
      </c>
      <c r="R34" s="771" t="s">
        <v>17</v>
      </c>
      <c r="S34" s="772">
        <f t="shared" si="10"/>
        <v>94</v>
      </c>
      <c r="T34" s="771" t="s">
        <v>17</v>
      </c>
      <c r="U34" s="772">
        <f t="shared" si="11"/>
        <v>97</v>
      </c>
      <c r="V34" s="771" t="s">
        <v>17</v>
      </c>
      <c r="W34" s="772">
        <f t="shared" si="12"/>
        <v>94</v>
      </c>
      <c r="X34" s="1812"/>
      <c r="Y34" s="3548"/>
      <c r="Z34" s="1813" t="str">
        <f t="shared" si="13"/>
        <v>宗地面积</v>
      </c>
      <c r="AA34" s="1810">
        <f t="shared" si="3"/>
        <v>1.0638297872340425</v>
      </c>
      <c r="AB34" s="1810">
        <f t="shared" si="4"/>
        <v>1.0309278350515463</v>
      </c>
      <c r="AC34" s="1810">
        <f t="shared" si="5"/>
        <v>1.0638297872340425</v>
      </c>
    </row>
    <row r="35" spans="1:29" ht="15">
      <c r="A35" s="470"/>
      <c r="B35" s="420" t="s">
        <v>2751</v>
      </c>
      <c r="C35" s="3341" t="s">
        <v>3289</v>
      </c>
      <c r="D35" s="433">
        <v>100</v>
      </c>
      <c r="E35" s="3341" t="s">
        <v>3289</v>
      </c>
      <c r="F35" s="433">
        <f>SUMIF(110:110,E35,111:111)-SUMIF(110:110,C35,111:111)+100</f>
        <v>100</v>
      </c>
      <c r="G35" s="3341" t="s">
        <v>3289</v>
      </c>
      <c r="H35" s="433">
        <f>SUMIF(110:110,G35,111:111)-SUMIF(110:110,C35,111:111)+100</f>
        <v>100</v>
      </c>
      <c r="I35" s="3341" t="s">
        <v>3289</v>
      </c>
      <c r="J35" s="433">
        <f>SUMIF(110:110,I35,111:111)-SUMIF(110:110,C35,111:111)+100</f>
        <v>100</v>
      </c>
      <c r="K35" s="610">
        <v>1</v>
      </c>
      <c r="L35" s="1139"/>
      <c r="M35" s="1130"/>
      <c r="N35" s="1130"/>
      <c r="O35" s="1138"/>
      <c r="P35" s="3548"/>
      <c r="Q35" s="1809" t="str">
        <f t="shared" ref="Q35:Q40" si="14">B35</f>
        <v>宗地形状</v>
      </c>
      <c r="R35" s="771" t="s">
        <v>17</v>
      </c>
      <c r="S35" s="772">
        <f t="shared" si="10"/>
        <v>100</v>
      </c>
      <c r="T35" s="771" t="s">
        <v>17</v>
      </c>
      <c r="U35" s="772">
        <f t="shared" si="11"/>
        <v>100</v>
      </c>
      <c r="V35" s="771" t="s">
        <v>17</v>
      </c>
      <c r="W35" s="772">
        <f t="shared" si="12"/>
        <v>100</v>
      </c>
      <c r="X35" s="1812"/>
      <c r="Y35" s="3548"/>
      <c r="Z35" s="1813" t="str">
        <f t="shared" si="13"/>
        <v>宗地形状</v>
      </c>
      <c r="AA35" s="1810">
        <f t="shared" si="3"/>
        <v>1</v>
      </c>
      <c r="AB35" s="1810">
        <f t="shared" si="4"/>
        <v>1</v>
      </c>
      <c r="AC35" s="1810">
        <f t="shared" si="5"/>
        <v>1</v>
      </c>
    </row>
    <row r="36" spans="1:29" s="115" customFormat="1" ht="15">
      <c r="A36" s="471"/>
      <c r="B36" s="420" t="s">
        <v>2753</v>
      </c>
      <c r="C36" s="3342" t="s">
        <v>3207</v>
      </c>
      <c r="D36" s="134">
        <v>100</v>
      </c>
      <c r="E36" s="3342" t="s">
        <v>3290</v>
      </c>
      <c r="F36" s="433">
        <f>SUMIF(112:112,E36,113:113)-SUMIF(112:112,C36,113:113)+100</f>
        <v>96</v>
      </c>
      <c r="G36" s="3342" t="s">
        <v>3290</v>
      </c>
      <c r="H36" s="433">
        <f>SUMIF(112:112,G36,113:113)-SUMIF(112:112,C36,113:113)+100</f>
        <v>96</v>
      </c>
      <c r="I36" s="3342" t="s">
        <v>3290</v>
      </c>
      <c r="J36" s="433">
        <f>SUMIF(112:112,I36,113:113)-SUMIF(112:112,C36,113:113)+100</f>
        <v>96</v>
      </c>
      <c r="K36" s="610">
        <v>1</v>
      </c>
      <c r="L36" s="1131"/>
      <c r="M36" s="1132"/>
      <c r="N36" s="1132"/>
      <c r="O36" s="1133"/>
      <c r="P36" s="3548"/>
      <c r="Q36" s="1809" t="str">
        <f t="shared" si="14"/>
        <v>宗地开发程度</v>
      </c>
      <c r="R36" s="767" t="s">
        <v>17</v>
      </c>
      <c r="S36" s="768">
        <f t="shared" si="10"/>
        <v>96</v>
      </c>
      <c r="T36" s="767" t="s">
        <v>17</v>
      </c>
      <c r="U36" s="768">
        <f t="shared" si="11"/>
        <v>96</v>
      </c>
      <c r="V36" s="767" t="s">
        <v>17</v>
      </c>
      <c r="W36" s="768">
        <f t="shared" si="12"/>
        <v>96</v>
      </c>
      <c r="X36" s="769"/>
      <c r="Y36" s="3548"/>
      <c r="Z36" s="54" t="str">
        <f t="shared" si="13"/>
        <v>宗地开发程度</v>
      </c>
      <c r="AA36" s="770">
        <f t="shared" si="3"/>
        <v>1.0416666666666667</v>
      </c>
      <c r="AB36" s="770">
        <f t="shared" si="4"/>
        <v>1.0416666666666667</v>
      </c>
      <c r="AC36" s="770">
        <f t="shared" si="5"/>
        <v>1.0416666666666667</v>
      </c>
    </row>
    <row r="37" spans="1:29" ht="15">
      <c r="A37" s="470"/>
      <c r="B37" s="420" t="s">
        <v>2754</v>
      </c>
      <c r="C37" s="3341" t="s">
        <v>3287</v>
      </c>
      <c r="D37" s="433">
        <v>100</v>
      </c>
      <c r="E37" s="3341" t="s">
        <v>3287</v>
      </c>
      <c r="F37" s="433">
        <f>SUMIF(114:114,E37,115:115)-SUMIF(114:114,C37,115:115)+100</f>
        <v>100</v>
      </c>
      <c r="G37" s="3341" t="s">
        <v>3287</v>
      </c>
      <c r="H37" s="433">
        <f>SUMIF(114:114,G37,115:115)-SUMIF(114:114,C37,115:115)+100</f>
        <v>100</v>
      </c>
      <c r="I37" s="3341" t="s">
        <v>3287</v>
      </c>
      <c r="J37" s="433">
        <f>SUMIF(114:114,I37,115:115)-SUMIF(114:114,C37,115:115)+100</f>
        <v>100</v>
      </c>
      <c r="K37" s="610">
        <v>1</v>
      </c>
      <c r="L37" s="1139"/>
      <c r="M37" s="1130"/>
      <c r="N37" s="1130"/>
      <c r="O37" s="1138"/>
      <c r="P37" s="3548" t="s">
        <v>2564</v>
      </c>
      <c r="Q37" s="1809" t="str">
        <f t="shared" si="14"/>
        <v>工程地质条件</v>
      </c>
      <c r="R37" s="771" t="s">
        <v>17</v>
      </c>
      <c r="S37" s="772">
        <f t="shared" si="10"/>
        <v>100</v>
      </c>
      <c r="T37" s="771" t="s">
        <v>17</v>
      </c>
      <c r="U37" s="772">
        <f t="shared" si="11"/>
        <v>100</v>
      </c>
      <c r="V37" s="771" t="s">
        <v>17</v>
      </c>
      <c r="W37" s="772">
        <f t="shared" si="12"/>
        <v>100</v>
      </c>
      <c r="X37" s="1812"/>
      <c r="Y37" s="3548" t="s">
        <v>2564</v>
      </c>
      <c r="Z37" s="1813" t="str">
        <f t="shared" si="13"/>
        <v>工程地质条件</v>
      </c>
      <c r="AA37" s="1810">
        <f t="shared" si="3"/>
        <v>1</v>
      </c>
      <c r="AB37" s="1810">
        <f t="shared" si="4"/>
        <v>1</v>
      </c>
      <c r="AC37" s="1810">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9"/>
      <c r="M38" s="1130"/>
      <c r="N38" s="1130"/>
      <c r="O38" s="1138"/>
      <c r="P38" s="3548"/>
      <c r="Q38" s="1809">
        <f t="shared" si="14"/>
        <v>111</v>
      </c>
      <c r="R38" s="771" t="s">
        <v>17</v>
      </c>
      <c r="S38" s="772">
        <f t="shared" si="10"/>
        <v>100</v>
      </c>
      <c r="T38" s="771" t="s">
        <v>17</v>
      </c>
      <c r="U38" s="772">
        <f t="shared" si="11"/>
        <v>100</v>
      </c>
      <c r="V38" s="771" t="s">
        <v>17</v>
      </c>
      <c r="W38" s="772">
        <f t="shared" si="12"/>
        <v>100</v>
      </c>
      <c r="X38" s="1812"/>
      <c r="Y38" s="3548"/>
      <c r="Z38" s="1813">
        <f t="shared" si="13"/>
        <v>111</v>
      </c>
      <c r="AA38" s="1810">
        <f t="shared" si="3"/>
        <v>1</v>
      </c>
      <c r="AB38" s="1810">
        <f t="shared" si="4"/>
        <v>1</v>
      </c>
      <c r="AC38" s="1810">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9"/>
      <c r="M39" s="1130"/>
      <c r="N39" s="1130"/>
      <c r="O39" s="1138"/>
      <c r="P39" s="3548"/>
      <c r="Q39" s="1809">
        <f t="shared" si="14"/>
        <v>111</v>
      </c>
      <c r="R39" s="771" t="s">
        <v>17</v>
      </c>
      <c r="S39" s="772">
        <f t="shared" si="10"/>
        <v>100</v>
      </c>
      <c r="T39" s="771" t="s">
        <v>17</v>
      </c>
      <c r="U39" s="772">
        <f t="shared" si="11"/>
        <v>100</v>
      </c>
      <c r="V39" s="771" t="s">
        <v>17</v>
      </c>
      <c r="W39" s="772">
        <f t="shared" si="12"/>
        <v>100</v>
      </c>
      <c r="X39" s="1812"/>
      <c r="Y39" s="3548"/>
      <c r="Z39" s="1813">
        <f t="shared" si="13"/>
        <v>111</v>
      </c>
      <c r="AA39" s="1810">
        <f t="shared" si="3"/>
        <v>1</v>
      </c>
      <c r="AB39" s="1810">
        <f t="shared" si="4"/>
        <v>1</v>
      </c>
      <c r="AC39" s="1810">
        <f t="shared" si="5"/>
        <v>1</v>
      </c>
    </row>
    <row r="40" spans="1:29" s="469" customFormat="1" ht="15.6"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7"/>
      <c r="M40" s="1140"/>
      <c r="N40" s="1140"/>
      <c r="O40" s="1141"/>
      <c r="P40" s="3548"/>
      <c r="Q40" s="1809">
        <f t="shared" si="14"/>
        <v>111</v>
      </c>
      <c r="R40" s="774" t="s">
        <v>17</v>
      </c>
      <c r="S40" s="775">
        <f t="shared" si="10"/>
        <v>100</v>
      </c>
      <c r="T40" s="774" t="s">
        <v>17</v>
      </c>
      <c r="U40" s="775">
        <f t="shared" si="11"/>
        <v>100</v>
      </c>
      <c r="V40" s="774" t="s">
        <v>17</v>
      </c>
      <c r="W40" s="775">
        <f t="shared" si="12"/>
        <v>100</v>
      </c>
      <c r="X40" s="776"/>
      <c r="Y40" s="3548"/>
      <c r="Z40" s="777">
        <f t="shared" si="13"/>
        <v>111</v>
      </c>
      <c r="AA40" s="1810">
        <f t="shared" si="3"/>
        <v>1</v>
      </c>
      <c r="AB40" s="1810">
        <f t="shared" si="4"/>
        <v>1</v>
      </c>
      <c r="AC40" s="1810">
        <f t="shared" si="5"/>
        <v>1</v>
      </c>
    </row>
    <row r="41" spans="1:29" ht="14.4">
      <c r="A41" s="477" t="s">
        <v>2719</v>
      </c>
      <c r="B41" s="2702" t="s">
        <v>3222</v>
      </c>
      <c r="C41" s="680" t="s">
        <v>1</v>
      </c>
      <c r="D41" s="479"/>
      <c r="E41" s="480">
        <f>ROUND(土地案例!AK5,0)</f>
        <v>1081</v>
      </c>
      <c r="F41" s="481"/>
      <c r="G41" s="482">
        <f>ROUND(土地案例!AK3,0)</f>
        <v>1299</v>
      </c>
      <c r="H41" s="483"/>
      <c r="I41" s="480">
        <f>ROUND(土地案例!AK4,0)</f>
        <v>1133</v>
      </c>
      <c r="J41" s="483"/>
      <c r="K41" s="780"/>
      <c r="L41" s="1142"/>
      <c r="M41" s="1130"/>
      <c r="N41" s="1130"/>
      <c r="O41" s="1143"/>
      <c r="P41" s="3540" t="str">
        <f>A41</f>
        <v>成交单价</v>
      </c>
      <c r="Q41" s="3540"/>
      <c r="R41" s="3569">
        <f>E41</f>
        <v>1081</v>
      </c>
      <c r="S41" s="3569"/>
      <c r="T41" s="3569">
        <f>G41</f>
        <v>1299</v>
      </c>
      <c r="U41" s="3569"/>
      <c r="V41" s="3569">
        <f>I41</f>
        <v>1133</v>
      </c>
      <c r="W41" s="3569"/>
      <c r="X41" s="756"/>
      <c r="Y41" s="778"/>
      <c r="Z41" s="756"/>
      <c r="AA41" s="756"/>
      <c r="AB41" s="756"/>
      <c r="AC41" s="756"/>
    </row>
    <row r="42" spans="1:29" ht="15" thickBot="1">
      <c r="A42" s="484" t="s">
        <v>2668</v>
      </c>
      <c r="B42" s="681"/>
      <c r="C42" s="488">
        <f>R43</f>
        <v>1185</v>
      </c>
      <c r="D42" s="487"/>
      <c r="E42" s="488">
        <f>R42</f>
        <v>1119</v>
      </c>
      <c r="F42" s="489"/>
      <c r="G42" s="486">
        <f>T42</f>
        <v>1283</v>
      </c>
      <c r="H42" s="487"/>
      <c r="I42" s="488">
        <f>V42</f>
        <v>1154</v>
      </c>
      <c r="J42" s="487"/>
      <c r="K42" s="781"/>
      <c r="L42" s="1142"/>
      <c r="M42" s="1130"/>
      <c r="N42" s="1130"/>
      <c r="O42" s="1143"/>
      <c r="P42" s="3540" t="str">
        <f>A42</f>
        <v>比较价值（元/平方米）</v>
      </c>
      <c r="Q42" s="3540"/>
      <c r="R42" s="3588">
        <f>ROUND(PRODUCT(R41,AA7:AA40),0)</f>
        <v>1119</v>
      </c>
      <c r="S42" s="3588"/>
      <c r="T42" s="3588">
        <f>ROUND(PRODUCT(T41,AB7:AB40),0)</f>
        <v>1283</v>
      </c>
      <c r="U42" s="3588"/>
      <c r="V42" s="3588">
        <f>ROUND(PRODUCT(V41,AC7:AC40),0)</f>
        <v>1154</v>
      </c>
      <c r="W42" s="3588"/>
      <c r="X42" s="756"/>
      <c r="Y42" s="756"/>
      <c r="Z42" s="756"/>
      <c r="AA42" s="756"/>
      <c r="AB42" s="756"/>
      <c r="AC42" s="756"/>
    </row>
    <row r="43" spans="1:29" ht="15" thickBot="1">
      <c r="A43" s="490" t="s">
        <v>2669</v>
      </c>
      <c r="B43" s="491"/>
      <c r="C43" s="492">
        <f>R43</f>
        <v>1185</v>
      </c>
      <c r="D43" s="492"/>
      <c r="E43" s="492"/>
      <c r="F43" s="492"/>
      <c r="G43" s="492"/>
      <c r="H43" s="492"/>
      <c r="I43" s="492"/>
      <c r="J43" s="492"/>
      <c r="K43" s="782"/>
      <c r="L43" s="1142"/>
      <c r="M43" s="1130"/>
      <c r="N43" s="1130"/>
      <c r="O43" s="1143"/>
      <c r="P43" s="3542" t="str">
        <f>A43</f>
        <v>估价对象XX用房的比较价值（楼面单价，元/平方米）</v>
      </c>
      <c r="Q43" s="3543"/>
      <c r="R43" s="3587">
        <f>ROUND(AVERAGE(R42:V42),0)</f>
        <v>1185</v>
      </c>
      <c r="S43" s="3587"/>
      <c r="T43" s="3587"/>
      <c r="U43" s="3587"/>
      <c r="V43" s="3587"/>
      <c r="W43" s="3587"/>
      <c r="X43" s="756"/>
      <c r="Y43" s="756"/>
      <c r="Z43" s="756"/>
      <c r="AA43" s="756"/>
      <c r="AB43" s="756"/>
      <c r="AC43" s="756"/>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5" t="s">
        <v>2670</v>
      </c>
      <c r="D46" s="496"/>
      <c r="E46" s="497">
        <f>IF(E41&lt;E42,E42/E41-1,E41/E42-1)</f>
        <v>3.5152636447733476E-2</v>
      </c>
      <c r="F46" s="498" t="str">
        <f>IF(OR(E46&gt;=0.3,E46&lt;=-0.3),"超过30%","")</f>
        <v/>
      </c>
      <c r="G46" s="497">
        <f>IF(G41&lt;G42,G42/G41-1,G41/G42-1)</f>
        <v>1.2470771628994459E-2</v>
      </c>
      <c r="H46" s="498" t="str">
        <f>IF(OR(G46&gt;=0.3,G46&lt;=-0.3),"超过30%","")</f>
        <v/>
      </c>
      <c r="I46" s="497">
        <f>IF(I41&lt;I42,I42/I41-1,I41/I42-1)</f>
        <v>1.8534863195057261E-2</v>
      </c>
      <c r="J46" s="498" t="str">
        <f>IF(OR(I46&gt;=0.3,I46&lt;=-0.3),"超过30%","")</f>
        <v/>
      </c>
      <c r="K46" s="1104"/>
      <c r="L46" s="1105"/>
      <c r="M46" s="1130"/>
      <c r="N46" s="1130"/>
      <c r="O46" s="1143"/>
    </row>
    <row r="47" spans="1:29" ht="13.5" customHeight="1">
      <c r="A47" s="1143"/>
      <c r="B47" s="1143"/>
      <c r="C47" s="495" t="s">
        <v>2671</v>
      </c>
      <c r="D47" s="499"/>
      <c r="E47" s="497">
        <f>IF(E42&lt;G42,G42/E42-1,E42/G42-1)</f>
        <v>0.14655942806076849</v>
      </c>
      <c r="F47" s="498" t="str">
        <f>IF(OR(E47&gt;=0.2,E47&lt;=-0.2),"超过20%","")</f>
        <v/>
      </c>
      <c r="G47" s="497">
        <f>IF(G42&lt;I42,I42/G42-1,G42/I42-1)</f>
        <v>0.11178509532062386</v>
      </c>
      <c r="H47" s="498" t="str">
        <f>IF(OR(G47&gt;=0.2,G47&lt;=-0.2),"超过20%","")</f>
        <v/>
      </c>
      <c r="I47" s="497">
        <f>IF(I42&lt;E42,E42/I42-1,I42/E42-1)</f>
        <v>3.1277926720286064E-2</v>
      </c>
      <c r="J47" s="498" t="str">
        <f>IF(OR(I47&gt;=0.2,I47&lt;=-0.2),"超过20%","")</f>
        <v/>
      </c>
      <c r="K47" s="1104"/>
      <c r="L47" s="1105"/>
      <c r="M47" s="1143"/>
      <c r="N47" s="1143"/>
      <c r="O47" s="1143"/>
    </row>
    <row r="48" spans="1:29" s="500" customFormat="1" ht="13.5" customHeight="1">
      <c r="A48" s="1144"/>
      <c r="B48" s="1144"/>
      <c r="C48" s="495" t="s">
        <v>2672</v>
      </c>
      <c r="D48" s="499"/>
      <c r="E48" s="497">
        <f>IF(E41&lt;G41,G41/E41-1,E41/G41-1)</f>
        <v>0.20166512488436639</v>
      </c>
      <c r="F48" s="498" t="str">
        <f>IF(OR(E48&gt;=0.3,E48&lt;=-0.3),"超过30%","")</f>
        <v/>
      </c>
      <c r="G48" s="497">
        <f>IF(G41&lt;I41,I41/G41-1,G41/I41-1)</f>
        <v>0.14651368049426305</v>
      </c>
      <c r="H48" s="498" t="str">
        <f>IF(OR(G48&gt;=0.3,G48&lt;=-0.3),"超过30%","")</f>
        <v/>
      </c>
      <c r="I48" s="497">
        <f>IF(I41&lt;E41,E41/I41-1,I41/E41-1)</f>
        <v>4.8103607770582757E-2</v>
      </c>
      <c r="J48" s="498" t="str">
        <f>IF(OR(I48&gt;=0.3,I48&lt;=-0.3),"超过30%","")</f>
        <v/>
      </c>
      <c r="K48" s="1147"/>
      <c r="L48" s="1148"/>
      <c r="M48" s="1144"/>
      <c r="N48" s="1144"/>
      <c r="O48" s="1144"/>
    </row>
    <row r="49" spans="1:17" s="500" customFormat="1" ht="14.4" thickBot="1">
      <c r="A49" s="1144"/>
      <c r="B49" s="1145"/>
      <c r="C49" s="759"/>
      <c r="D49" s="757"/>
      <c r="E49" s="757"/>
      <c r="F49" s="757"/>
      <c r="G49" s="757"/>
      <c r="H49" s="757"/>
      <c r="I49" s="757"/>
      <c r="J49" s="757"/>
      <c r="K49" s="1147"/>
      <c r="L49" s="1148"/>
      <c r="M49" s="1144"/>
      <c r="N49" s="1144"/>
      <c r="O49" s="1144"/>
    </row>
    <row r="50" spans="1:17" ht="28.8">
      <c r="A50" s="682" t="s">
        <v>2757</v>
      </c>
      <c r="B50" s="683" t="s">
        <v>2758</v>
      </c>
      <c r="C50" s="2703" t="s">
        <v>2759</v>
      </c>
      <c r="D50" s="2704" t="s">
        <v>2760</v>
      </c>
      <c r="E50" s="684" t="s">
        <v>2761</v>
      </c>
      <c r="F50" s="685" t="s">
        <v>2762</v>
      </c>
      <c r="G50" s="3553" t="s">
        <v>2763</v>
      </c>
      <c r="H50" s="3581"/>
      <c r="I50" s="1813" t="s">
        <v>2799</v>
      </c>
      <c r="J50" s="1813">
        <f>项目基本情况!F35</f>
        <v>0</v>
      </c>
      <c r="K50" s="2706" t="s">
        <v>2765</v>
      </c>
      <c r="L50" s="1105"/>
      <c r="M50" s="1143"/>
      <c r="N50" s="1143"/>
      <c r="O50" s="1143"/>
    </row>
    <row r="51" spans="1:17" s="690" customFormat="1">
      <c r="A51" s="686" t="s">
        <v>2766</v>
      </c>
      <c r="B51" s="687">
        <f>C43</f>
        <v>1185</v>
      </c>
      <c r="C51" s="688">
        <v>1</v>
      </c>
      <c r="D51" s="1162">
        <v>1</v>
      </c>
      <c r="E51" s="688">
        <f>'数据-汇总表'!E8+'数据-汇总表'!E9</f>
        <v>75800.5</v>
      </c>
      <c r="F51" s="689">
        <f t="shared" ref="F51:F60" si="15">ROUND(B51*E51/10000,0)</f>
        <v>8982</v>
      </c>
      <c r="G51" s="3582"/>
      <c r="H51" s="3540"/>
      <c r="I51" s="941">
        <v>1</v>
      </c>
      <c r="J51" s="941">
        <v>1</v>
      </c>
      <c r="K51" s="1144"/>
      <c r="L51" s="940"/>
      <c r="M51" s="940"/>
      <c r="N51" s="940"/>
      <c r="O51" s="940"/>
    </row>
    <row r="52" spans="1:17" s="690" customFormat="1">
      <c r="A52" s="691" t="s">
        <v>2767</v>
      </c>
      <c r="B52" s="260">
        <f>ROUND($C$43*C52*D52,0)</f>
        <v>0</v>
      </c>
      <c r="C52" s="198">
        <f t="shared" ref="C52:C60" si="16">IF($C$50="北京市系数",I52,J52)</f>
        <v>0</v>
      </c>
      <c r="D52" s="1163">
        <v>0.25</v>
      </c>
      <c r="E52" s="692"/>
      <c r="F52" s="689">
        <f t="shared" si="15"/>
        <v>0</v>
      </c>
      <c r="G52" s="3583" t="s">
        <v>2768</v>
      </c>
      <c r="H52" s="1103">
        <f>项目基本情况!B37</f>
        <v>0</v>
      </c>
      <c r="I52" s="941">
        <f>SUMIF(修正!A45:A56,H52,修正!B45:B56)</f>
        <v>0</v>
      </c>
      <c r="J52" s="942"/>
      <c r="K52" s="1143"/>
      <c r="L52" s="940"/>
      <c r="M52" s="940"/>
      <c r="N52" s="940"/>
      <c r="O52" s="940"/>
    </row>
    <row r="53" spans="1:17" s="690" customFormat="1">
      <c r="A53" s="691" t="s">
        <v>2769</v>
      </c>
      <c r="B53" s="260">
        <f t="shared" ref="B53:B60" si="17">ROUND($C$43*C53*D53,0)</f>
        <v>0</v>
      </c>
      <c r="C53" s="198">
        <f t="shared" si="16"/>
        <v>0</v>
      </c>
      <c r="D53" s="1163">
        <v>0.25</v>
      </c>
      <c r="E53" s="692"/>
      <c r="F53" s="689">
        <f t="shared" si="15"/>
        <v>0</v>
      </c>
      <c r="G53" s="3583"/>
      <c r="H53" s="1103">
        <f>项目基本情况!B37</f>
        <v>0</v>
      </c>
      <c r="I53" s="941">
        <f>SUMIF(修正!A45:A56,H53,修正!C45:C56)</f>
        <v>0</v>
      </c>
      <c r="J53" s="942"/>
      <c r="K53" s="1144"/>
      <c r="L53" s="940"/>
      <c r="M53" s="940"/>
      <c r="N53" s="940"/>
      <c r="O53" s="940"/>
    </row>
    <row r="54" spans="1:17" s="690" customFormat="1">
      <c r="A54" s="691" t="s">
        <v>2770</v>
      </c>
      <c r="B54" s="260">
        <f t="shared" si="17"/>
        <v>0</v>
      </c>
      <c r="C54" s="198">
        <f t="shared" si="16"/>
        <v>0</v>
      </c>
      <c r="D54" s="1163">
        <v>0.25</v>
      </c>
      <c r="E54" s="692"/>
      <c r="F54" s="689">
        <f t="shared" si="15"/>
        <v>0</v>
      </c>
      <c r="G54" s="3583"/>
      <c r="H54" s="1103">
        <f>项目基本情况!B37</f>
        <v>0</v>
      </c>
      <c r="I54" s="941">
        <f>SUMIF(修正!A45:A56,H54,修正!D45:D56)</f>
        <v>0</v>
      </c>
      <c r="J54" s="942"/>
      <c r="K54" s="1143"/>
      <c r="L54" s="940"/>
      <c r="M54" s="940"/>
      <c r="N54" s="940"/>
      <c r="O54" s="940"/>
    </row>
    <row r="55" spans="1:17" s="690" customFormat="1">
      <c r="A55" s="691" t="s">
        <v>2771</v>
      </c>
      <c r="B55" s="260">
        <f t="shared" si="17"/>
        <v>0</v>
      </c>
      <c r="C55" s="198">
        <f t="shared" si="16"/>
        <v>0</v>
      </c>
      <c r="D55" s="1163">
        <v>0.25</v>
      </c>
      <c r="E55" s="692"/>
      <c r="F55" s="689">
        <f t="shared" si="15"/>
        <v>0</v>
      </c>
      <c r="G55" s="3583"/>
      <c r="H55" s="1103">
        <f>项目基本情况!B37</f>
        <v>0</v>
      </c>
      <c r="I55" s="941">
        <f>SUMIF(修正!A45:A56,H55,修正!E45:E56)</f>
        <v>0</v>
      </c>
      <c r="J55" s="942"/>
      <c r="K55" s="1144"/>
      <c r="L55" s="940"/>
      <c r="M55" s="940"/>
      <c r="N55" s="940"/>
      <c r="O55" s="940"/>
    </row>
    <row r="56" spans="1:17" s="690" customFormat="1">
      <c r="A56" s="691" t="s">
        <v>2772</v>
      </c>
      <c r="B56" s="260">
        <f t="shared" si="17"/>
        <v>0</v>
      </c>
      <c r="C56" s="198">
        <f t="shared" si="16"/>
        <v>0</v>
      </c>
      <c r="D56" s="1163">
        <v>0.25</v>
      </c>
      <c r="E56" s="259">
        <f>'数据-汇总表'!E11</f>
        <v>0</v>
      </c>
      <c r="F56" s="689">
        <f t="shared" si="15"/>
        <v>0</v>
      </c>
      <c r="G56" s="2707" t="s">
        <v>2773</v>
      </c>
      <c r="H56" s="1103">
        <f>项目基本情况!C37</f>
        <v>0</v>
      </c>
      <c r="I56" s="941">
        <f>SUMIF(修正!A45:A56,H56,修正!F45:F56)</f>
        <v>0</v>
      </c>
      <c r="J56" s="942"/>
      <c r="K56" s="1143"/>
      <c r="L56" s="940"/>
      <c r="M56" s="940"/>
      <c r="N56" s="940"/>
      <c r="O56" s="940"/>
    </row>
    <row r="57" spans="1:17" s="690" customFormat="1">
      <c r="A57" s="691" t="s">
        <v>2774</v>
      </c>
      <c r="B57" s="260">
        <f t="shared" si="17"/>
        <v>59</v>
      </c>
      <c r="C57" s="198">
        <f t="shared" si="16"/>
        <v>0.2</v>
      </c>
      <c r="D57" s="1163">
        <v>0.25</v>
      </c>
      <c r="E57" s="259">
        <f>'数据-汇总表'!E12</f>
        <v>8295.2800000000007</v>
      </c>
      <c r="F57" s="689">
        <f t="shared" si="15"/>
        <v>49</v>
      </c>
      <c r="G57" s="1108" t="s">
        <v>6</v>
      </c>
      <c r="H57" s="1103" t="str">
        <f>IF(G57="商业",项目基本情况!B37,IF(G57="办公",项目基本情况!C37,IF(G57="住宅",项目基本情况!D37,项目基本情况!E37)))</f>
        <v>十级</v>
      </c>
      <c r="I57" s="941">
        <f>SUMIF(修正!A45:A56,H57,修正!G45:G56)</f>
        <v>0.2</v>
      </c>
      <c r="J57" s="942"/>
      <c r="K57" s="1144"/>
      <c r="L57" s="940"/>
      <c r="M57" s="940"/>
      <c r="N57" s="940"/>
      <c r="O57" s="940"/>
    </row>
    <row r="58" spans="1:17" s="690" customFormat="1">
      <c r="A58" s="691" t="s">
        <v>2776</v>
      </c>
      <c r="B58" s="260">
        <f t="shared" si="17"/>
        <v>44</v>
      </c>
      <c r="C58" s="198">
        <f t="shared" si="16"/>
        <v>0.15</v>
      </c>
      <c r="D58" s="1163">
        <v>0.25</v>
      </c>
      <c r="E58" s="259">
        <f>'数据-汇总表'!E13</f>
        <v>12648.5</v>
      </c>
      <c r="F58" s="689">
        <f t="shared" si="15"/>
        <v>56</v>
      </c>
      <c r="G58" s="1108" t="s">
        <v>6</v>
      </c>
      <c r="H58" s="1103" t="str">
        <f>IF(G58="商业",项目基本情况!B37,IF(G58="办公",项目基本情况!C37,IF(G58="住宅",项目基本情况!D37,项目基本情况!E37)))</f>
        <v>十级</v>
      </c>
      <c r="I58" s="941">
        <f>SUMIF(修正!A45:A56,H58,修正!H45:H56)</f>
        <v>0.15</v>
      </c>
      <c r="J58" s="942"/>
      <c r="K58" s="1143"/>
      <c r="L58" s="940"/>
      <c r="M58" s="940"/>
      <c r="N58" s="940"/>
      <c r="O58" s="940"/>
    </row>
    <row r="59" spans="1:17" s="690" customFormat="1">
      <c r="A59" s="691" t="s">
        <v>2778</v>
      </c>
      <c r="B59" s="260">
        <f t="shared" si="17"/>
        <v>0</v>
      </c>
      <c r="C59" s="198">
        <f t="shared" si="16"/>
        <v>0</v>
      </c>
      <c r="D59" s="1163">
        <v>0.25</v>
      </c>
      <c r="E59" s="259">
        <f>'数据-汇总表'!E14</f>
        <v>0</v>
      </c>
      <c r="F59" s="689">
        <f t="shared" si="15"/>
        <v>0</v>
      </c>
      <c r="G59" s="2707" t="s">
        <v>2768</v>
      </c>
      <c r="H59" s="1103">
        <f>项目基本情况!B37</f>
        <v>0</v>
      </c>
      <c r="I59" s="941">
        <f>SUMIF(修正!A45:A56,H59,修正!H45:H56)</f>
        <v>0</v>
      </c>
      <c r="J59" s="942"/>
      <c r="K59" s="1144"/>
      <c r="L59" s="940"/>
      <c r="M59" s="940"/>
      <c r="N59" s="940"/>
      <c r="O59" s="940"/>
    </row>
    <row r="60" spans="1:17" s="690" customFormat="1" ht="14.4" thickBot="1">
      <c r="A60" s="691" t="s">
        <v>2779</v>
      </c>
      <c r="B60" s="260">
        <f t="shared" si="17"/>
        <v>0</v>
      </c>
      <c r="C60" s="198">
        <f t="shared" si="16"/>
        <v>0</v>
      </c>
      <c r="D60" s="1163">
        <v>0.25</v>
      </c>
      <c r="E60" s="259">
        <f>'数据-汇总表'!E15</f>
        <v>0</v>
      </c>
      <c r="F60" s="689">
        <f t="shared" si="15"/>
        <v>0</v>
      </c>
      <c r="G60" s="2708" t="s">
        <v>2773</v>
      </c>
      <c r="H60" s="1113">
        <f>项目基本情况!C37</f>
        <v>0</v>
      </c>
      <c r="I60" s="941">
        <f>SUMIF(修正!A45:A56,H60,修正!H45:H56)</f>
        <v>0</v>
      </c>
      <c r="J60" s="942"/>
      <c r="K60" s="1143"/>
      <c r="L60" s="940"/>
      <c r="M60" s="940"/>
      <c r="N60" s="940"/>
      <c r="O60" s="940"/>
    </row>
    <row r="61" spans="1:17" s="690" customFormat="1" ht="14.4" thickBot="1">
      <c r="A61" s="693" t="s">
        <v>2780</v>
      </c>
      <c r="B61" s="694" t="s">
        <v>28</v>
      </c>
      <c r="C61" s="694" t="s">
        <v>29</v>
      </c>
      <c r="D61" s="694" t="s">
        <v>1029</v>
      </c>
      <c r="E61" s="694">
        <f>IF(B41="楼面地价",SUM(E51:E60),'数据-汇总表'!D3)</f>
        <v>96744.28</v>
      </c>
      <c r="F61" s="695">
        <f>IF(B41="楼面地价",SUM(F51:F60),ROUND(C43*E61/10000,0))</f>
        <v>9087</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2.2" thickBot="1">
      <c r="A64" s="760" t="s">
        <v>2673</v>
      </c>
      <c r="B64" s="756"/>
      <c r="C64" s="761"/>
      <c r="D64" s="761"/>
      <c r="E64" s="761"/>
      <c r="F64" s="762"/>
      <c r="G64" s="762"/>
      <c r="H64" s="761"/>
      <c r="I64" s="761"/>
      <c r="J64" s="761"/>
      <c r="K64" s="763"/>
      <c r="L64" s="764"/>
      <c r="M64" s="761"/>
      <c r="N64" s="761"/>
      <c r="O64" s="1158"/>
      <c r="P64" s="501"/>
      <c r="Q64" s="502"/>
    </row>
    <row r="65" spans="1:17" s="506" customFormat="1" ht="14.4">
      <c r="A65" s="2709" t="s">
        <v>2781</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5"/>
    </row>
    <row r="66" spans="1:17" s="115" customFormat="1" ht="30.75" customHeight="1">
      <c r="A66" s="2714" t="s">
        <v>2800</v>
      </c>
      <c r="B66" s="330" t="str">
        <f>"北京市平均增长率"&amp;TEXT(基准地价修正!P24,"0.00%")</f>
        <v>北京市平均增长率0.00%</v>
      </c>
      <c r="C66" s="601">
        <v>100</v>
      </c>
      <c r="D66" s="593">
        <f>C66-0.5</f>
        <v>99.5</v>
      </c>
      <c r="E66" s="593">
        <f t="shared" ref="E66:O66" si="20">D66-0.5</f>
        <v>99</v>
      </c>
      <c r="F66" s="593">
        <f t="shared" si="20"/>
        <v>98.5</v>
      </c>
      <c r="G66" s="593">
        <f t="shared" si="20"/>
        <v>98</v>
      </c>
      <c r="H66" s="593">
        <f t="shared" si="20"/>
        <v>97.5</v>
      </c>
      <c r="I66" s="593">
        <f t="shared" si="20"/>
        <v>97</v>
      </c>
      <c r="J66" s="593">
        <f t="shared" si="20"/>
        <v>96.5</v>
      </c>
      <c r="K66" s="593">
        <f t="shared" si="20"/>
        <v>96</v>
      </c>
      <c r="L66" s="593">
        <f t="shared" si="20"/>
        <v>95.5</v>
      </c>
      <c r="M66" s="593">
        <f t="shared" si="20"/>
        <v>95</v>
      </c>
      <c r="N66" s="593">
        <f t="shared" si="20"/>
        <v>94.5</v>
      </c>
      <c r="O66" s="593">
        <f t="shared" si="20"/>
        <v>94</v>
      </c>
      <c r="P66" s="502"/>
    </row>
    <row r="67" spans="1:17" s="115" customFormat="1" ht="15" thickBot="1">
      <c r="A67" s="513" t="s">
        <v>2584</v>
      </c>
      <c r="B67" s="514"/>
      <c r="C67" s="515">
        <v>1</v>
      </c>
      <c r="D67" s="516"/>
      <c r="E67" s="516"/>
      <c r="F67" s="516"/>
      <c r="G67" s="516"/>
      <c r="H67" s="516"/>
      <c r="I67" s="516"/>
      <c r="J67" s="516"/>
      <c r="K67" s="516"/>
      <c r="L67" s="516"/>
      <c r="M67" s="517"/>
      <c r="N67" s="517"/>
      <c r="O67" s="518"/>
      <c r="P67" s="502"/>
      <c r="Q67" s="502"/>
    </row>
    <row r="68" spans="1:17" s="115" customFormat="1" ht="14.4">
      <c r="A68" s="519" t="s">
        <v>2549</v>
      </c>
      <c r="B68" s="508"/>
      <c r="C68" s="520" t="s">
        <v>2651</v>
      </c>
      <c r="D68" s="521"/>
      <c r="E68" s="521"/>
      <c r="F68" s="521"/>
      <c r="G68" s="521"/>
      <c r="H68" s="521"/>
      <c r="I68" s="521"/>
      <c r="J68" s="521"/>
      <c r="K68" s="521"/>
      <c r="L68" s="522"/>
      <c r="M68" s="523"/>
      <c r="N68" s="1150"/>
      <c r="O68" s="1150"/>
      <c r="P68" s="524"/>
      <c r="Q68" s="502"/>
    </row>
    <row r="69" spans="1:17" s="115" customFormat="1" ht="14.4" thickBot="1">
      <c r="A69" s="519"/>
      <c r="B69" s="508"/>
      <c r="C69" s="637">
        <v>100</v>
      </c>
      <c r="D69" s="510"/>
      <c r="E69" s="510"/>
      <c r="F69" s="510"/>
      <c r="G69" s="510"/>
      <c r="H69" s="510"/>
      <c r="I69" s="510"/>
      <c r="J69" s="510"/>
      <c r="K69" s="510"/>
      <c r="L69" s="510"/>
      <c r="M69" s="512"/>
      <c r="N69" s="1150"/>
      <c r="O69" s="1150"/>
      <c r="P69" s="502"/>
      <c r="Q69" s="502"/>
    </row>
    <row r="70" spans="1:17" ht="14.4">
      <c r="A70" s="525" t="s">
        <v>2587</v>
      </c>
      <c r="B70" s="526" t="s">
        <v>2553</v>
      </c>
      <c r="C70" s="528"/>
      <c r="D70" s="528"/>
      <c r="E70" s="528"/>
      <c r="F70" s="528"/>
      <c r="G70" s="528"/>
      <c r="H70" s="528"/>
      <c r="I70" s="528"/>
      <c r="J70" s="528"/>
      <c r="K70" s="529"/>
      <c r="L70" s="530"/>
      <c r="M70" s="531"/>
      <c r="N70" s="1151"/>
      <c r="O70" s="1151"/>
      <c r="P70" s="44"/>
      <c r="Q70" s="502"/>
    </row>
    <row r="71" spans="1:17" ht="14.4" thickBot="1">
      <c r="A71" s="532"/>
      <c r="B71" s="533"/>
      <c r="C71" s="534"/>
      <c r="D71" s="534"/>
      <c r="E71" s="534"/>
      <c r="F71" s="534"/>
      <c r="G71" s="534"/>
      <c r="H71" s="534"/>
      <c r="I71" s="534"/>
      <c r="J71" s="534"/>
      <c r="K71" s="534"/>
      <c r="L71" s="534"/>
      <c r="M71" s="535"/>
      <c r="N71" s="1152"/>
      <c r="O71" s="1152"/>
      <c r="P71" s="44"/>
      <c r="Q71" s="502"/>
    </row>
    <row r="72" spans="1:17" ht="29.4" thickTop="1">
      <c r="A72" s="532"/>
      <c r="B72" s="536" t="s">
        <v>2556</v>
      </c>
      <c r="C72" s="537"/>
      <c r="D72" s="537"/>
      <c r="E72" s="537"/>
      <c r="F72" s="537"/>
      <c r="G72" s="537"/>
      <c r="H72" s="537"/>
      <c r="I72" s="537"/>
      <c r="J72" s="537"/>
      <c r="K72" s="538"/>
      <c r="L72" s="539"/>
      <c r="M72" s="540"/>
      <c r="N72" s="1151"/>
      <c r="O72" s="1151"/>
      <c r="P72" s="44"/>
      <c r="Q72" s="502"/>
    </row>
    <row r="73" spans="1:17" ht="14.4" thickBot="1">
      <c r="A73" s="532"/>
      <c r="B73" s="541"/>
      <c r="C73" s="542"/>
      <c r="D73" s="542"/>
      <c r="E73" s="542"/>
      <c r="F73" s="542"/>
      <c r="G73" s="542"/>
      <c r="H73" s="542"/>
      <c r="I73" s="542"/>
      <c r="J73" s="542"/>
      <c r="K73" s="542"/>
      <c r="L73" s="542"/>
      <c r="M73" s="543"/>
      <c r="N73" s="1152"/>
      <c r="O73" s="1152"/>
      <c r="P73" s="44"/>
      <c r="Q73" s="502"/>
    </row>
    <row r="74" spans="1:17" ht="15" thickTop="1">
      <c r="A74" s="532"/>
      <c r="B74" s="544" t="s">
        <v>2557</v>
      </c>
      <c r="C74" s="545" t="str">
        <f>C75&amp;"（含）"&amp;"-"&amp;D75</f>
        <v>0（含）-1</v>
      </c>
      <c r="D74" s="545" t="str">
        <f t="shared" ref="D74:L74" si="21">D75&amp;"（含）"&amp;"-"&amp;E75</f>
        <v>1（含）-2</v>
      </c>
      <c r="E74" s="545" t="str">
        <f t="shared" si="21"/>
        <v>2（含）-3</v>
      </c>
      <c r="F74" s="545" t="str">
        <f t="shared" si="21"/>
        <v>3（含）-4</v>
      </c>
      <c r="G74" s="545" t="str">
        <f t="shared" si="21"/>
        <v>4（含）-</v>
      </c>
      <c r="H74" s="545" t="str">
        <f t="shared" si="21"/>
        <v>（含）-</v>
      </c>
      <c r="I74" s="545" t="str">
        <f t="shared" si="21"/>
        <v>（含）-</v>
      </c>
      <c r="J74" s="545" t="str">
        <f t="shared" si="21"/>
        <v>（含）-</v>
      </c>
      <c r="K74" s="545" t="str">
        <f t="shared" si="21"/>
        <v>（含）-</v>
      </c>
      <c r="L74" s="545" t="str">
        <f t="shared" si="21"/>
        <v>（含）-</v>
      </c>
      <c r="M74" s="446" t="str">
        <f>M75&amp;"（含）"&amp;"-"&amp;P75</f>
        <v>（含）-</v>
      </c>
      <c r="N74" s="1152"/>
      <c r="O74" s="1152"/>
      <c r="P74" s="44"/>
      <c r="Q74" s="502"/>
    </row>
    <row r="75" spans="1:17">
      <c r="A75" s="532"/>
      <c r="B75" s="546"/>
      <c r="C75" s="547">
        <v>0</v>
      </c>
      <c r="D75" s="547">
        <v>1</v>
      </c>
      <c r="E75" s="547">
        <v>2</v>
      </c>
      <c r="F75" s="547">
        <v>3</v>
      </c>
      <c r="G75" s="547">
        <v>4</v>
      </c>
      <c r="H75" s="547"/>
      <c r="I75" s="547"/>
      <c r="J75" s="547"/>
      <c r="K75" s="548"/>
      <c r="L75" s="549"/>
      <c r="M75" s="550"/>
      <c r="N75" s="1151"/>
      <c r="O75" s="1151"/>
      <c r="P75" s="44"/>
      <c r="Q75" s="502"/>
    </row>
    <row r="76" spans="1:17" ht="14.4" thickBot="1">
      <c r="A76" s="532"/>
      <c r="B76" s="533"/>
      <c r="C76" s="542">
        <v>100</v>
      </c>
      <c r="D76" s="542">
        <f>IF($B$41="单位面积地价",C76+$K11,C76-$K11)</f>
        <v>98</v>
      </c>
      <c r="E76" s="542">
        <f t="shared" ref="E76:M76" si="22">IF($B$41="单位面积地价",D76+$K11,D76-$K11)</f>
        <v>96</v>
      </c>
      <c r="F76" s="542">
        <f t="shared" si="22"/>
        <v>94</v>
      </c>
      <c r="G76" s="542">
        <f t="shared" si="22"/>
        <v>92</v>
      </c>
      <c r="H76" s="542">
        <f t="shared" si="22"/>
        <v>90</v>
      </c>
      <c r="I76" s="542">
        <f t="shared" si="22"/>
        <v>88</v>
      </c>
      <c r="J76" s="542">
        <f t="shared" si="22"/>
        <v>86</v>
      </c>
      <c r="K76" s="542">
        <f t="shared" si="22"/>
        <v>84</v>
      </c>
      <c r="L76" s="542">
        <f t="shared" si="22"/>
        <v>82</v>
      </c>
      <c r="M76" s="542">
        <f t="shared" si="22"/>
        <v>80</v>
      </c>
      <c r="N76" s="1152"/>
      <c r="O76" s="1152"/>
      <c r="P76" s="44"/>
      <c r="Q76" s="502"/>
    </row>
    <row r="77" spans="1:17" s="469" customFormat="1" ht="14.4" thickTop="1">
      <c r="A77" s="551"/>
      <c r="B77" s="536">
        <f>B12</f>
        <v>111</v>
      </c>
      <c r="C77" s="552"/>
      <c r="D77" s="552"/>
      <c r="E77" s="552"/>
      <c r="F77" s="552"/>
      <c r="G77" s="552"/>
      <c r="H77" s="553"/>
      <c r="I77" s="553"/>
      <c r="J77" s="553"/>
      <c r="K77" s="553"/>
      <c r="L77" s="554"/>
      <c r="M77" s="555"/>
      <c r="N77" s="1153"/>
      <c r="O77" s="1153"/>
      <c r="P77" s="556"/>
      <c r="Q77" s="557"/>
    </row>
    <row r="78" spans="1:17" s="469" customFormat="1" ht="14.4" thickBot="1">
      <c r="A78" s="551"/>
      <c r="B78" s="541"/>
      <c r="C78" s="558"/>
      <c r="D78" s="534"/>
      <c r="E78" s="534"/>
      <c r="F78" s="534"/>
      <c r="G78" s="534"/>
      <c r="H78" s="534"/>
      <c r="I78" s="534"/>
      <c r="J78" s="534"/>
      <c r="K78" s="534"/>
      <c r="L78" s="534"/>
      <c r="M78" s="535"/>
      <c r="N78" s="1152"/>
      <c r="O78" s="1152"/>
      <c r="P78" s="556"/>
      <c r="Q78" s="557"/>
    </row>
    <row r="79" spans="1:17" s="469" customFormat="1" ht="14.4" thickTop="1">
      <c r="A79" s="551"/>
      <c r="B79" s="536">
        <f>B13</f>
        <v>111</v>
      </c>
      <c r="C79" s="552"/>
      <c r="D79" s="552"/>
      <c r="E79" s="552"/>
      <c r="F79" s="552"/>
      <c r="G79" s="552"/>
      <c r="H79" s="553"/>
      <c r="I79" s="553"/>
      <c r="J79" s="553"/>
      <c r="K79" s="553"/>
      <c r="L79" s="554"/>
      <c r="M79" s="555"/>
      <c r="N79" s="1153"/>
      <c r="O79" s="1153"/>
      <c r="P79" s="468"/>
      <c r="Q79" s="559"/>
    </row>
    <row r="80" spans="1:17" s="469" customFormat="1" ht="14.4" thickBot="1">
      <c r="A80" s="551"/>
      <c r="B80" s="541"/>
      <c r="C80" s="558"/>
      <c r="D80" s="558"/>
      <c r="E80" s="558"/>
      <c r="F80" s="558"/>
      <c r="G80" s="558"/>
      <c r="H80" s="560"/>
      <c r="I80" s="560"/>
      <c r="J80" s="560"/>
      <c r="K80" s="560"/>
      <c r="L80" s="560"/>
      <c r="M80" s="561"/>
      <c r="N80" s="1153"/>
      <c r="O80" s="1153"/>
      <c r="P80" s="556"/>
      <c r="Q80" s="557"/>
    </row>
    <row r="81" spans="1:17" s="469" customFormat="1" ht="14.4" thickTop="1">
      <c r="A81" s="551"/>
      <c r="B81" s="544">
        <f>B14</f>
        <v>111</v>
      </c>
      <c r="C81" s="521"/>
      <c r="D81" s="521"/>
      <c r="E81" s="521"/>
      <c r="F81" s="521"/>
      <c r="G81" s="521"/>
      <c r="H81" s="562"/>
      <c r="I81" s="562"/>
      <c r="J81" s="562"/>
      <c r="K81" s="562"/>
      <c r="L81" s="563"/>
      <c r="M81" s="564"/>
      <c r="N81" s="1153"/>
      <c r="O81" s="1153"/>
      <c r="P81" s="565"/>
      <c r="Q81" s="557"/>
    </row>
    <row r="82" spans="1:17" s="469" customFormat="1" ht="14.4" thickBot="1">
      <c r="A82" s="566"/>
      <c r="B82" s="567"/>
      <c r="C82" s="568"/>
      <c r="D82" s="568"/>
      <c r="E82" s="568"/>
      <c r="F82" s="568"/>
      <c r="G82" s="568"/>
      <c r="H82" s="569"/>
      <c r="I82" s="569"/>
      <c r="J82" s="569"/>
      <c r="K82" s="569"/>
      <c r="L82" s="569"/>
      <c r="M82" s="570"/>
      <c r="N82" s="1153"/>
      <c r="O82" s="1153"/>
      <c r="P82" s="556"/>
      <c r="Q82" s="557"/>
    </row>
    <row r="83" spans="1:17" ht="14.4">
      <c r="A83" s="525" t="s">
        <v>2558</v>
      </c>
      <c r="B83" s="526" t="s">
        <v>2704</v>
      </c>
      <c r="C83" s="571" t="s">
        <v>2596</v>
      </c>
      <c r="D83" s="571" t="s">
        <v>2597</v>
      </c>
      <c r="E83" s="571" t="s">
        <v>2598</v>
      </c>
      <c r="F83" s="571" t="s">
        <v>2599</v>
      </c>
      <c r="G83" s="571" t="s">
        <v>2600</v>
      </c>
      <c r="H83" s="527"/>
      <c r="I83" s="527"/>
      <c r="J83" s="527"/>
      <c r="K83" s="572"/>
      <c r="L83" s="573"/>
      <c r="M83" s="574"/>
      <c r="N83" s="1151"/>
      <c r="O83" s="1151"/>
      <c r="P83" s="575"/>
      <c r="Q83" s="502"/>
    </row>
    <row r="84" spans="1:17" ht="14.4" thickBot="1">
      <c r="A84" s="532"/>
      <c r="B84" s="541"/>
      <c r="C84" s="542">
        <v>100</v>
      </c>
      <c r="D84" s="542">
        <f>C84-$K15</f>
        <v>95</v>
      </c>
      <c r="E84" s="542">
        <f>D84-$K15</f>
        <v>90</v>
      </c>
      <c r="F84" s="542">
        <f>E84-$K15</f>
        <v>85</v>
      </c>
      <c r="G84" s="542">
        <f>F84-$K15</f>
        <v>80</v>
      </c>
      <c r="H84" s="542"/>
      <c r="I84" s="542"/>
      <c r="J84" s="542"/>
      <c r="K84" s="542"/>
      <c r="L84" s="542"/>
      <c r="M84" s="543"/>
      <c r="N84" s="1152"/>
      <c r="O84" s="1152"/>
      <c r="P84" s="44"/>
      <c r="Q84" s="502"/>
    </row>
    <row r="85" spans="1:17" ht="15" thickTop="1">
      <c r="A85" s="532"/>
      <c r="B85" s="536" t="s">
        <v>2601</v>
      </c>
      <c r="C85" s="576" t="s">
        <v>2596</v>
      </c>
      <c r="D85" s="576" t="s">
        <v>2597</v>
      </c>
      <c r="E85" s="576" t="s">
        <v>2598</v>
      </c>
      <c r="F85" s="576" t="s">
        <v>2599</v>
      </c>
      <c r="G85" s="576" t="s">
        <v>2600</v>
      </c>
      <c r="H85" s="537"/>
      <c r="I85" s="537"/>
      <c r="J85" s="537"/>
      <c r="K85" s="538"/>
      <c r="L85" s="539"/>
      <c r="M85" s="540"/>
      <c r="N85" s="1151"/>
      <c r="O85" s="1151"/>
      <c r="P85" s="44"/>
      <c r="Q85" s="502"/>
    </row>
    <row r="86" spans="1:17" ht="14.4" thickBot="1">
      <c r="A86" s="532"/>
      <c r="B86" s="541"/>
      <c r="C86" s="542">
        <v>100</v>
      </c>
      <c r="D86" s="542">
        <f>C86-$K17</f>
        <v>98</v>
      </c>
      <c r="E86" s="542">
        <f>D86-$K17</f>
        <v>96</v>
      </c>
      <c r="F86" s="542">
        <f>E86-$K17</f>
        <v>94</v>
      </c>
      <c r="G86" s="542">
        <f>F86-$K17</f>
        <v>92</v>
      </c>
      <c r="H86" s="542"/>
      <c r="I86" s="542"/>
      <c r="J86" s="542"/>
      <c r="K86" s="542"/>
      <c r="L86" s="542"/>
      <c r="M86" s="543"/>
      <c r="N86" s="1152"/>
      <c r="O86" s="1152"/>
      <c r="P86" s="44"/>
      <c r="Q86" s="502"/>
    </row>
    <row r="87" spans="1:17" s="115" customFormat="1" ht="29.4" thickTop="1">
      <c r="A87" s="577"/>
      <c r="B87" s="536" t="s">
        <v>2784</v>
      </c>
      <c r="C87" s="571" t="s">
        <v>2596</v>
      </c>
      <c r="D87" s="571" t="s">
        <v>2597</v>
      </c>
      <c r="E87" s="571" t="s">
        <v>2598</v>
      </c>
      <c r="F87" s="571" t="s">
        <v>2599</v>
      </c>
      <c r="G87" s="571" t="s">
        <v>2600</v>
      </c>
      <c r="H87" s="576"/>
      <c r="I87" s="576"/>
      <c r="J87" s="576"/>
      <c r="K87" s="576"/>
      <c r="L87" s="696"/>
      <c r="M87" s="620"/>
      <c r="N87" s="1150"/>
      <c r="O87" s="1150"/>
      <c r="P87" s="44"/>
      <c r="Q87" s="502"/>
    </row>
    <row r="88" spans="1:17" s="115" customFormat="1" ht="14.4" thickBot="1">
      <c r="A88" s="577"/>
      <c r="B88" s="541"/>
      <c r="C88" s="580">
        <v>100</v>
      </c>
      <c r="D88" s="542">
        <f>C88-$K19</f>
        <v>98</v>
      </c>
      <c r="E88" s="542">
        <f>D88-$K19</f>
        <v>96</v>
      </c>
      <c r="F88" s="542">
        <f>E88-$K19</f>
        <v>94</v>
      </c>
      <c r="G88" s="542">
        <f>F88-$K19</f>
        <v>92</v>
      </c>
      <c r="H88" s="542"/>
      <c r="I88" s="542"/>
      <c r="J88" s="542"/>
      <c r="K88" s="542"/>
      <c r="L88" s="542"/>
      <c r="M88" s="543"/>
      <c r="N88" s="1152"/>
      <c r="O88" s="1152"/>
      <c r="P88" s="44"/>
      <c r="Q88" s="502"/>
    </row>
    <row r="89" spans="1:17" s="115" customFormat="1" ht="29.4" thickTop="1">
      <c r="A89" s="577"/>
      <c r="B89" s="536" t="s">
        <v>2785</v>
      </c>
      <c r="C89" s="571" t="s">
        <v>2596</v>
      </c>
      <c r="D89" s="571" t="s">
        <v>2597</v>
      </c>
      <c r="E89" s="571" t="s">
        <v>2598</v>
      </c>
      <c r="F89" s="571" t="s">
        <v>2599</v>
      </c>
      <c r="G89" s="571" t="s">
        <v>2600</v>
      </c>
      <c r="H89" s="576"/>
      <c r="I89" s="576"/>
      <c r="J89" s="576"/>
      <c r="K89" s="576"/>
      <c r="L89" s="576"/>
      <c r="M89" s="620"/>
      <c r="N89" s="1150"/>
      <c r="O89" s="1150"/>
      <c r="P89" s="44"/>
      <c r="Q89" s="502"/>
    </row>
    <row r="90" spans="1:17" s="115" customFormat="1" ht="14.4" thickBot="1">
      <c r="A90" s="577"/>
      <c r="B90" s="541"/>
      <c r="C90" s="542">
        <v>100</v>
      </c>
      <c r="D90" s="542">
        <f>C90-$K21</f>
        <v>98</v>
      </c>
      <c r="E90" s="542">
        <f>D90-$K21</f>
        <v>96</v>
      </c>
      <c r="F90" s="542">
        <f>E90-$K21</f>
        <v>94</v>
      </c>
      <c r="G90" s="542">
        <f>F90-$K21</f>
        <v>92</v>
      </c>
      <c r="H90" s="542"/>
      <c r="I90" s="542"/>
      <c r="J90" s="542"/>
      <c r="K90" s="542"/>
      <c r="L90" s="542"/>
      <c r="M90" s="543"/>
      <c r="N90" s="1152"/>
      <c r="O90" s="1152"/>
      <c r="P90" s="44"/>
      <c r="Q90" s="502"/>
    </row>
    <row r="91" spans="1:17" s="469" customFormat="1" ht="15" thickTop="1">
      <c r="A91" s="551"/>
      <c r="B91" s="536" t="s">
        <v>2653</v>
      </c>
      <c r="C91" s="571" t="s">
        <v>2596</v>
      </c>
      <c r="D91" s="571" t="s">
        <v>2597</v>
      </c>
      <c r="E91" s="571" t="s">
        <v>2598</v>
      </c>
      <c r="F91" s="571" t="s">
        <v>2599</v>
      </c>
      <c r="G91" s="571" t="s">
        <v>2600</v>
      </c>
      <c r="H91" s="598"/>
      <c r="I91" s="598"/>
      <c r="J91" s="598"/>
      <c r="K91" s="598"/>
      <c r="L91" s="599"/>
      <c r="M91" s="600"/>
      <c r="N91" s="1153"/>
      <c r="O91" s="1153"/>
      <c r="P91" s="556"/>
      <c r="Q91" s="557"/>
    </row>
    <row r="92" spans="1:17" s="469" customFormat="1" ht="14.4" thickBot="1">
      <c r="A92" s="551"/>
      <c r="B92" s="541"/>
      <c r="C92" s="542">
        <v>100</v>
      </c>
      <c r="D92" s="542">
        <f>C92-$K23</f>
        <v>98</v>
      </c>
      <c r="E92" s="542">
        <f>D92-$K23</f>
        <v>96</v>
      </c>
      <c r="F92" s="542">
        <f>E92-$K23</f>
        <v>94</v>
      </c>
      <c r="G92" s="542">
        <f>F92-$K23</f>
        <v>92</v>
      </c>
      <c r="H92" s="605"/>
      <c r="I92" s="605"/>
      <c r="J92" s="605"/>
      <c r="K92" s="605"/>
      <c r="L92" s="605"/>
      <c r="M92" s="606"/>
      <c r="N92" s="1153"/>
      <c r="O92" s="1153"/>
      <c r="P92" s="556"/>
      <c r="Q92" s="557"/>
    </row>
    <row r="93" spans="1:17" s="469" customFormat="1" ht="15" thickTop="1">
      <c r="A93" s="551"/>
      <c r="B93" s="544" t="s">
        <v>2801</v>
      </c>
      <c r="C93" s="658" t="s">
        <v>2674</v>
      </c>
      <c r="D93" s="658" t="s">
        <v>2675</v>
      </c>
      <c r="E93" s="658" t="s">
        <v>2676</v>
      </c>
      <c r="F93" s="658" t="s">
        <v>2677</v>
      </c>
      <c r="G93" s="658" t="s">
        <v>2678</v>
      </c>
      <c r="H93" s="598"/>
      <c r="I93" s="598"/>
      <c r="J93" s="598"/>
      <c r="K93" s="598"/>
      <c r="L93" s="598"/>
      <c r="M93" s="600"/>
      <c r="N93" s="1153"/>
      <c r="O93" s="1153"/>
      <c r="P93" s="556"/>
      <c r="Q93" s="557"/>
    </row>
    <row r="94" spans="1:17" s="469" customFormat="1" ht="14.4" thickBot="1">
      <c r="A94" s="551"/>
      <c r="B94" s="544"/>
      <c r="C94" s="542">
        <v>100</v>
      </c>
      <c r="D94" s="542">
        <f>C94-$K25</f>
        <v>98</v>
      </c>
      <c r="E94" s="542">
        <f>D94-$K25</f>
        <v>96</v>
      </c>
      <c r="F94" s="542">
        <f>E94-$K25</f>
        <v>94</v>
      </c>
      <c r="G94" s="542">
        <f>F94-$K25</f>
        <v>92</v>
      </c>
      <c r="H94" s="546"/>
      <c r="I94" s="546"/>
      <c r="J94" s="546"/>
      <c r="K94" s="546"/>
      <c r="L94" s="546"/>
      <c r="M94" s="1384"/>
      <c r="N94" s="1153"/>
      <c r="O94" s="1153"/>
      <c r="P94" s="556"/>
      <c r="Q94" s="557"/>
    </row>
    <row r="95" spans="1:17" ht="15" thickTop="1">
      <c r="A95" s="532"/>
      <c r="B95" s="536" t="str">
        <f>B27</f>
        <v>临街状况</v>
      </c>
      <c r="C95" s="537" t="s">
        <v>2786</v>
      </c>
      <c r="D95" s="537" t="s">
        <v>2787</v>
      </c>
      <c r="E95" s="537" t="s">
        <v>2788</v>
      </c>
      <c r="F95" s="537" t="s">
        <v>2789</v>
      </c>
      <c r="G95" s="537"/>
      <c r="H95" s="537"/>
      <c r="I95" s="537"/>
      <c r="J95" s="537"/>
      <c r="K95" s="538"/>
      <c r="L95" s="539"/>
      <c r="M95" s="540"/>
      <c r="N95" s="1151"/>
      <c r="O95" s="1151"/>
      <c r="P95" s="44"/>
      <c r="Q95" s="502"/>
    </row>
    <row r="96" spans="1:17" ht="14.4" thickBot="1">
      <c r="A96" s="532"/>
      <c r="B96" s="541"/>
      <c r="C96" s="542">
        <v>100</v>
      </c>
      <c r="D96" s="542">
        <f t="shared" ref="D96:M96" si="23">C96-$K27</f>
        <v>100</v>
      </c>
      <c r="E96" s="542">
        <f t="shared" si="23"/>
        <v>100</v>
      </c>
      <c r="F96" s="542">
        <f t="shared" si="23"/>
        <v>100</v>
      </c>
      <c r="G96" s="542">
        <f t="shared" si="23"/>
        <v>100</v>
      </c>
      <c r="H96" s="542">
        <f t="shared" si="23"/>
        <v>100</v>
      </c>
      <c r="I96" s="542">
        <f t="shared" si="23"/>
        <v>100</v>
      </c>
      <c r="J96" s="542">
        <f t="shared" si="23"/>
        <v>100</v>
      </c>
      <c r="K96" s="542">
        <f t="shared" si="23"/>
        <v>100</v>
      </c>
      <c r="L96" s="542">
        <f t="shared" si="23"/>
        <v>100</v>
      </c>
      <c r="M96" s="542">
        <f t="shared" si="23"/>
        <v>100</v>
      </c>
      <c r="N96" s="1152"/>
      <c r="O96" s="1152"/>
      <c r="P96" s="44"/>
      <c r="Q96" s="502"/>
    </row>
    <row r="97" spans="1:17" ht="29.4" thickTop="1">
      <c r="A97" s="532"/>
      <c r="B97" s="536" t="s">
        <v>2690</v>
      </c>
      <c r="C97" s="552"/>
      <c r="D97" s="552"/>
      <c r="E97" s="552"/>
      <c r="F97" s="552"/>
      <c r="G97" s="552"/>
      <c r="H97" s="581"/>
      <c r="I97" s="581"/>
      <c r="J97" s="581"/>
      <c r="K97" s="582"/>
      <c r="L97" s="583"/>
      <c r="M97" s="584"/>
      <c r="N97" s="1151"/>
      <c r="O97" s="1151"/>
      <c r="P97" s="44"/>
      <c r="Q97" s="502"/>
    </row>
    <row r="98" spans="1:17" ht="14.4" thickBot="1">
      <c r="A98" s="532"/>
      <c r="B98" s="541"/>
      <c r="C98" s="542">
        <v>100</v>
      </c>
      <c r="D98" s="542">
        <f t="shared" ref="D98:M98" si="24">C98-$K28</f>
        <v>100</v>
      </c>
      <c r="E98" s="542">
        <f t="shared" si="24"/>
        <v>100</v>
      </c>
      <c r="F98" s="542">
        <f t="shared" si="24"/>
        <v>100</v>
      </c>
      <c r="G98" s="542">
        <f t="shared" si="24"/>
        <v>100</v>
      </c>
      <c r="H98" s="542">
        <f t="shared" si="24"/>
        <v>100</v>
      </c>
      <c r="I98" s="542">
        <f t="shared" si="24"/>
        <v>100</v>
      </c>
      <c r="J98" s="542">
        <f t="shared" si="24"/>
        <v>100</v>
      </c>
      <c r="K98" s="542">
        <f t="shared" si="24"/>
        <v>100</v>
      </c>
      <c r="L98" s="542">
        <f t="shared" si="24"/>
        <v>100</v>
      </c>
      <c r="M98" s="542">
        <f t="shared" si="24"/>
        <v>100</v>
      </c>
      <c r="N98" s="1152"/>
      <c r="O98" s="1152"/>
      <c r="P98" s="44"/>
      <c r="Q98" s="502"/>
    </row>
    <row r="99" spans="1:17" ht="15" thickTop="1">
      <c r="A99" s="532"/>
      <c r="B99" s="536" t="s">
        <v>2749</v>
      </c>
      <c r="C99" s="581"/>
      <c r="D99" s="581"/>
      <c r="E99" s="581"/>
      <c r="F99" s="581"/>
      <c r="G99" s="581"/>
      <c r="H99" s="581"/>
      <c r="I99" s="581"/>
      <c r="J99" s="581"/>
      <c r="K99" s="582"/>
      <c r="L99" s="583"/>
      <c r="M99" s="584"/>
      <c r="N99" s="1151"/>
      <c r="O99" s="1151"/>
      <c r="P99" s="44"/>
      <c r="Q99" s="502"/>
    </row>
    <row r="100" spans="1:17" ht="14.4"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2"/>
      <c r="O100" s="1152"/>
      <c r="P100" s="44"/>
      <c r="Q100" s="502"/>
    </row>
    <row r="101" spans="1:17" ht="14.4" thickTop="1">
      <c r="A101" s="532"/>
      <c r="B101" s="544">
        <f>B31</f>
        <v>111</v>
      </c>
      <c r="C101" s="552"/>
      <c r="D101" s="552"/>
      <c r="E101" s="552"/>
      <c r="F101" s="552"/>
      <c r="G101" s="585"/>
      <c r="H101" s="585"/>
      <c r="I101" s="585"/>
      <c r="J101" s="585"/>
      <c r="K101" s="586"/>
      <c r="L101" s="587"/>
      <c r="M101" s="588"/>
      <c r="N101" s="1151"/>
      <c r="O101" s="1151"/>
      <c r="P101" s="44"/>
      <c r="Q101" s="502"/>
    </row>
    <row r="102" spans="1:17" ht="14.4" thickBot="1">
      <c r="A102" s="532"/>
      <c r="B102" s="567"/>
      <c r="C102" s="558"/>
      <c r="D102" s="534"/>
      <c r="E102" s="534"/>
      <c r="F102" s="534"/>
      <c r="G102" s="589"/>
      <c r="H102" s="589"/>
      <c r="I102" s="589"/>
      <c r="J102" s="589"/>
      <c r="K102" s="589"/>
      <c r="L102" s="589"/>
      <c r="M102" s="590"/>
      <c r="N102" s="1152"/>
      <c r="O102" s="1152"/>
      <c r="P102" s="44"/>
      <c r="Q102" s="502"/>
    </row>
    <row r="103" spans="1:17" ht="14.4" thickTop="1">
      <c r="A103" s="673"/>
      <c r="B103" s="536">
        <f>B32</f>
        <v>111</v>
      </c>
      <c r="C103" s="552"/>
      <c r="D103" s="552"/>
      <c r="E103" s="552"/>
      <c r="F103" s="552"/>
      <c r="G103" s="581"/>
      <c r="H103" s="581"/>
      <c r="I103" s="581"/>
      <c r="J103" s="581"/>
      <c r="K103" s="582"/>
      <c r="L103" s="583"/>
      <c r="M103" s="584"/>
      <c r="N103" s="1151"/>
      <c r="O103" s="1151"/>
      <c r="P103" s="44"/>
      <c r="Q103" s="502"/>
    </row>
    <row r="104" spans="1:17" ht="14.4" thickBot="1">
      <c r="A104" s="532"/>
      <c r="B104" s="541"/>
      <c r="C104" s="558"/>
      <c r="D104" s="558"/>
      <c r="E104" s="558"/>
      <c r="F104" s="558"/>
      <c r="G104" s="534"/>
      <c r="H104" s="534"/>
      <c r="I104" s="534"/>
      <c r="J104" s="534"/>
      <c r="K104" s="534"/>
      <c r="L104" s="534"/>
      <c r="M104" s="535"/>
      <c r="N104" s="1152"/>
      <c r="O104" s="1152"/>
      <c r="P104" s="44"/>
      <c r="Q104" s="502"/>
    </row>
    <row r="105" spans="1:17" s="469" customFormat="1" ht="14.4" thickTop="1">
      <c r="A105" s="591"/>
      <c r="B105" s="592">
        <f>B33</f>
        <v>111</v>
      </c>
      <c r="C105" s="521"/>
      <c r="D105" s="521"/>
      <c r="E105" s="521"/>
      <c r="F105" s="521"/>
      <c r="G105" s="593"/>
      <c r="H105" s="593"/>
      <c r="I105" s="593"/>
      <c r="J105" s="594"/>
      <c r="K105" s="594"/>
      <c r="L105" s="595"/>
      <c r="M105" s="596"/>
      <c r="N105" s="1153"/>
      <c r="O105" s="1153"/>
      <c r="P105" s="556"/>
      <c r="Q105" s="557"/>
    </row>
    <row r="106" spans="1:17" s="469" customFormat="1" ht="14.4" thickBot="1">
      <c r="A106" s="551"/>
      <c r="B106" s="544"/>
      <c r="C106" s="568"/>
      <c r="D106" s="568"/>
      <c r="E106" s="568"/>
      <c r="F106" s="568"/>
      <c r="G106" s="675"/>
      <c r="H106" s="675"/>
      <c r="I106" s="675"/>
      <c r="J106" s="675"/>
      <c r="K106" s="675"/>
      <c r="L106" s="675"/>
      <c r="M106" s="697"/>
      <c r="N106" s="1152"/>
      <c r="O106" s="1152"/>
      <c r="P106" s="556"/>
      <c r="Q106" s="557"/>
    </row>
    <row r="107" spans="1:17" ht="27.6">
      <c r="A107" s="525" t="s">
        <v>2562</v>
      </c>
      <c r="B107" s="526" t="s">
        <v>2790</v>
      </c>
      <c r="C107" s="527" t="str">
        <f t="shared" ref="C107:L107" si="26">C108&amp;"(含)"&amp;"-"&amp;D108</f>
        <v>0(含)-50000</v>
      </c>
      <c r="D107" s="527" t="str">
        <f t="shared" si="26"/>
        <v>50000(含)-100000</v>
      </c>
      <c r="E107" s="527" t="str">
        <f t="shared" si="26"/>
        <v>100000(含)-150000</v>
      </c>
      <c r="F107" s="527" t="str">
        <f t="shared" si="26"/>
        <v>150000(含)-</v>
      </c>
      <c r="G107" s="527" t="str">
        <f t="shared" si="26"/>
        <v>(含)-</v>
      </c>
      <c r="H107" s="527" t="str">
        <f t="shared" si="26"/>
        <v>(含)-</v>
      </c>
      <c r="I107" s="527" t="str">
        <f t="shared" si="26"/>
        <v>(含)-</v>
      </c>
      <c r="J107" s="527" t="str">
        <f t="shared" si="26"/>
        <v>(含)-</v>
      </c>
      <c r="K107" s="1765" t="str">
        <f t="shared" si="26"/>
        <v>(含)-</v>
      </c>
      <c r="L107" s="1765" t="str">
        <f t="shared" si="26"/>
        <v>(含)-</v>
      </c>
      <c r="M107" s="1766" t="str">
        <f>M108&amp;"(含)"&amp;"-"&amp;P108</f>
        <v>(含)-</v>
      </c>
      <c r="N107" s="1151"/>
      <c r="O107" s="1151"/>
      <c r="P107" s="44"/>
      <c r="Q107" s="502"/>
    </row>
    <row r="108" spans="1:17">
      <c r="A108" s="532"/>
      <c r="B108" s="544"/>
      <c r="C108" s="593">
        <v>0</v>
      </c>
      <c r="D108" s="593">
        <v>50000</v>
      </c>
      <c r="E108" s="593">
        <v>100000</v>
      </c>
      <c r="F108" s="593">
        <v>150000</v>
      </c>
      <c r="G108" s="593"/>
      <c r="H108" s="593"/>
      <c r="I108" s="593"/>
      <c r="J108" s="594"/>
      <c r="K108" s="594"/>
      <c r="L108" s="595"/>
      <c r="M108" s="596"/>
      <c r="N108" s="1151"/>
      <c r="O108" s="1151"/>
      <c r="P108" s="44"/>
      <c r="Q108" s="502"/>
    </row>
    <row r="109" spans="1:17" ht="14.4" thickBot="1">
      <c r="A109" s="532"/>
      <c r="B109" s="541"/>
      <c r="C109" s="568">
        <v>100</v>
      </c>
      <c r="D109" s="589">
        <v>103</v>
      </c>
      <c r="E109" s="568">
        <v>106</v>
      </c>
      <c r="F109" s="589">
        <v>109</v>
      </c>
      <c r="G109" s="568"/>
      <c r="H109" s="589"/>
      <c r="I109" s="568"/>
      <c r="J109" s="589"/>
      <c r="K109" s="568"/>
      <c r="L109" s="589"/>
      <c r="M109" s="590"/>
      <c r="N109" s="1152"/>
      <c r="O109" s="1152"/>
      <c r="P109" s="44"/>
      <c r="Q109" s="502"/>
    </row>
    <row r="110" spans="1:17" ht="15" thickTop="1">
      <c r="A110" s="597"/>
      <c r="B110" s="536" t="s">
        <v>2791</v>
      </c>
      <c r="C110" s="581"/>
      <c r="D110" s="581"/>
      <c r="E110" s="581"/>
      <c r="F110" s="581"/>
      <c r="G110" s="581"/>
      <c r="H110" s="581"/>
      <c r="I110" s="581"/>
      <c r="J110" s="581"/>
      <c r="K110" s="582"/>
      <c r="L110" s="583"/>
      <c r="M110" s="584"/>
      <c r="N110" s="1151"/>
      <c r="O110" s="1151"/>
      <c r="P110" s="44"/>
      <c r="Q110" s="502"/>
    </row>
    <row r="111" spans="1:17" ht="14.4" thickBot="1">
      <c r="A111" s="532"/>
      <c r="B111" s="541"/>
      <c r="C111" s="542">
        <v>100</v>
      </c>
      <c r="D111" s="542">
        <f t="shared" ref="D111:M111" si="27">C111-$K35</f>
        <v>99</v>
      </c>
      <c r="E111" s="542">
        <f t="shared" si="27"/>
        <v>98</v>
      </c>
      <c r="F111" s="542">
        <f t="shared" si="27"/>
        <v>97</v>
      </c>
      <c r="G111" s="542">
        <f t="shared" si="27"/>
        <v>96</v>
      </c>
      <c r="H111" s="542">
        <f t="shared" si="27"/>
        <v>95</v>
      </c>
      <c r="I111" s="542">
        <f t="shared" si="27"/>
        <v>94</v>
      </c>
      <c r="J111" s="542">
        <f t="shared" si="27"/>
        <v>93</v>
      </c>
      <c r="K111" s="542">
        <f t="shared" si="27"/>
        <v>92</v>
      </c>
      <c r="L111" s="542">
        <f t="shared" si="27"/>
        <v>91</v>
      </c>
      <c r="M111" s="543">
        <f t="shared" si="27"/>
        <v>90</v>
      </c>
      <c r="N111" s="1152"/>
      <c r="O111" s="1152"/>
      <c r="P111" s="44"/>
      <c r="Q111" s="502"/>
    </row>
    <row r="112" spans="1:17" s="469" customFormat="1" ht="15" thickTop="1">
      <c r="A112" s="591"/>
      <c r="B112" s="536" t="s">
        <v>2793</v>
      </c>
      <c r="C112" s="3343" t="s">
        <v>3288</v>
      </c>
      <c r="D112" s="3343" t="s">
        <v>3292</v>
      </c>
      <c r="E112" s="3343" t="s">
        <v>3293</v>
      </c>
      <c r="F112" s="3343" t="s">
        <v>3291</v>
      </c>
      <c r="G112" s="3343" t="s">
        <v>3290</v>
      </c>
      <c r="H112" s="581"/>
      <c r="I112" s="581"/>
      <c r="J112" s="581"/>
      <c r="K112" s="582"/>
      <c r="L112" s="583"/>
      <c r="M112" s="584"/>
      <c r="N112" s="1153"/>
      <c r="O112" s="1153"/>
      <c r="P112" s="556"/>
      <c r="Q112" s="557"/>
    </row>
    <row r="113" spans="1:17" s="469" customFormat="1" ht="14.4" thickBot="1">
      <c r="A113" s="551"/>
      <c r="B113" s="541"/>
      <c r="C113" s="542">
        <v>100</v>
      </c>
      <c r="D113" s="542">
        <f t="shared" ref="D113:M113" si="28">C113-$K36</f>
        <v>99</v>
      </c>
      <c r="E113" s="542">
        <f t="shared" si="28"/>
        <v>98</v>
      </c>
      <c r="F113" s="542">
        <f t="shared" si="28"/>
        <v>97</v>
      </c>
      <c r="G113" s="542">
        <f t="shared" si="28"/>
        <v>96</v>
      </c>
      <c r="H113" s="542">
        <f t="shared" si="28"/>
        <v>95</v>
      </c>
      <c r="I113" s="542">
        <f t="shared" si="28"/>
        <v>94</v>
      </c>
      <c r="J113" s="542">
        <f t="shared" si="28"/>
        <v>93</v>
      </c>
      <c r="K113" s="542">
        <f t="shared" si="28"/>
        <v>92</v>
      </c>
      <c r="L113" s="542">
        <f t="shared" si="28"/>
        <v>91</v>
      </c>
      <c r="M113" s="543">
        <f t="shared" si="28"/>
        <v>90</v>
      </c>
      <c r="N113" s="1153"/>
      <c r="O113" s="1153"/>
      <c r="P113" s="556"/>
      <c r="Q113" s="557"/>
    </row>
    <row r="114" spans="1:17" ht="15" thickTop="1">
      <c r="A114" s="597"/>
      <c r="B114" s="536" t="s">
        <v>2794</v>
      </c>
      <c r="C114" s="552"/>
      <c r="D114" s="552"/>
      <c r="E114" s="581"/>
      <c r="F114" s="581"/>
      <c r="G114" s="581"/>
      <c r="H114" s="581"/>
      <c r="I114" s="581"/>
      <c r="J114" s="581"/>
      <c r="K114" s="582"/>
      <c r="L114" s="583"/>
      <c r="M114" s="584"/>
      <c r="N114" s="1151"/>
      <c r="O114" s="1151"/>
      <c r="P114" s="44"/>
      <c r="Q114" s="502"/>
    </row>
    <row r="115" spans="1:17" ht="14.4" thickBot="1">
      <c r="A115" s="532"/>
      <c r="B115" s="541"/>
      <c r="C115" s="542">
        <v>100</v>
      </c>
      <c r="D115" s="542">
        <f t="shared" ref="D115:M115" si="29">C115-$K37</f>
        <v>99</v>
      </c>
      <c r="E115" s="542">
        <f t="shared" si="29"/>
        <v>98</v>
      </c>
      <c r="F115" s="542">
        <f t="shared" si="29"/>
        <v>97</v>
      </c>
      <c r="G115" s="542">
        <f t="shared" si="29"/>
        <v>96</v>
      </c>
      <c r="H115" s="542">
        <f t="shared" si="29"/>
        <v>95</v>
      </c>
      <c r="I115" s="542">
        <f t="shared" si="29"/>
        <v>94</v>
      </c>
      <c r="J115" s="542">
        <f t="shared" si="29"/>
        <v>93</v>
      </c>
      <c r="K115" s="542">
        <f t="shared" si="29"/>
        <v>92</v>
      </c>
      <c r="L115" s="542">
        <f t="shared" si="29"/>
        <v>91</v>
      </c>
      <c r="M115" s="543">
        <f t="shared" si="29"/>
        <v>90</v>
      </c>
      <c r="N115" s="1152"/>
      <c r="O115" s="1152"/>
      <c r="P115" s="44"/>
      <c r="Q115" s="502"/>
    </row>
    <row r="116" spans="1:17" ht="14.4" thickTop="1">
      <c r="A116" s="597"/>
      <c r="B116" s="536">
        <f>B38</f>
        <v>111</v>
      </c>
      <c r="C116" s="552"/>
      <c r="D116" s="552"/>
      <c r="E116" s="552"/>
      <c r="F116" s="552"/>
      <c r="G116" s="552"/>
      <c r="H116" s="581"/>
      <c r="I116" s="581"/>
      <c r="J116" s="581"/>
      <c r="K116" s="582"/>
      <c r="L116" s="583"/>
      <c r="M116" s="584"/>
      <c r="N116" s="1151"/>
      <c r="O116" s="1151"/>
      <c r="P116" s="44"/>
      <c r="Q116" s="502"/>
    </row>
    <row r="117" spans="1:17" ht="14.4" thickBot="1">
      <c r="A117" s="532"/>
      <c r="B117" s="541"/>
      <c r="C117" s="558"/>
      <c r="D117" s="534"/>
      <c r="E117" s="534"/>
      <c r="F117" s="534"/>
      <c r="G117" s="534"/>
      <c r="H117" s="534"/>
      <c r="I117" s="534"/>
      <c r="J117" s="534"/>
      <c r="K117" s="534"/>
      <c r="L117" s="534"/>
      <c r="M117" s="535"/>
      <c r="N117" s="1152"/>
      <c r="O117" s="1152"/>
      <c r="P117" s="44"/>
      <c r="Q117" s="502"/>
    </row>
    <row r="118" spans="1:17" ht="14.4" thickTop="1">
      <c r="A118" s="597"/>
      <c r="B118" s="536">
        <f>B39</f>
        <v>111</v>
      </c>
      <c r="C118" s="552"/>
      <c r="D118" s="552"/>
      <c r="E118" s="552"/>
      <c r="F118" s="552"/>
      <c r="G118" s="581"/>
      <c r="H118" s="581"/>
      <c r="I118" s="581"/>
      <c r="J118" s="581"/>
      <c r="K118" s="582"/>
      <c r="L118" s="583"/>
      <c r="M118" s="584"/>
      <c r="N118" s="1151"/>
      <c r="O118" s="1151"/>
      <c r="P118" s="44"/>
      <c r="Q118" s="502"/>
    </row>
    <row r="119" spans="1:17" ht="14.4" thickBot="1">
      <c r="A119" s="532"/>
      <c r="B119" s="541"/>
      <c r="C119" s="558"/>
      <c r="D119" s="558"/>
      <c r="E119" s="558"/>
      <c r="F119" s="558"/>
      <c r="G119" s="534"/>
      <c r="H119" s="534"/>
      <c r="I119" s="534"/>
      <c r="J119" s="534"/>
      <c r="K119" s="534"/>
      <c r="L119" s="534"/>
      <c r="M119" s="535"/>
      <c r="N119" s="1152"/>
      <c r="O119" s="1152"/>
      <c r="P119" s="44"/>
      <c r="Q119" s="502"/>
    </row>
    <row r="120" spans="1:17" s="469" customFormat="1" ht="14.4" thickTop="1">
      <c r="A120" s="591"/>
      <c r="B120" s="536">
        <f>B40</f>
        <v>111</v>
      </c>
      <c r="C120" s="521"/>
      <c r="D120" s="521"/>
      <c r="E120" s="521"/>
      <c r="F120" s="521"/>
      <c r="G120" s="553"/>
      <c r="H120" s="553"/>
      <c r="I120" s="553"/>
      <c r="J120" s="553"/>
      <c r="K120" s="553"/>
      <c r="L120" s="554"/>
      <c r="M120" s="555"/>
      <c r="N120" s="1153"/>
      <c r="O120" s="1153"/>
      <c r="P120" s="556"/>
      <c r="Q120" s="557"/>
    </row>
    <row r="121" spans="1:17" s="469" customFormat="1" ht="14.4" thickBot="1">
      <c r="A121" s="566"/>
      <c r="B121" s="698"/>
      <c r="C121" s="568"/>
      <c r="D121" s="568"/>
      <c r="E121" s="568"/>
      <c r="F121" s="568"/>
      <c r="G121" s="589"/>
      <c r="H121" s="589"/>
      <c r="I121" s="589"/>
      <c r="J121" s="589"/>
      <c r="K121" s="589"/>
      <c r="L121" s="589"/>
      <c r="M121" s="590"/>
      <c r="N121" s="1153"/>
      <c r="O121" s="1153"/>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0" priority="14" stopIfTrue="1" operator="containsText" text="超过">
      <formula>NOT(ISERROR(SEARCH("超过",F46)))</formula>
    </cfRule>
  </conditionalFormatting>
  <conditionalFormatting sqref="J48">
    <cfRule type="containsText" dxfId="139" priority="13" stopIfTrue="1" operator="containsText" text="超过">
      <formula>NOT(ISERROR(SEARCH("超过",J48)))</formula>
    </cfRule>
  </conditionalFormatting>
  <conditionalFormatting sqref="H48">
    <cfRule type="containsText" dxfId="138" priority="12" stopIfTrue="1" operator="containsText" text="超过">
      <formula>NOT(ISERROR(SEARCH("超过",H48)))</formula>
    </cfRule>
  </conditionalFormatting>
  <conditionalFormatting sqref="F48">
    <cfRule type="containsText" dxfId="137" priority="11" stopIfTrue="1" operator="containsText" text="超过">
      <formula>NOT(ISERROR(SEARCH("超过",F48)))</formula>
    </cfRule>
  </conditionalFormatting>
  <conditionalFormatting sqref="F47 H47 J47">
    <cfRule type="containsText" dxfId="136" priority="10" stopIfTrue="1" operator="containsText" text="超过">
      <formula>NOT(ISERROR(SEARCH("超过",F47)))</formula>
    </cfRule>
  </conditionalFormatting>
  <conditionalFormatting sqref="E46">
    <cfRule type="expression" dxfId="135" priority="9" stopIfTrue="1">
      <formula>$F$46="超过30%"</formula>
    </cfRule>
  </conditionalFormatting>
  <conditionalFormatting sqref="G48">
    <cfRule type="expression" dxfId="134" priority="8" stopIfTrue="1">
      <formula>$H$48="超过30%"</formula>
    </cfRule>
  </conditionalFormatting>
  <conditionalFormatting sqref="E48">
    <cfRule type="expression" dxfId="133" priority="6" stopIfTrue="1">
      <formula>$F$48="超过30%"</formula>
    </cfRule>
  </conditionalFormatting>
  <conditionalFormatting sqref="G46">
    <cfRule type="expression" dxfId="132" priority="5" stopIfTrue="1">
      <formula>$H$46="超过30%"</formula>
    </cfRule>
  </conditionalFormatting>
  <conditionalFormatting sqref="G47">
    <cfRule type="expression" dxfId="131" priority="4" stopIfTrue="1">
      <formula>$H$47="超过20%"</formula>
    </cfRule>
  </conditionalFormatting>
  <conditionalFormatting sqref="I46">
    <cfRule type="expression" dxfId="130" priority="3" stopIfTrue="1">
      <formula>$J$46="超过30%"</formula>
    </cfRule>
  </conditionalFormatting>
  <conditionalFormatting sqref="I47">
    <cfRule type="expression" dxfId="129" priority="2" stopIfTrue="1">
      <formula>$J$47="超过20%"</formula>
    </cfRule>
  </conditionalFormatting>
  <conditionalFormatting sqref="I48">
    <cfRule type="expression" dxfId="128" priority="1" stopIfTrue="1">
      <formula>$J$48="超过30%"</formula>
    </cfRule>
  </conditionalFormatting>
  <conditionalFormatting sqref="E47">
    <cfRule type="expression" dxfId="12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K111"/>
    </sheetView>
  </sheetViews>
  <sheetFormatPr defaultColWidth="9" defaultRowHeight="13.8"/>
  <cols>
    <col min="1" max="1" width="13.33203125" style="3001" customWidth="1"/>
    <col min="2" max="2" width="15.77734375" style="3001" customWidth="1"/>
    <col min="3" max="3" width="15.44140625" style="3001" customWidth="1"/>
    <col min="4" max="4" width="12.21875" style="3001" customWidth="1"/>
    <col min="5" max="5" width="14.33203125" style="3001" customWidth="1"/>
    <col min="6" max="6" width="12.21875" style="3001" customWidth="1"/>
    <col min="7" max="7" width="14.44140625" style="3001" customWidth="1"/>
    <col min="8" max="8" width="12.21875" style="3001" customWidth="1"/>
    <col min="9" max="9" width="14.44140625" style="3001" customWidth="1"/>
    <col min="10" max="10" width="12.21875" style="3001" customWidth="1"/>
    <col min="11" max="11" width="12.21875" style="3331" customWidth="1"/>
    <col min="12" max="12" width="12.21875" style="3332" customWidth="1"/>
    <col min="13" max="15" width="12.21875" style="3001" customWidth="1"/>
    <col min="16" max="16" width="4.77734375" style="3001" customWidth="1"/>
    <col min="17" max="17" width="19.44140625" style="3001" customWidth="1"/>
    <col min="18" max="22" width="6.109375" style="3001" customWidth="1"/>
    <col min="23" max="23" width="5.77734375" style="3001" customWidth="1"/>
    <col min="24" max="24" width="4.21875" style="3001" customWidth="1"/>
    <col min="25" max="25" width="3.44140625" style="3001" customWidth="1"/>
    <col min="26" max="26" width="19.77734375" style="3001" customWidth="1"/>
    <col min="27" max="28" width="9.33203125" style="3001" customWidth="1"/>
    <col min="29" max="16384" width="9" style="3001"/>
  </cols>
  <sheetData>
    <row r="1" spans="1:29" s="2979" customFormat="1" ht="28.5" customHeight="1">
      <c r="A1" s="2968" t="s">
        <v>3161</v>
      </c>
      <c r="B1" s="2969"/>
      <c r="C1" s="2970" t="s">
        <v>3162</v>
      </c>
      <c r="D1" s="2971" t="s">
        <v>3163</v>
      </c>
      <c r="E1" s="2972"/>
      <c r="F1" s="2973"/>
      <c r="G1" s="2972"/>
      <c r="H1" s="2972"/>
      <c r="I1" s="2972"/>
      <c r="J1" s="2972"/>
      <c r="K1" s="2974"/>
      <c r="L1" s="2975"/>
      <c r="M1" s="2976"/>
      <c r="N1" s="2976"/>
      <c r="O1" s="2976"/>
      <c r="P1" s="2977"/>
      <c r="Q1" s="2977"/>
      <c r="R1" s="2977"/>
      <c r="S1" s="2977"/>
      <c r="T1" s="2977"/>
      <c r="U1" s="2977"/>
      <c r="V1" s="2977"/>
      <c r="W1" s="2977"/>
      <c r="X1" s="2977"/>
      <c r="Y1" s="2977"/>
      <c r="Z1" s="2977"/>
      <c r="AA1" s="2977"/>
      <c r="AB1" s="2977"/>
      <c r="AC1" s="2978"/>
    </row>
    <row r="2" spans="1:29" s="2979" customFormat="1" ht="28.5" customHeight="1">
      <c r="A2" s="243" t="s">
        <v>3164</v>
      </c>
      <c r="B2" s="2980" t="e">
        <f>F63</f>
        <v>#VALUE!</v>
      </c>
      <c r="C2" s="2981"/>
      <c r="D2" s="2981"/>
      <c r="E2" s="2981"/>
      <c r="F2" s="2982"/>
      <c r="G2" s="2981"/>
      <c r="H2" s="2981"/>
      <c r="I2" s="2981"/>
      <c r="J2" s="2981"/>
      <c r="K2" s="2983"/>
      <c r="L2" s="2984"/>
      <c r="M2" s="2985"/>
      <c r="N2" s="2985"/>
      <c r="O2" s="2985"/>
      <c r="P2" s="2977"/>
      <c r="Q2" s="2977"/>
      <c r="R2" s="2977"/>
      <c r="S2" s="2977"/>
      <c r="T2" s="2977"/>
      <c r="U2" s="2977"/>
      <c r="V2" s="2977"/>
      <c r="W2" s="2977"/>
      <c r="X2" s="2977"/>
      <c r="Y2" s="2977"/>
      <c r="Z2" s="2977"/>
      <c r="AA2" s="2977"/>
      <c r="AB2" s="2977"/>
      <c r="AC2" s="2978"/>
    </row>
    <row r="3" spans="1:29" s="2979" customFormat="1" ht="28.5" customHeight="1">
      <c r="A3" s="2986" t="s">
        <v>3165</v>
      </c>
      <c r="B3" s="2987" t="e">
        <f>ROUND(B2*10000/'[1]数据-汇总表'!E3,0)</f>
        <v>#VALUE!</v>
      </c>
      <c r="C3" s="2988"/>
      <c r="D3" s="2988"/>
      <c r="E3" s="2988"/>
      <c r="F3" s="2988"/>
      <c r="G3" s="2981"/>
      <c r="H3" s="2981"/>
      <c r="I3" s="2981"/>
      <c r="J3" s="2981"/>
      <c r="K3" s="2983"/>
      <c r="L3" s="2984"/>
      <c r="M3" s="2985"/>
      <c r="N3" s="2985"/>
      <c r="O3" s="2985"/>
      <c r="P3" s="2977"/>
      <c r="Q3" s="2977"/>
      <c r="R3" s="2977"/>
      <c r="S3" s="2977"/>
      <c r="T3" s="2977"/>
      <c r="U3" s="2977"/>
      <c r="V3" s="2977"/>
      <c r="W3" s="2977"/>
      <c r="X3" s="2977"/>
      <c r="Y3" s="2977"/>
      <c r="Z3" s="2977"/>
      <c r="AA3" s="2977"/>
      <c r="AB3" s="2989"/>
      <c r="AC3" s="2989"/>
    </row>
    <row r="4" spans="1:29" s="2979" customFormat="1" ht="28.5" customHeight="1">
      <c r="A4" s="2990" t="s">
        <v>3166</v>
      </c>
      <c r="B4" s="2991" t="e">
        <f>IF(B43="单位面积地价",C45,ROUND(B2*10000/'[1]数据-汇总表'!D3,0))</f>
        <v>#VALUE!</v>
      </c>
      <c r="C4" s="2988"/>
      <c r="D4" s="2988"/>
      <c r="E4" s="2988"/>
      <c r="F4" s="2988"/>
      <c r="G4" s="2981"/>
      <c r="H4" s="2981"/>
      <c r="I4" s="2981"/>
      <c r="J4" s="2981"/>
      <c r="K4" s="2983"/>
      <c r="L4" s="2984"/>
      <c r="M4" s="2985"/>
      <c r="N4" s="2985"/>
      <c r="O4" s="2985"/>
      <c r="P4" s="2977"/>
      <c r="Q4" s="2977"/>
      <c r="R4" s="2977"/>
      <c r="S4" s="2977"/>
      <c r="T4" s="2977"/>
      <c r="U4" s="2977"/>
      <c r="V4" s="2977"/>
      <c r="W4" s="2977"/>
      <c r="X4" s="2977"/>
      <c r="Y4" s="2977"/>
      <c r="Z4" s="2977"/>
      <c r="AA4" s="2977"/>
      <c r="AB4" s="2977"/>
      <c r="AC4" s="2989"/>
    </row>
    <row r="5" spans="1:29" s="2979" customFormat="1" ht="28.5" customHeight="1" thickBot="1">
      <c r="A5" s="241"/>
      <c r="B5" s="2992" t="e">
        <f>ROUND(B2/('[1]数据-汇总表'!D3/666.67),0)</f>
        <v>#VALUE!</v>
      </c>
      <c r="C5" s="2993" t="s">
        <v>3167</v>
      </c>
      <c r="D5" s="2988"/>
      <c r="E5" s="2988"/>
      <c r="F5" s="2988"/>
      <c r="G5" s="2981"/>
      <c r="H5" s="2981"/>
      <c r="I5" s="2981"/>
      <c r="J5" s="2981"/>
      <c r="K5" s="2983"/>
      <c r="L5" s="2984"/>
      <c r="M5" s="2985"/>
      <c r="N5" s="2985"/>
      <c r="O5" s="2985"/>
      <c r="P5" s="2977"/>
      <c r="Q5" s="2977"/>
      <c r="R5" s="2977"/>
      <c r="S5" s="2977"/>
      <c r="T5" s="2977"/>
      <c r="U5" s="2977"/>
      <c r="V5" s="2977"/>
      <c r="W5" s="2977"/>
      <c r="X5" s="2977"/>
      <c r="Y5" s="2977"/>
      <c r="Z5" s="2977"/>
      <c r="AA5" s="2977"/>
      <c r="AB5" s="2994"/>
      <c r="AC5" s="2989"/>
    </row>
    <row r="6" spans="1:29" ht="14.4">
      <c r="A6" s="2995" t="s">
        <v>3168</v>
      </c>
      <c r="B6" s="2996"/>
      <c r="C6" s="3592" t="s">
        <v>3169</v>
      </c>
      <c r="D6" s="3593"/>
      <c r="E6" s="3594" t="s">
        <v>3170</v>
      </c>
      <c r="F6" s="3595"/>
      <c r="G6" s="3592" t="s">
        <v>3171</v>
      </c>
      <c r="H6" s="3593"/>
      <c r="I6" s="3592" t="s">
        <v>3172</v>
      </c>
      <c r="J6" s="3593"/>
      <c r="K6" s="2997" t="s">
        <v>3173</v>
      </c>
      <c r="L6" s="2998"/>
      <c r="M6" s="2999"/>
      <c r="N6" s="2999"/>
      <c r="O6" s="2999"/>
      <c r="P6" s="3596" t="s">
        <v>3174</v>
      </c>
      <c r="Q6" s="3597"/>
      <c r="R6" s="3602" t="s">
        <v>3170</v>
      </c>
      <c r="S6" s="3603"/>
      <c r="T6" s="3602" t="s">
        <v>3171</v>
      </c>
      <c r="U6" s="3603"/>
      <c r="V6" s="3616" t="s">
        <v>3172</v>
      </c>
      <c r="W6" s="3616"/>
      <c r="X6" s="3000"/>
      <c r="Y6" s="3602" t="s">
        <v>3174</v>
      </c>
      <c r="Z6" s="3603"/>
      <c r="AA6" s="3589" t="s">
        <v>3170</v>
      </c>
      <c r="AB6" s="3590" t="s">
        <v>3171</v>
      </c>
      <c r="AC6" s="3589" t="s">
        <v>3172</v>
      </c>
    </row>
    <row r="7" spans="1:29">
      <c r="A7" s="3002"/>
      <c r="B7" s="3003"/>
      <c r="C7" s="3606" t="s">
        <v>3175</v>
      </c>
      <c r="D7" s="3607"/>
      <c r="E7" s="3608" t="str">
        <f>[1]土地案例!A2</f>
        <v>北京市高端制造业(房山)基地01街区01-03地块部分用地项目</v>
      </c>
      <c r="F7" s="3609"/>
      <c r="G7" s="3606" t="str">
        <f>[1]土地案例!A3</f>
        <v>北京石化新材料科技产业基地核心区东区B5-10(2)地块工业用地项目</v>
      </c>
      <c r="H7" s="3607"/>
      <c r="I7" s="3606" t="str">
        <f>[1]土地案例!A4</f>
        <v>北京高端制造业(房山)基地03街区F区工业用地项目</v>
      </c>
      <c r="J7" s="3607"/>
      <c r="K7" s="2997"/>
      <c r="L7" s="2998"/>
      <c r="M7" s="2999"/>
      <c r="N7" s="2999"/>
      <c r="O7" s="2999"/>
      <c r="P7" s="3598"/>
      <c r="Q7" s="3599"/>
      <c r="R7" s="3604"/>
      <c r="S7" s="3605"/>
      <c r="T7" s="3604"/>
      <c r="U7" s="3605"/>
      <c r="V7" s="3616"/>
      <c r="W7" s="3616"/>
      <c r="X7" s="3000"/>
      <c r="Y7" s="3604"/>
      <c r="Z7" s="3605"/>
      <c r="AA7" s="3590"/>
      <c r="AB7" s="3590"/>
      <c r="AC7" s="3590"/>
    </row>
    <row r="8" spans="1:29" ht="15" thickBot="1">
      <c r="A8" s="3004"/>
      <c r="B8" s="3005"/>
      <c r="C8" s="3610" t="s">
        <v>3176</v>
      </c>
      <c r="D8" s="3611"/>
      <c r="E8" s="3612" t="s">
        <v>3177</v>
      </c>
      <c r="F8" s="3613"/>
      <c r="G8" s="3610" t="s">
        <v>3178</v>
      </c>
      <c r="H8" s="3611"/>
      <c r="I8" s="3610" t="s">
        <v>3177</v>
      </c>
      <c r="J8" s="3611"/>
      <c r="K8" s="2997" t="s">
        <v>3179</v>
      </c>
      <c r="L8" s="2998"/>
      <c r="M8" s="2999"/>
      <c r="N8" s="2999"/>
      <c r="O8" s="2999"/>
      <c r="P8" s="3600"/>
      <c r="Q8" s="3601"/>
      <c r="R8" s="3604"/>
      <c r="S8" s="3605"/>
      <c r="T8" s="3614"/>
      <c r="U8" s="3615"/>
      <c r="V8" s="3616"/>
      <c r="W8" s="3616"/>
      <c r="X8" s="3000"/>
      <c r="Y8" s="3614"/>
      <c r="Z8" s="3615"/>
      <c r="AA8" s="3591"/>
      <c r="AB8" s="3591"/>
      <c r="AC8" s="3591"/>
    </row>
    <row r="9" spans="1:29" s="3020" customFormat="1" ht="15" thickBot="1">
      <c r="A9" s="3006"/>
      <c r="B9" s="3007" t="s">
        <v>3180</v>
      </c>
      <c r="C9" s="3008">
        <f>'[1]数据-取费表'!B2</f>
        <v>43251</v>
      </c>
      <c r="D9" s="3009">
        <v>100</v>
      </c>
      <c r="E9" s="3010" t="str">
        <f>[1]土地案例!H2</f>
        <v>2017-03-23</v>
      </c>
      <c r="F9" s="3011">
        <f>SUMIF(67:67,YEAR(E9)&amp;"-"&amp;INT((MONTH(E9)+2)/3),68:68)</f>
        <v>95</v>
      </c>
      <c r="G9" s="3012" t="str">
        <f>[1]土地案例!H3</f>
        <v>2016-11-24</v>
      </c>
      <c r="H9" s="3009">
        <f>SUMIF(67:67,YEAR(G9)&amp;"-"&amp;INT((MONTH(G9)+2)/3),68:68)</f>
        <v>94</v>
      </c>
      <c r="I9" s="3012" t="str">
        <f>[1]土地案例!H4</f>
        <v>2016-11-24</v>
      </c>
      <c r="J9" s="3009">
        <f>SUMIF(67:67,YEAR(I9)&amp;"-"&amp;INT((MONTH(I9)+2)/3),68:68)</f>
        <v>94</v>
      </c>
      <c r="K9" s="3013"/>
      <c r="L9" s="3014"/>
      <c r="M9" s="3015"/>
      <c r="N9" s="3015"/>
      <c r="O9" s="3015"/>
      <c r="P9" s="3617" t="s">
        <v>3181</v>
      </c>
      <c r="Q9" s="3618"/>
      <c r="R9" s="3016" t="s">
        <v>3182</v>
      </c>
      <c r="S9" s="3017">
        <f t="shared" ref="S9:S17" si="0">F9</f>
        <v>95</v>
      </c>
      <c r="T9" s="3016" t="s">
        <v>3182</v>
      </c>
      <c r="U9" s="3017">
        <f t="shared" ref="U9:U17" si="1">H9</f>
        <v>94</v>
      </c>
      <c r="V9" s="3016" t="s">
        <v>3182</v>
      </c>
      <c r="W9" s="3017">
        <f t="shared" ref="W9:W17" si="2">J9</f>
        <v>94</v>
      </c>
      <c r="X9" s="3018"/>
      <c r="Y9" s="3617" t="s">
        <v>3181</v>
      </c>
      <c r="Z9" s="3619"/>
      <c r="AA9" s="3019">
        <f>D9/F9</f>
        <v>1.0526315789473684</v>
      </c>
      <c r="AB9" s="3019">
        <f>D9/H9</f>
        <v>1.0638297872340425</v>
      </c>
      <c r="AC9" s="3019">
        <f>D9/J9</f>
        <v>1.0638297872340425</v>
      </c>
    </row>
    <row r="10" spans="1:29" s="3020" customFormat="1" ht="15" thickBot="1">
      <c r="A10" s="3021"/>
      <c r="B10" s="3022" t="s">
        <v>3183</v>
      </c>
      <c r="C10" s="3023" t="s">
        <v>3184</v>
      </c>
      <c r="D10" s="3009">
        <v>100</v>
      </c>
      <c r="E10" s="3024" t="s">
        <v>3185</v>
      </c>
      <c r="F10" s="3011">
        <f>SUMIF(70:70,E10,71:71)-SUMIF(70:70,C10,71:71)+100</f>
        <v>100</v>
      </c>
      <c r="G10" s="3024" t="s">
        <v>3185</v>
      </c>
      <c r="H10" s="3009">
        <f>SUMIF(70:70,G10,71:71)-SUMIF(70:70,C10,71:71)+100</f>
        <v>100</v>
      </c>
      <c r="I10" s="3024" t="s">
        <v>3185</v>
      </c>
      <c r="J10" s="3009">
        <f>SUMIF(70:70,I10,71:71)-SUMIF(70:70,C10,71:71)+100</f>
        <v>100</v>
      </c>
      <c r="K10" s="3013"/>
      <c r="L10" s="3014"/>
      <c r="M10" s="3015"/>
      <c r="N10" s="3015"/>
      <c r="O10" s="3015"/>
      <c r="P10" s="3617" t="s">
        <v>3186</v>
      </c>
      <c r="Q10" s="3619"/>
      <c r="R10" s="3016" t="s">
        <v>3182</v>
      </c>
      <c r="S10" s="3017">
        <f t="shared" si="0"/>
        <v>100</v>
      </c>
      <c r="T10" s="3016" t="s">
        <v>3182</v>
      </c>
      <c r="U10" s="3017">
        <f t="shared" si="1"/>
        <v>100</v>
      </c>
      <c r="V10" s="3016" t="s">
        <v>3182</v>
      </c>
      <c r="W10" s="3017">
        <f t="shared" si="2"/>
        <v>100</v>
      </c>
      <c r="X10" s="3018"/>
      <c r="Y10" s="3617" t="s">
        <v>3186</v>
      </c>
      <c r="Z10" s="3619"/>
      <c r="AA10" s="3019">
        <f t="shared" ref="AA10:AA42" si="3">D10/F10</f>
        <v>1</v>
      </c>
      <c r="AB10" s="3019">
        <f t="shared" ref="AB10:AB42" si="4">D10/H10</f>
        <v>1</v>
      </c>
      <c r="AC10" s="3019">
        <f t="shared" ref="AC10:AC42" si="5">D10/J10</f>
        <v>1</v>
      </c>
    </row>
    <row r="11" spans="1:29" s="3020" customFormat="1" ht="14.4">
      <c r="A11" s="3025"/>
      <c r="B11" s="3026" t="s">
        <v>3187</v>
      </c>
      <c r="C11" s="3027" t="s">
        <v>3188</v>
      </c>
      <c r="D11" s="3028">
        <v>100</v>
      </c>
      <c r="E11" s="3027" t="s">
        <v>3188</v>
      </c>
      <c r="F11" s="3028">
        <f>SUMIF(72:72,E11,73:73)-SUMIF(72:72,C11,73:73)+100</f>
        <v>100</v>
      </c>
      <c r="G11" s="3027" t="s">
        <v>3188</v>
      </c>
      <c r="H11" s="3028">
        <f>SUMIF(72:72,G11,73:73)-SUMIF(72:72,C11,73:73)+100</f>
        <v>100</v>
      </c>
      <c r="I11" s="3027" t="s">
        <v>3188</v>
      </c>
      <c r="J11" s="3028">
        <f>SUMIF(72:72,I11,73:73)-SUMIF(72:72,C11,73:73)+100</f>
        <v>100</v>
      </c>
      <c r="K11" s="3013"/>
      <c r="L11" s="3014"/>
      <c r="M11" s="3015"/>
      <c r="N11" s="3015"/>
      <c r="O11" s="3029"/>
      <c r="P11" s="3620" t="s">
        <v>3189</v>
      </c>
      <c r="Q11" s="3030" t="str">
        <f t="shared" ref="Q11:Q17" si="6">B11</f>
        <v>用途</v>
      </c>
      <c r="R11" s="3016" t="s">
        <v>3182</v>
      </c>
      <c r="S11" s="3017">
        <f t="shared" si="0"/>
        <v>100</v>
      </c>
      <c r="T11" s="3016" t="s">
        <v>3182</v>
      </c>
      <c r="U11" s="3017">
        <f t="shared" si="1"/>
        <v>100</v>
      </c>
      <c r="V11" s="3016" t="s">
        <v>3182</v>
      </c>
      <c r="W11" s="3017">
        <f t="shared" si="2"/>
        <v>100</v>
      </c>
      <c r="X11" s="3018"/>
      <c r="Y11" s="3621" t="s">
        <v>3190</v>
      </c>
      <c r="Z11" s="3031" t="str">
        <f t="shared" ref="Z11:Z17" si="7">Q11</f>
        <v>用途</v>
      </c>
      <c r="AA11" s="3019">
        <f t="shared" si="3"/>
        <v>1</v>
      </c>
      <c r="AB11" s="3019">
        <f t="shared" si="4"/>
        <v>1</v>
      </c>
      <c r="AC11" s="3019">
        <f t="shared" si="5"/>
        <v>1</v>
      </c>
    </row>
    <row r="12" spans="1:29" s="3039" customFormat="1" ht="28.8">
      <c r="A12" s="3032"/>
      <c r="B12" s="3022" t="s">
        <v>3191</v>
      </c>
      <c r="C12" s="3033">
        <f>[1]项目基本情况!I19</f>
        <v>45.68</v>
      </c>
      <c r="D12" s="3034">
        <v>100</v>
      </c>
      <c r="E12" s="3033">
        <v>50</v>
      </c>
      <c r="F12" s="3034">
        <f>ROUND(100/'[1]数据-取费表'!G16,0)</f>
        <v>103</v>
      </c>
      <c r="G12" s="3033">
        <v>50</v>
      </c>
      <c r="H12" s="3034">
        <f>ROUND(100/'[1]数据-取费表'!G16,0)</f>
        <v>103</v>
      </c>
      <c r="I12" s="3033">
        <v>50</v>
      </c>
      <c r="J12" s="3034">
        <f>ROUND(100/'[1]数据-取费表'!G16,0)</f>
        <v>103</v>
      </c>
      <c r="K12" s="3035"/>
      <c r="L12" s="3036"/>
      <c r="M12" s="3037"/>
      <c r="N12" s="3037"/>
      <c r="O12" s="3038"/>
      <c r="P12" s="3620"/>
      <c r="Q12" s="3030" t="str">
        <f t="shared" si="6"/>
        <v>土地使用年限（年）</v>
      </c>
      <c r="R12" s="3016" t="s">
        <v>3182</v>
      </c>
      <c r="S12" s="3017">
        <f t="shared" si="0"/>
        <v>103</v>
      </c>
      <c r="T12" s="3016" t="s">
        <v>3182</v>
      </c>
      <c r="U12" s="3017">
        <f t="shared" si="1"/>
        <v>103</v>
      </c>
      <c r="V12" s="3016" t="s">
        <v>3182</v>
      </c>
      <c r="W12" s="3017">
        <f t="shared" si="2"/>
        <v>103</v>
      </c>
      <c r="X12" s="3018"/>
      <c r="Y12" s="3621"/>
      <c r="Z12" s="3031" t="str">
        <f t="shared" si="7"/>
        <v>土地使用年限（年）</v>
      </c>
      <c r="AA12" s="3019">
        <f t="shared" si="3"/>
        <v>0.970873786407767</v>
      </c>
      <c r="AB12" s="3019">
        <f t="shared" si="4"/>
        <v>0.970873786407767</v>
      </c>
      <c r="AC12" s="3019">
        <f t="shared" si="5"/>
        <v>0.970873786407767</v>
      </c>
    </row>
    <row r="13" spans="1:29" ht="15.6" thickBot="1">
      <c r="A13" s="3040"/>
      <c r="B13" s="3022" t="s">
        <v>3192</v>
      </c>
      <c r="C13" s="3041">
        <f>'[1]数据-汇总表'!I6</f>
        <v>1.74</v>
      </c>
      <c r="D13" s="3034">
        <v>100</v>
      </c>
      <c r="E13" s="3041">
        <v>1.2</v>
      </c>
      <c r="F13" s="3034">
        <f>LOOKUP(E13,77:77,78:78)-LOOKUP(C13,77:77,78:78)+100</f>
        <v>100</v>
      </c>
      <c r="G13" s="3042">
        <v>1</v>
      </c>
      <c r="H13" s="3034">
        <f>LOOKUP(G13,77:77,78:78)-LOOKUP(C13,77:77,78:78)+100</f>
        <v>100</v>
      </c>
      <c r="I13" s="3041">
        <v>1.2</v>
      </c>
      <c r="J13" s="3034">
        <f>LOOKUP(I13,77:77,78:78)-LOOKUP(C13,77:77,78:78)+100</f>
        <v>100</v>
      </c>
      <c r="K13" s="3043">
        <v>2</v>
      </c>
      <c r="L13" s="3044"/>
      <c r="M13" s="2999"/>
      <c r="N13" s="2999"/>
      <c r="O13" s="3045"/>
      <c r="P13" s="3620"/>
      <c r="Q13" s="3030" t="str">
        <f t="shared" si="6"/>
        <v>容积率</v>
      </c>
      <c r="R13" s="3016" t="s">
        <v>3182</v>
      </c>
      <c r="S13" s="3017">
        <f t="shared" si="0"/>
        <v>100</v>
      </c>
      <c r="T13" s="3016" t="s">
        <v>3182</v>
      </c>
      <c r="U13" s="3017">
        <f t="shared" si="1"/>
        <v>100</v>
      </c>
      <c r="V13" s="3016" t="s">
        <v>3182</v>
      </c>
      <c r="W13" s="3017">
        <f t="shared" si="2"/>
        <v>100</v>
      </c>
      <c r="X13" s="3018"/>
      <c r="Y13" s="3621"/>
      <c r="Z13" s="3031" t="str">
        <f t="shared" si="7"/>
        <v>容积率</v>
      </c>
      <c r="AA13" s="3019">
        <f t="shared" si="3"/>
        <v>1</v>
      </c>
      <c r="AB13" s="3019">
        <f t="shared" si="4"/>
        <v>1</v>
      </c>
      <c r="AC13" s="3019">
        <f t="shared" si="5"/>
        <v>1</v>
      </c>
    </row>
    <row r="14" spans="1:29" s="3020" customFormat="1" ht="15.6" hidden="1" thickBot="1">
      <c r="A14" s="3046"/>
      <c r="B14" s="3047">
        <v>111</v>
      </c>
      <c r="C14" s="3033"/>
      <c r="D14" s="3048">
        <v>100</v>
      </c>
      <c r="E14" s="3049"/>
      <c r="F14" s="3034">
        <f>SUMIF(79:79,E14,80:80)-SUMIF(79:79,C14,80:80)+100</f>
        <v>100</v>
      </c>
      <c r="G14" s="3050"/>
      <c r="H14" s="3034">
        <f>SUMIF(79:79,G14,80:80)-SUMIF(79:79,C14,80:80)+100</f>
        <v>100</v>
      </c>
      <c r="I14" s="3049"/>
      <c r="J14" s="3034">
        <f>SUMIF(79:79,I14,80:80)-SUMIF(79:79,C14,80:80)+100</f>
        <v>100</v>
      </c>
      <c r="K14" s="3035"/>
      <c r="L14" s="3014"/>
      <c r="M14" s="3015"/>
      <c r="N14" s="3015"/>
      <c r="O14" s="3029"/>
      <c r="P14" s="3620"/>
      <c r="Q14" s="3030">
        <f t="shared" si="6"/>
        <v>111</v>
      </c>
      <c r="R14" s="3016" t="s">
        <v>3182</v>
      </c>
      <c r="S14" s="3017">
        <f t="shared" si="0"/>
        <v>100</v>
      </c>
      <c r="T14" s="3016" t="s">
        <v>3182</v>
      </c>
      <c r="U14" s="3017">
        <f t="shared" si="1"/>
        <v>100</v>
      </c>
      <c r="V14" s="3016" t="s">
        <v>3182</v>
      </c>
      <c r="W14" s="3017">
        <f t="shared" si="2"/>
        <v>100</v>
      </c>
      <c r="X14" s="3018"/>
      <c r="Y14" s="3621"/>
      <c r="Z14" s="3031">
        <f t="shared" si="7"/>
        <v>111</v>
      </c>
      <c r="AA14" s="3019">
        <f>D14/F14</f>
        <v>1</v>
      </c>
      <c r="AB14" s="3019">
        <f>D14/H14</f>
        <v>1</v>
      </c>
      <c r="AC14" s="3019">
        <f>D14/J14</f>
        <v>1</v>
      </c>
    </row>
    <row r="15" spans="1:29" ht="15.6" hidden="1" thickBot="1">
      <c r="A15" s="3046"/>
      <c r="B15" s="3047">
        <v>111</v>
      </c>
      <c r="C15" s="3051"/>
      <c r="D15" s="3052">
        <v>100</v>
      </c>
      <c r="E15" s="3049"/>
      <c r="F15" s="3034">
        <f>SUMIF(81:81,E15,82:82)-SUMIF(81:81,C15,82:82)+100</f>
        <v>100</v>
      </c>
      <c r="G15" s="3050"/>
      <c r="H15" s="3052">
        <f>SUMIF(81:81,G15,82:82)-SUMIF(81:81,C15,82:82)+100</f>
        <v>100</v>
      </c>
      <c r="I15" s="3049"/>
      <c r="J15" s="3052">
        <f>SUMIF(81:81,I15,82:82)-SUMIF(81:81,C15,82:82)+100</f>
        <v>100</v>
      </c>
      <c r="K15" s="3035"/>
      <c r="L15" s="3053"/>
      <c r="M15" s="2999"/>
      <c r="N15" s="2999"/>
      <c r="O15" s="3045"/>
      <c r="P15" s="3620"/>
      <c r="Q15" s="3030">
        <f t="shared" si="6"/>
        <v>111</v>
      </c>
      <c r="R15" s="3016" t="s">
        <v>3193</v>
      </c>
      <c r="S15" s="3017">
        <f t="shared" si="0"/>
        <v>100</v>
      </c>
      <c r="T15" s="3016" t="s">
        <v>3193</v>
      </c>
      <c r="U15" s="3017">
        <f t="shared" si="1"/>
        <v>100</v>
      </c>
      <c r="V15" s="3016" t="s">
        <v>3193</v>
      </c>
      <c r="W15" s="3017">
        <f t="shared" si="2"/>
        <v>100</v>
      </c>
      <c r="X15" s="3018"/>
      <c r="Y15" s="3621"/>
      <c r="Z15" s="3031">
        <f t="shared" si="7"/>
        <v>111</v>
      </c>
      <c r="AA15" s="3019">
        <f t="shared" si="3"/>
        <v>1</v>
      </c>
      <c r="AB15" s="3019">
        <f t="shared" si="4"/>
        <v>1</v>
      </c>
      <c r="AC15" s="3019">
        <f t="shared" si="5"/>
        <v>1</v>
      </c>
    </row>
    <row r="16" spans="1:29" ht="15.6" hidden="1" thickBot="1">
      <c r="A16" s="3054"/>
      <c r="B16" s="3055">
        <v>111</v>
      </c>
      <c r="C16" s="3056"/>
      <c r="D16" s="3057">
        <v>100</v>
      </c>
      <c r="E16" s="3049"/>
      <c r="F16" s="3057">
        <f>SUMIF(83:83,E16,84:84)-SUMIF(83:83,C16,84:84)+100</f>
        <v>100</v>
      </c>
      <c r="G16" s="3050"/>
      <c r="H16" s="3057">
        <f>SUMIF(83:83,G16,84:84)-SUMIF(83:83,C16,84:84)+100</f>
        <v>100</v>
      </c>
      <c r="I16" s="3049"/>
      <c r="J16" s="3057">
        <f>SUMIF(83:83,I16,84:84)-SUMIF(83:83,C16,84:84)+100</f>
        <v>100</v>
      </c>
      <c r="K16" s="3035"/>
      <c r="L16" s="3053"/>
      <c r="M16" s="2999"/>
      <c r="N16" s="2999"/>
      <c r="O16" s="3045"/>
      <c r="P16" s="3620"/>
      <c r="Q16" s="3030">
        <f t="shared" si="6"/>
        <v>111</v>
      </c>
      <c r="R16" s="3016" t="s">
        <v>3193</v>
      </c>
      <c r="S16" s="3017">
        <f t="shared" si="0"/>
        <v>100</v>
      </c>
      <c r="T16" s="3016" t="s">
        <v>3193</v>
      </c>
      <c r="U16" s="3017">
        <f t="shared" si="1"/>
        <v>100</v>
      </c>
      <c r="V16" s="3016" t="s">
        <v>3193</v>
      </c>
      <c r="W16" s="3017">
        <f t="shared" si="2"/>
        <v>100</v>
      </c>
      <c r="X16" s="3018"/>
      <c r="Y16" s="3621"/>
      <c r="Z16" s="3031">
        <f t="shared" si="7"/>
        <v>111</v>
      </c>
      <c r="AA16" s="3019">
        <f t="shared" si="3"/>
        <v>1</v>
      </c>
      <c r="AB16" s="3019">
        <f t="shared" si="4"/>
        <v>1</v>
      </c>
      <c r="AC16" s="3019">
        <f t="shared" si="5"/>
        <v>1</v>
      </c>
    </row>
    <row r="17" spans="1:29" ht="55.2">
      <c r="A17" s="3058" t="s">
        <v>3194</v>
      </c>
      <c r="B17" s="3059" t="s">
        <v>3195</v>
      </c>
      <c r="C17" s="3060" t="str">
        <f>[1]估价对象房地状况!G15</f>
        <v>估价对象位于XX开发区，园区建设成熟度XX，产业集聚程度XX</v>
      </c>
      <c r="D17" s="3061">
        <v>100</v>
      </c>
      <c r="E17" s="3062"/>
      <c r="F17" s="3061">
        <f>SUMIF(85:85,E18,86:86)-SUMIF(85:85,C18,86:86)+100</f>
        <v>100</v>
      </c>
      <c r="G17" s="3062"/>
      <c r="H17" s="3061">
        <f>SUMIF(85:85,G18,86:86)-SUMIF(85:85,C18,86:86)+100</f>
        <v>100</v>
      </c>
      <c r="I17" s="3063"/>
      <c r="J17" s="3061">
        <f>SUMIF(85:85,I18,86:86)-SUMIF(85:85,C18,86:86)+100</f>
        <v>100</v>
      </c>
      <c r="K17" s="3043">
        <v>2</v>
      </c>
      <c r="L17" s="3053"/>
      <c r="M17" s="2999"/>
      <c r="N17" s="2999"/>
      <c r="O17" s="3045"/>
      <c r="P17" s="3622" t="s">
        <v>3196</v>
      </c>
      <c r="Q17" s="3064" t="str">
        <f t="shared" si="6"/>
        <v>产业集聚程度</v>
      </c>
      <c r="R17" s="3065" t="s">
        <v>3182</v>
      </c>
      <c r="S17" s="3066">
        <f t="shared" si="0"/>
        <v>100</v>
      </c>
      <c r="T17" s="3065" t="s">
        <v>3182</v>
      </c>
      <c r="U17" s="3066">
        <f t="shared" si="1"/>
        <v>100</v>
      </c>
      <c r="V17" s="3065" t="s">
        <v>3182</v>
      </c>
      <c r="W17" s="3066">
        <f t="shared" si="2"/>
        <v>100</v>
      </c>
      <c r="X17" s="3000"/>
      <c r="Y17" s="3622" t="s">
        <v>3196</v>
      </c>
      <c r="Z17" s="3067" t="str">
        <f t="shared" si="7"/>
        <v>产业集聚程度</v>
      </c>
      <c r="AA17" s="3068">
        <f t="shared" si="3"/>
        <v>1</v>
      </c>
      <c r="AB17" s="3068">
        <f t="shared" si="4"/>
        <v>1</v>
      </c>
      <c r="AC17" s="3068">
        <f t="shared" si="5"/>
        <v>1</v>
      </c>
    </row>
    <row r="18" spans="1:29" ht="15">
      <c r="A18" s="3069"/>
      <c r="B18" s="3070"/>
      <c r="C18" s="3071" t="s">
        <v>3138</v>
      </c>
      <c r="D18" s="3072"/>
      <c r="E18" s="3073" t="s">
        <v>3138</v>
      </c>
      <c r="F18" s="3072"/>
      <c r="G18" s="3074" t="s">
        <v>3197</v>
      </c>
      <c r="H18" s="3075"/>
      <c r="I18" s="3074" t="s">
        <v>3197</v>
      </c>
      <c r="J18" s="3072"/>
      <c r="K18" s="3035"/>
      <c r="L18" s="3053"/>
      <c r="M18" s="2999"/>
      <c r="N18" s="2999"/>
      <c r="O18" s="3045"/>
      <c r="P18" s="3623"/>
      <c r="Q18" s="3064"/>
      <c r="R18" s="3065"/>
      <c r="S18" s="3066"/>
      <c r="T18" s="3065"/>
      <c r="U18" s="3066"/>
      <c r="V18" s="3065"/>
      <c r="W18" s="3066"/>
      <c r="X18" s="3000"/>
      <c r="Y18" s="3623"/>
      <c r="Z18" s="3067"/>
      <c r="AA18" s="3068">
        <v>1</v>
      </c>
      <c r="AB18" s="3068">
        <v>1</v>
      </c>
      <c r="AC18" s="3068">
        <v>1</v>
      </c>
    </row>
    <row r="19" spans="1:29" ht="82.8">
      <c r="A19" s="3069"/>
      <c r="B19" s="3076" t="s">
        <v>3198</v>
      </c>
      <c r="C19" s="3077" t="str">
        <f>[1]估价对象房地状况!G16</f>
        <v>估价对象周边道路状况、公共交通通达情况、停车便捷程度，综合评价交通便捷度较好</v>
      </c>
      <c r="D19" s="3075">
        <v>100</v>
      </c>
      <c r="E19" s="3078"/>
      <c r="F19" s="3079">
        <f>SUMIF(87:87,E20,88:88)-SUMIF(87:87,C20,88:88)+100</f>
        <v>100</v>
      </c>
      <c r="G19" s="3078"/>
      <c r="H19" s="3079">
        <f>SUMIF(87:87,G20,88:88)-SUMIF(87:87,C20,88:88)+100</f>
        <v>100</v>
      </c>
      <c r="I19" s="3080"/>
      <c r="J19" s="3075">
        <f>SUMIF(87:87,I20,88:88)-SUMIF(87:87,C20,88:88)+100</f>
        <v>100</v>
      </c>
      <c r="K19" s="3043">
        <v>2</v>
      </c>
      <c r="L19" s="3053"/>
      <c r="M19" s="2999"/>
      <c r="N19" s="2999"/>
      <c r="O19" s="3045"/>
      <c r="P19" s="3623"/>
      <c r="Q19" s="3064" t="str">
        <f>B19</f>
        <v>交通便捷度</v>
      </c>
      <c r="R19" s="3065" t="s">
        <v>3182</v>
      </c>
      <c r="S19" s="3066">
        <f>F19</f>
        <v>100</v>
      </c>
      <c r="T19" s="3065" t="s">
        <v>3182</v>
      </c>
      <c r="U19" s="3066">
        <f>H19</f>
        <v>100</v>
      </c>
      <c r="V19" s="3065" t="s">
        <v>3182</v>
      </c>
      <c r="W19" s="3066">
        <f>J19</f>
        <v>100</v>
      </c>
      <c r="X19" s="3000"/>
      <c r="Y19" s="3623"/>
      <c r="Z19" s="3067" t="str">
        <f>Q19</f>
        <v>交通便捷度</v>
      </c>
      <c r="AA19" s="3068">
        <f t="shared" si="3"/>
        <v>1</v>
      </c>
      <c r="AB19" s="3068">
        <f t="shared" si="4"/>
        <v>1</v>
      </c>
      <c r="AC19" s="3068">
        <f t="shared" si="5"/>
        <v>1</v>
      </c>
    </row>
    <row r="20" spans="1:29" ht="15">
      <c r="A20" s="3069"/>
      <c r="B20" s="3081"/>
      <c r="C20" s="3071" t="s">
        <v>3138</v>
      </c>
      <c r="D20" s="3072"/>
      <c r="E20" s="3082" t="s">
        <v>3197</v>
      </c>
      <c r="F20" s="3072"/>
      <c r="G20" s="3082" t="s">
        <v>3197</v>
      </c>
      <c r="H20" s="3072"/>
      <c r="I20" s="3083" t="s">
        <v>3197</v>
      </c>
      <c r="J20" s="3072"/>
      <c r="K20" s="3035"/>
      <c r="L20" s="3053"/>
      <c r="M20" s="2999"/>
      <c r="N20" s="2999"/>
      <c r="O20" s="3045"/>
      <c r="P20" s="3623"/>
      <c r="Q20" s="3064"/>
      <c r="R20" s="3065"/>
      <c r="S20" s="3066"/>
      <c r="T20" s="3065"/>
      <c r="U20" s="3066"/>
      <c r="V20" s="3065"/>
      <c r="W20" s="3066"/>
      <c r="X20" s="3000"/>
      <c r="Y20" s="3623"/>
      <c r="Z20" s="3067"/>
      <c r="AA20" s="3068">
        <v>1</v>
      </c>
      <c r="AB20" s="3068">
        <v>1</v>
      </c>
      <c r="AC20" s="3068">
        <v>1</v>
      </c>
    </row>
    <row r="21" spans="1:29" ht="28.8">
      <c r="A21" s="3002"/>
      <c r="B21" s="3076" t="s">
        <v>3199</v>
      </c>
      <c r="C21" s="3077">
        <f>[1]估价对象房地状况!G17</f>
        <v>0</v>
      </c>
      <c r="D21" s="3075">
        <v>100</v>
      </c>
      <c r="E21" s="3078"/>
      <c r="F21" s="3084">
        <f>SUMIF(89:89,E22,90:90)-SUMIF(89:89,C22,90:90)+100</f>
        <v>100</v>
      </c>
      <c r="G21" s="3080"/>
      <c r="H21" s="3084">
        <f>SUMIF(89:89,G22,90:90)-SUMIF(89:89,C22,90:90)+100</f>
        <v>100</v>
      </c>
      <c r="I21" s="3080"/>
      <c r="J21" s="3084">
        <f>SUMIF(89:89,I22,90:90)-SUMIF(89:89,C22,90:90)+100</f>
        <v>100</v>
      </c>
      <c r="K21" s="3085">
        <v>2</v>
      </c>
      <c r="L21" s="3053"/>
      <c r="M21" s="2999"/>
      <c r="N21" s="2999"/>
      <c r="O21" s="3045"/>
      <c r="P21" s="3623"/>
      <c r="Q21" s="3064" t="str">
        <f t="shared" ref="Q21:Q35" si="8">B21</f>
        <v>区域土地利用方向</v>
      </c>
      <c r="R21" s="3065" t="s">
        <v>3182</v>
      </c>
      <c r="S21" s="3066">
        <f>F21</f>
        <v>100</v>
      </c>
      <c r="T21" s="3065" t="s">
        <v>3182</v>
      </c>
      <c r="U21" s="3066">
        <f>H21</f>
        <v>100</v>
      </c>
      <c r="V21" s="3065" t="s">
        <v>3182</v>
      </c>
      <c r="W21" s="3066">
        <f>J21</f>
        <v>100</v>
      </c>
      <c r="X21" s="3000"/>
      <c r="Y21" s="3623"/>
      <c r="Z21" s="3067" t="str">
        <f>Q21</f>
        <v>区域土地利用方向</v>
      </c>
      <c r="AA21" s="3068">
        <f t="shared" si="3"/>
        <v>1</v>
      </c>
      <c r="AB21" s="3068">
        <f t="shared" si="4"/>
        <v>1</v>
      </c>
      <c r="AC21" s="3068">
        <f t="shared" si="5"/>
        <v>1</v>
      </c>
    </row>
    <row r="22" spans="1:29" ht="15">
      <c r="A22" s="3002"/>
      <c r="B22" s="3086"/>
      <c r="C22" s="3071" t="s">
        <v>3139</v>
      </c>
      <c r="D22" s="3072"/>
      <c r="E22" s="3082" t="s">
        <v>3200</v>
      </c>
      <c r="F22" s="3087"/>
      <c r="G22" s="3083" t="s">
        <v>3200</v>
      </c>
      <c r="H22" s="3087"/>
      <c r="I22" s="3083" t="s">
        <v>3200</v>
      </c>
      <c r="J22" s="3087"/>
      <c r="K22" s="3088"/>
      <c r="L22" s="3053"/>
      <c r="M22" s="2999"/>
      <c r="N22" s="2999"/>
      <c r="O22" s="3045"/>
      <c r="P22" s="3623"/>
      <c r="Q22" s="3064"/>
      <c r="R22" s="3065"/>
      <c r="S22" s="3066"/>
      <c r="T22" s="3065"/>
      <c r="U22" s="3066"/>
      <c r="V22" s="3065"/>
      <c r="W22" s="3066"/>
      <c r="X22" s="3000"/>
      <c r="Y22" s="3623"/>
      <c r="Z22" s="3067"/>
      <c r="AA22" s="3068"/>
      <c r="AB22" s="3068"/>
      <c r="AC22" s="3068"/>
    </row>
    <row r="23" spans="1:29" ht="69">
      <c r="A23" s="3002"/>
      <c r="B23" s="3081" t="s">
        <v>3201</v>
      </c>
      <c r="C23" s="3077" t="str">
        <f>[1]估价对象房地状况!G18</f>
        <v>该园区内是否有污染型企业，绿化情况，卫生条件，整体环境状况判断</v>
      </c>
      <c r="D23" s="3075">
        <v>100</v>
      </c>
      <c r="E23" s="3078"/>
      <c r="F23" s="3075">
        <f>SUMIF(91:91,E24,92:92)-SUMIF(91:91,C24,92:92)+100</f>
        <v>100</v>
      </c>
      <c r="G23" s="3078"/>
      <c r="H23" s="3075">
        <f>SUMIF(91:91,G24,92:92)-SUMIF(91:91,C24,92:92)+100</f>
        <v>102</v>
      </c>
      <c r="I23" s="3080"/>
      <c r="J23" s="3075">
        <f>SUMIF(91:91,I24,92:92)-SUMIF(91:91,C24,92:92)+100</f>
        <v>100</v>
      </c>
      <c r="K23" s="3043">
        <v>2</v>
      </c>
      <c r="L23" s="3053"/>
      <c r="M23" s="2999"/>
      <c r="N23" s="2999"/>
      <c r="O23" s="3045"/>
      <c r="P23" s="3623"/>
      <c r="Q23" s="3064" t="str">
        <f t="shared" si="8"/>
        <v>环境状况</v>
      </c>
      <c r="R23" s="3065" t="s">
        <v>3182</v>
      </c>
      <c r="S23" s="3066">
        <f>F23</f>
        <v>100</v>
      </c>
      <c r="T23" s="3065" t="s">
        <v>3182</v>
      </c>
      <c r="U23" s="3066">
        <f>H23</f>
        <v>102</v>
      </c>
      <c r="V23" s="3065" t="s">
        <v>3182</v>
      </c>
      <c r="W23" s="3066">
        <f>J23</f>
        <v>100</v>
      </c>
      <c r="X23" s="3000"/>
      <c r="Y23" s="3623"/>
      <c r="Z23" s="3067" t="str">
        <f>Q23</f>
        <v>环境状况</v>
      </c>
      <c r="AA23" s="3068">
        <f t="shared" si="3"/>
        <v>1</v>
      </c>
      <c r="AB23" s="3068">
        <f t="shared" si="4"/>
        <v>0.98039215686274506</v>
      </c>
      <c r="AC23" s="3068">
        <f t="shared" si="5"/>
        <v>1</v>
      </c>
    </row>
    <row r="24" spans="1:29" ht="15">
      <c r="A24" s="3002"/>
      <c r="B24" s="3086"/>
      <c r="C24" s="3071" t="s">
        <v>3138</v>
      </c>
      <c r="D24" s="3072"/>
      <c r="E24" s="3074" t="s">
        <v>3197</v>
      </c>
      <c r="F24" s="3072"/>
      <c r="G24" s="3074" t="s">
        <v>3200</v>
      </c>
      <c r="H24" s="3072"/>
      <c r="I24" s="3089" t="s">
        <v>3197</v>
      </c>
      <c r="J24" s="3072"/>
      <c r="K24" s="3035"/>
      <c r="L24" s="3053"/>
      <c r="M24" s="2999"/>
      <c r="N24" s="2999"/>
      <c r="O24" s="3045"/>
      <c r="P24" s="3623"/>
      <c r="Q24" s="3064"/>
      <c r="R24" s="3065"/>
      <c r="S24" s="3066"/>
      <c r="T24" s="3065"/>
      <c r="U24" s="3066"/>
      <c r="V24" s="3065"/>
      <c r="W24" s="3066"/>
      <c r="X24" s="3000"/>
      <c r="Y24" s="3623"/>
      <c r="Z24" s="3067"/>
      <c r="AA24" s="3068">
        <v>1</v>
      </c>
      <c r="AB24" s="3068">
        <v>1</v>
      </c>
      <c r="AC24" s="3068">
        <v>1</v>
      </c>
    </row>
    <row r="25" spans="1:29" s="3020" customFormat="1" ht="41.4">
      <c r="A25" s="3090"/>
      <c r="B25" s="3091" t="s">
        <v>3202</v>
      </c>
      <c r="C25" s="3077" t="str">
        <f>[1]估价对象房地状况!G19</f>
        <v>估价对象所在区域公共配套设施齐备情况</v>
      </c>
      <c r="D25" s="3075">
        <v>100</v>
      </c>
      <c r="E25" s="3078"/>
      <c r="F25" s="3075">
        <f>SUMIF(93:93,E26,94:94)-SUMIF(93:93,C26,94:94)+100</f>
        <v>100</v>
      </c>
      <c r="G25" s="3078"/>
      <c r="H25" s="3075">
        <f>SUMIF(93:93,G26,94:94)-SUMIF(93:93,C26,94:94)+100</f>
        <v>100</v>
      </c>
      <c r="I25" s="3080"/>
      <c r="J25" s="3075">
        <f>SUMIF(93:93,I26,94:94)-SUMIF(93:93,C26,94:94)+100</f>
        <v>100</v>
      </c>
      <c r="K25" s="3043">
        <v>2</v>
      </c>
      <c r="L25" s="3014"/>
      <c r="M25" s="3015"/>
      <c r="N25" s="3015"/>
      <c r="O25" s="3029"/>
      <c r="P25" s="3623"/>
      <c r="Q25" s="3030" t="str">
        <f t="shared" si="8"/>
        <v>公共配套设施</v>
      </c>
      <c r="R25" s="3016" t="s">
        <v>3203</v>
      </c>
      <c r="S25" s="3017">
        <f>F25</f>
        <v>100</v>
      </c>
      <c r="T25" s="3016" t="s">
        <v>3203</v>
      </c>
      <c r="U25" s="3017">
        <f>H25</f>
        <v>100</v>
      </c>
      <c r="V25" s="3016" t="s">
        <v>3204</v>
      </c>
      <c r="W25" s="3017">
        <f>J25</f>
        <v>100</v>
      </c>
      <c r="X25" s="3018"/>
      <c r="Y25" s="3623"/>
      <c r="Z25" s="3031" t="str">
        <f>Q25</f>
        <v>公共配套设施</v>
      </c>
      <c r="AA25" s="3068">
        <f>D25/F25</f>
        <v>1</v>
      </c>
      <c r="AB25" s="3068">
        <f>D25/H25</f>
        <v>1</v>
      </c>
      <c r="AC25" s="3068">
        <f>D25/J25</f>
        <v>1</v>
      </c>
    </row>
    <row r="26" spans="1:29" s="3020" customFormat="1" ht="15">
      <c r="A26" s="3090"/>
      <c r="B26" s="3086"/>
      <c r="C26" s="3092" t="s">
        <v>3138</v>
      </c>
      <c r="D26" s="3072"/>
      <c r="E26" s="3074" t="s">
        <v>3205</v>
      </c>
      <c r="F26" s="3072"/>
      <c r="G26" s="3074" t="s">
        <v>3205</v>
      </c>
      <c r="H26" s="3072"/>
      <c r="I26" s="3089" t="s">
        <v>3205</v>
      </c>
      <c r="J26" s="3072"/>
      <c r="K26" s="3035"/>
      <c r="L26" s="3014"/>
      <c r="M26" s="3015"/>
      <c r="N26" s="3015"/>
      <c r="O26" s="3029"/>
      <c r="P26" s="3623"/>
      <c r="Q26" s="3030"/>
      <c r="R26" s="3016"/>
      <c r="S26" s="3017"/>
      <c r="T26" s="3016"/>
      <c r="U26" s="3017"/>
      <c r="V26" s="3016"/>
      <c r="W26" s="3017"/>
      <c r="X26" s="3018"/>
      <c r="Y26" s="3623"/>
      <c r="Z26" s="3031"/>
      <c r="AA26" s="3019">
        <v>1</v>
      </c>
      <c r="AB26" s="3019">
        <v>1</v>
      </c>
      <c r="AC26" s="3019">
        <v>1</v>
      </c>
    </row>
    <row r="27" spans="1:29" s="3020" customFormat="1" ht="27.6">
      <c r="A27" s="3090"/>
      <c r="B27" s="3091" t="s">
        <v>3206</v>
      </c>
      <c r="C27" s="3077" t="str">
        <f>[1]估价对象房地状况!G20</f>
        <v>估价对象所在区域基础设施水平</v>
      </c>
      <c r="D27" s="3075">
        <v>100</v>
      </c>
      <c r="E27" s="3078"/>
      <c r="F27" s="3075">
        <f>SUMIF(95:95,E28,96:96)-SUMIF(95:95,C28,96:96)+100</f>
        <v>100</v>
      </c>
      <c r="G27" s="3078"/>
      <c r="H27" s="3075">
        <f>SUMIF(95:95,G28,96:96)-SUMIF(95:95,C28,96:96)+100</f>
        <v>100</v>
      </c>
      <c r="I27" s="3080"/>
      <c r="J27" s="3075">
        <f>SUMIF(95:95,I28,96:96)-SUMIF(95:95,C28,96:96)+100</f>
        <v>100</v>
      </c>
      <c r="K27" s="3043">
        <v>2</v>
      </c>
      <c r="L27" s="3014"/>
      <c r="M27" s="3015"/>
      <c r="N27" s="3015"/>
      <c r="O27" s="3029"/>
      <c r="P27" s="3623"/>
      <c r="Q27" s="3030" t="str">
        <f t="shared" ref="Q27" si="9">B27</f>
        <v>基础设施水平</v>
      </c>
      <c r="R27" s="3016" t="s">
        <v>3182</v>
      </c>
      <c r="S27" s="3017">
        <f>F27</f>
        <v>100</v>
      </c>
      <c r="T27" s="3016" t="s">
        <v>3182</v>
      </c>
      <c r="U27" s="3017">
        <f>H27</f>
        <v>100</v>
      </c>
      <c r="V27" s="3016" t="s">
        <v>3182</v>
      </c>
      <c r="W27" s="3017">
        <f>J27</f>
        <v>100</v>
      </c>
      <c r="X27" s="3018"/>
      <c r="Y27" s="3623"/>
      <c r="Z27" s="3031" t="str">
        <f>Q27</f>
        <v>基础设施水平</v>
      </c>
      <c r="AA27" s="3068">
        <f>D27/F27</f>
        <v>1</v>
      </c>
      <c r="AB27" s="3068">
        <f>D27/H27</f>
        <v>1</v>
      </c>
      <c r="AC27" s="3068">
        <f>D27/J27</f>
        <v>1</v>
      </c>
    </row>
    <row r="28" spans="1:29" s="3020" customFormat="1" ht="15.6" thickBot="1">
      <c r="A28" s="3090"/>
      <c r="B28" s="3086"/>
      <c r="C28" s="3092" t="s">
        <v>3207</v>
      </c>
      <c r="D28" s="3072"/>
      <c r="E28" s="3093" t="s">
        <v>3208</v>
      </c>
      <c r="F28" s="3072"/>
      <c r="G28" s="3093" t="s">
        <v>3208</v>
      </c>
      <c r="H28" s="3072"/>
      <c r="I28" s="3093" t="s">
        <v>3208</v>
      </c>
      <c r="J28" s="3072"/>
      <c r="K28" s="3035"/>
      <c r="L28" s="3014"/>
      <c r="M28" s="3015"/>
      <c r="N28" s="3015"/>
      <c r="O28" s="3029"/>
      <c r="P28" s="3623"/>
      <c r="Q28" s="3030"/>
      <c r="R28" s="3016"/>
      <c r="S28" s="3017"/>
      <c r="T28" s="3016"/>
      <c r="U28" s="3017"/>
      <c r="V28" s="3016"/>
      <c r="W28" s="3017"/>
      <c r="X28" s="3018"/>
      <c r="Y28" s="3623"/>
      <c r="Z28" s="3031"/>
      <c r="AA28" s="3019">
        <v>1</v>
      </c>
      <c r="AB28" s="3019">
        <v>1</v>
      </c>
      <c r="AC28" s="3019">
        <v>1</v>
      </c>
    </row>
    <row r="29" spans="1:29" ht="15.6" hidden="1" thickBot="1">
      <c r="A29" s="3069"/>
      <c r="B29" s="3086" t="s">
        <v>3209</v>
      </c>
      <c r="C29" s="3094"/>
      <c r="D29" s="3052">
        <v>100</v>
      </c>
      <c r="E29" s="3095"/>
      <c r="F29" s="3052">
        <f>SUMIF(97:97,E29,98:98)-SUMIF(97:97,C29,98:98)+100</f>
        <v>100</v>
      </c>
      <c r="G29" s="3095"/>
      <c r="H29" s="3052">
        <f>SUMIF(97:97,G29,98:98)-SUMIF(97:97,C29,98:98)+100</f>
        <v>100</v>
      </c>
      <c r="I29" s="3095"/>
      <c r="J29" s="3052">
        <f>SUMIF(97:97,I29,98:98)-SUMIF(97:97,C29,98:98)+100</f>
        <v>100</v>
      </c>
      <c r="K29" s="3043"/>
      <c r="L29" s="3053"/>
      <c r="M29" s="2999"/>
      <c r="N29" s="2999"/>
      <c r="O29" s="3045"/>
      <c r="P29" s="3623"/>
      <c r="Q29" s="3064" t="str">
        <f t="shared" si="8"/>
        <v>临街状况</v>
      </c>
      <c r="R29" s="3065" t="s">
        <v>3182</v>
      </c>
      <c r="S29" s="3066">
        <f t="shared" ref="S29:S42" si="10">F29</f>
        <v>100</v>
      </c>
      <c r="T29" s="3065" t="s">
        <v>3182</v>
      </c>
      <c r="U29" s="3066">
        <f t="shared" ref="U29:U42" si="11">H29</f>
        <v>100</v>
      </c>
      <c r="V29" s="3065" t="s">
        <v>3182</v>
      </c>
      <c r="W29" s="3066">
        <f t="shared" ref="W29:W42" si="12">J29</f>
        <v>100</v>
      </c>
      <c r="X29" s="3000"/>
      <c r="Y29" s="3623"/>
      <c r="Z29" s="3067" t="str">
        <f t="shared" ref="Z29:Z42" si="13">Q29</f>
        <v>临街状况</v>
      </c>
      <c r="AA29" s="3068">
        <f t="shared" si="3"/>
        <v>1</v>
      </c>
      <c r="AB29" s="3068">
        <f t="shared" si="4"/>
        <v>1</v>
      </c>
      <c r="AC29" s="3068">
        <f t="shared" si="5"/>
        <v>1</v>
      </c>
    </row>
    <row r="30" spans="1:29" ht="29.4" hidden="1" thickBot="1">
      <c r="A30" s="3069"/>
      <c r="B30" s="3081" t="s">
        <v>3210</v>
      </c>
      <c r="C30" s="3096">
        <f>[1]估价对象房地状况!G22</f>
        <v>0</v>
      </c>
      <c r="D30" s="3075">
        <v>100</v>
      </c>
      <c r="E30" s="3078"/>
      <c r="F30" s="3075">
        <f>SUMIF(99:99,E31,100:100)-SUMIF(99:99,C31,100:100)+100</f>
        <v>100</v>
      </c>
      <c r="G30" s="3078"/>
      <c r="H30" s="3075">
        <f>SUMIF(99:99,G31,100:100)-SUMIF(99:99,C31,100:100)+100</f>
        <v>100</v>
      </c>
      <c r="I30" s="3080"/>
      <c r="J30" s="3075">
        <f>SUMIF(99:99,I31,100:100)-SUMIF(99:99,C31,100:100)+100</f>
        <v>100</v>
      </c>
      <c r="K30" s="3043"/>
      <c r="L30" s="3053"/>
      <c r="M30" s="2999"/>
      <c r="N30" s="2999"/>
      <c r="O30" s="3045"/>
      <c r="P30" s="3623"/>
      <c r="Q30" s="3064" t="str">
        <f t="shared" si="8"/>
        <v>毗邻道路的类型与等级</v>
      </c>
      <c r="R30" s="3065" t="s">
        <v>3182</v>
      </c>
      <c r="S30" s="3066">
        <f t="shared" si="10"/>
        <v>100</v>
      </c>
      <c r="T30" s="3065" t="s">
        <v>3182</v>
      </c>
      <c r="U30" s="3066">
        <f t="shared" si="11"/>
        <v>100</v>
      </c>
      <c r="V30" s="3065" t="s">
        <v>3182</v>
      </c>
      <c r="W30" s="3066">
        <f t="shared" si="12"/>
        <v>100</v>
      </c>
      <c r="X30" s="3000"/>
      <c r="Y30" s="3623"/>
      <c r="Z30" s="3067" t="str">
        <f t="shared" si="13"/>
        <v>毗邻道路的类型与等级</v>
      </c>
      <c r="AA30" s="3068">
        <f t="shared" si="3"/>
        <v>1</v>
      </c>
      <c r="AB30" s="3068">
        <f t="shared" si="4"/>
        <v>1</v>
      </c>
      <c r="AC30" s="3068">
        <f t="shared" si="5"/>
        <v>1</v>
      </c>
    </row>
    <row r="31" spans="1:29" ht="15.6" hidden="1" thickBot="1">
      <c r="A31" s="3069"/>
      <c r="B31" s="3086"/>
      <c r="C31" s="3071"/>
      <c r="D31" s="3072"/>
      <c r="E31" s="3071"/>
      <c r="F31" s="3072"/>
      <c r="G31" s="3071"/>
      <c r="H31" s="3072"/>
      <c r="I31" s="3071"/>
      <c r="J31" s="3072"/>
      <c r="K31" s="3097"/>
      <c r="L31" s="3053"/>
      <c r="M31" s="2999"/>
      <c r="N31" s="2999"/>
      <c r="O31" s="3045"/>
      <c r="P31" s="3623"/>
      <c r="Q31" s="3064"/>
      <c r="R31" s="3065"/>
      <c r="S31" s="3066"/>
      <c r="T31" s="3065"/>
      <c r="U31" s="3066"/>
      <c r="V31" s="3065"/>
      <c r="W31" s="3066"/>
      <c r="X31" s="3000"/>
      <c r="Y31" s="3623"/>
      <c r="Z31" s="3067"/>
      <c r="AA31" s="3068">
        <v>1</v>
      </c>
      <c r="AB31" s="3068">
        <v>1</v>
      </c>
      <c r="AC31" s="3068">
        <v>1</v>
      </c>
    </row>
    <row r="32" spans="1:29" ht="15.6" hidden="1" thickBot="1">
      <c r="A32" s="3069"/>
      <c r="B32" s="3098" t="s">
        <v>3211</v>
      </c>
      <c r="C32" s="3099">
        <f>[1]估价对象房地状况!G23</f>
        <v>0</v>
      </c>
      <c r="D32" s="3052">
        <v>100</v>
      </c>
      <c r="E32" s="3095"/>
      <c r="F32" s="3052">
        <f>SUMIF(101:101,E32,102:102)-SUMIF(101:101,C32,102:102)+100</f>
        <v>100</v>
      </c>
      <c r="G32" s="3095"/>
      <c r="H32" s="3052">
        <f>SUMIF(101:101,G32,102:102)-SUMIF(101:101,C32,102:102)+100</f>
        <v>100</v>
      </c>
      <c r="I32" s="3095"/>
      <c r="J32" s="3052">
        <f>SUMIF(101:101,I32,102:102)-SUMIF(101:101,C32,102:102)+100</f>
        <v>100</v>
      </c>
      <c r="K32" s="3100"/>
      <c r="L32" s="3053"/>
      <c r="M32" s="2999"/>
      <c r="N32" s="2999"/>
      <c r="O32" s="3045"/>
      <c r="P32" s="3623"/>
      <c r="Q32" s="3064" t="str">
        <f t="shared" si="8"/>
        <v>土地级别</v>
      </c>
      <c r="R32" s="3065" t="s">
        <v>3182</v>
      </c>
      <c r="S32" s="3066">
        <f t="shared" si="10"/>
        <v>100</v>
      </c>
      <c r="T32" s="3065" t="s">
        <v>3182</v>
      </c>
      <c r="U32" s="3066">
        <f t="shared" si="11"/>
        <v>100</v>
      </c>
      <c r="V32" s="3065" t="s">
        <v>3182</v>
      </c>
      <c r="W32" s="3066">
        <f t="shared" si="12"/>
        <v>100</v>
      </c>
      <c r="X32" s="3000"/>
      <c r="Y32" s="3623"/>
      <c r="Z32" s="3067" t="str">
        <f t="shared" si="13"/>
        <v>土地级别</v>
      </c>
      <c r="AA32" s="3068">
        <f t="shared" si="3"/>
        <v>1</v>
      </c>
      <c r="AB32" s="3068">
        <f t="shared" si="4"/>
        <v>1</v>
      </c>
      <c r="AC32" s="3068">
        <f t="shared" si="5"/>
        <v>1</v>
      </c>
    </row>
    <row r="33" spans="1:29" ht="15.6" hidden="1" thickBot="1">
      <c r="A33" s="3002"/>
      <c r="B33" s="3101">
        <v>111</v>
      </c>
      <c r="C33" s="3050"/>
      <c r="D33" s="3052">
        <v>100</v>
      </c>
      <c r="E33" s="3102"/>
      <c r="F33" s="3052">
        <f>SUMIF(103:103,E33,104:104)-SUMIF(103:103,C33,104:104)+100</f>
        <v>100</v>
      </c>
      <c r="G33" s="3102"/>
      <c r="H33" s="3052">
        <f>SUMIF(103:103,G33,104:104)-SUMIF(103:103,C33,104:104)+100</f>
        <v>100</v>
      </c>
      <c r="I33" s="3049"/>
      <c r="J33" s="3052">
        <f>SUMIF(103:103,I33,104:104)-SUMIF(103:103,C33,104:104)+100</f>
        <v>100</v>
      </c>
      <c r="K33" s="3097"/>
      <c r="L33" s="3053"/>
      <c r="M33" s="2999"/>
      <c r="N33" s="2999"/>
      <c r="O33" s="3045"/>
      <c r="P33" s="3623"/>
      <c r="Q33" s="3064">
        <f t="shared" si="8"/>
        <v>111</v>
      </c>
      <c r="R33" s="3065" t="s">
        <v>3182</v>
      </c>
      <c r="S33" s="3066">
        <f t="shared" si="10"/>
        <v>100</v>
      </c>
      <c r="T33" s="3065" t="s">
        <v>3182</v>
      </c>
      <c r="U33" s="3066">
        <f t="shared" si="11"/>
        <v>100</v>
      </c>
      <c r="V33" s="3065" t="s">
        <v>3182</v>
      </c>
      <c r="W33" s="3066">
        <f t="shared" si="12"/>
        <v>100</v>
      </c>
      <c r="X33" s="3000"/>
      <c r="Y33" s="3623"/>
      <c r="Z33" s="3067">
        <f t="shared" si="13"/>
        <v>111</v>
      </c>
      <c r="AA33" s="3068">
        <f t="shared" si="3"/>
        <v>1</v>
      </c>
      <c r="AB33" s="3068">
        <f t="shared" si="4"/>
        <v>1</v>
      </c>
      <c r="AC33" s="3068">
        <f t="shared" si="5"/>
        <v>1</v>
      </c>
    </row>
    <row r="34" spans="1:29" ht="15.6" hidden="1" thickBot="1">
      <c r="A34" s="3103"/>
      <c r="B34" s="3104">
        <v>111</v>
      </c>
      <c r="C34" s="3050"/>
      <c r="D34" s="3052">
        <v>100</v>
      </c>
      <c r="E34" s="3102"/>
      <c r="F34" s="3052">
        <f>SUMIF(105:105,E35,106:106)-SUMIF(105:105,C35,106:106)+100</f>
        <v>100</v>
      </c>
      <c r="G34" s="3102"/>
      <c r="H34" s="3052">
        <f>SUMIF(105:105,G34,106:106)-SUMIF(105:105,C34,106:106)+100</f>
        <v>100</v>
      </c>
      <c r="I34" s="3050"/>
      <c r="J34" s="3052">
        <f>SUMIF(105:105,I34,106:106)-SUMIF(105:105,C34,106:106)+100</f>
        <v>100</v>
      </c>
      <c r="K34" s="3097"/>
      <c r="L34" s="3053"/>
      <c r="M34" s="2999"/>
      <c r="N34" s="2999"/>
      <c r="O34" s="3045"/>
      <c r="P34" s="3628" t="s">
        <v>3212</v>
      </c>
      <c r="Q34" s="3064">
        <f t="shared" si="8"/>
        <v>111</v>
      </c>
      <c r="R34" s="3065" t="s">
        <v>3182</v>
      </c>
      <c r="S34" s="3066">
        <f t="shared" si="10"/>
        <v>100</v>
      </c>
      <c r="T34" s="3065" t="s">
        <v>3182</v>
      </c>
      <c r="U34" s="3066">
        <f t="shared" si="11"/>
        <v>100</v>
      </c>
      <c r="V34" s="3065" t="s">
        <v>3182</v>
      </c>
      <c r="W34" s="3066">
        <f t="shared" si="12"/>
        <v>100</v>
      </c>
      <c r="X34" s="3000"/>
      <c r="Y34" s="3629" t="s">
        <v>3212</v>
      </c>
      <c r="Z34" s="3067">
        <f t="shared" si="13"/>
        <v>111</v>
      </c>
      <c r="AA34" s="3068">
        <f t="shared" si="3"/>
        <v>1</v>
      </c>
      <c r="AB34" s="3068">
        <f t="shared" si="4"/>
        <v>1</v>
      </c>
      <c r="AC34" s="3068">
        <f t="shared" si="5"/>
        <v>1</v>
      </c>
    </row>
    <row r="35" spans="1:29" s="3116" customFormat="1" ht="15.6" hidden="1" thickBot="1">
      <c r="A35" s="3105"/>
      <c r="B35" s="3106">
        <v>111</v>
      </c>
      <c r="C35" s="3107"/>
      <c r="D35" s="3108">
        <v>100</v>
      </c>
      <c r="E35" s="3109"/>
      <c r="F35" s="3057">
        <f>SUMIF(107:107,E35,108:108)-SUMIF(107:107,C35,108:108)+100</f>
        <v>100</v>
      </c>
      <c r="G35" s="3109"/>
      <c r="H35" s="3057">
        <f>SUMIF(107:107,G35,108:108)-SUMIF(107:107,C35,108:108)+100</f>
        <v>100</v>
      </c>
      <c r="I35" s="3107"/>
      <c r="J35" s="3057">
        <f>SUMIF(107:107,I35,108:108)-SUMIF(107:107,C35,108:108)+100</f>
        <v>100</v>
      </c>
      <c r="K35" s="3097"/>
      <c r="L35" s="3044"/>
      <c r="M35" s="3110"/>
      <c r="N35" s="3110"/>
      <c r="O35" s="3111"/>
      <c r="P35" s="3629"/>
      <c r="Q35" s="3064">
        <f t="shared" si="8"/>
        <v>111</v>
      </c>
      <c r="R35" s="3112" t="s">
        <v>3182</v>
      </c>
      <c r="S35" s="3113">
        <f t="shared" si="10"/>
        <v>100</v>
      </c>
      <c r="T35" s="3112" t="s">
        <v>3182</v>
      </c>
      <c r="U35" s="3113">
        <f t="shared" si="11"/>
        <v>100</v>
      </c>
      <c r="V35" s="3112" t="s">
        <v>3182</v>
      </c>
      <c r="W35" s="3113">
        <f t="shared" si="12"/>
        <v>100</v>
      </c>
      <c r="X35" s="3114"/>
      <c r="Y35" s="3629"/>
      <c r="Z35" s="3115">
        <f t="shared" si="13"/>
        <v>111</v>
      </c>
      <c r="AA35" s="3068">
        <f t="shared" si="3"/>
        <v>1</v>
      </c>
      <c r="AB35" s="3068">
        <f t="shared" si="4"/>
        <v>1</v>
      </c>
      <c r="AC35" s="3068">
        <f t="shared" si="5"/>
        <v>1</v>
      </c>
    </row>
    <row r="36" spans="1:29" ht="15">
      <c r="A36" s="3117" t="s">
        <v>3213</v>
      </c>
      <c r="B36" s="3086" t="s">
        <v>3214</v>
      </c>
      <c r="C36" s="3118">
        <f>'数据-基础表'!A3</f>
        <v>119876.49</v>
      </c>
      <c r="D36" s="3119">
        <v>100</v>
      </c>
      <c r="E36" s="3118">
        <f>[1]土地案例!D2</f>
        <v>55333.599999999999</v>
      </c>
      <c r="F36" s="3119">
        <f>LOOKUP(E36,110:110,111:111)-LOOKUP(C36,110:110,111:111)+100</f>
        <v>91</v>
      </c>
      <c r="G36" s="3118">
        <f>[1]土地案例!D3</f>
        <v>57769</v>
      </c>
      <c r="H36" s="3119">
        <f>LOOKUP(G36,110:110,111:111)-LOOKUP(C36,110:110,111:111)+100</f>
        <v>91</v>
      </c>
      <c r="I36" s="3120">
        <f>[1]土地案例!D4</f>
        <v>32779.72</v>
      </c>
      <c r="J36" s="3119">
        <f>LOOKUP(I36,110:110,111:111)-LOOKUP(C36,110:110,111:111)+100</f>
        <v>85</v>
      </c>
      <c r="K36" s="3097"/>
      <c r="L36" s="3053"/>
      <c r="M36" s="2999"/>
      <c r="N36" s="2999"/>
      <c r="O36" s="3045"/>
      <c r="P36" s="3629"/>
      <c r="Q36" s="3064" t="str">
        <f>B36</f>
        <v>宗地面积</v>
      </c>
      <c r="R36" s="3065" t="s">
        <v>3182</v>
      </c>
      <c r="S36" s="3066">
        <f t="shared" si="10"/>
        <v>91</v>
      </c>
      <c r="T36" s="3065" t="s">
        <v>3182</v>
      </c>
      <c r="U36" s="3066">
        <f t="shared" si="11"/>
        <v>91</v>
      </c>
      <c r="V36" s="3065" t="s">
        <v>3182</v>
      </c>
      <c r="W36" s="3066">
        <f t="shared" si="12"/>
        <v>85</v>
      </c>
      <c r="X36" s="3000"/>
      <c r="Y36" s="3629"/>
      <c r="Z36" s="3067" t="str">
        <f t="shared" si="13"/>
        <v>宗地面积</v>
      </c>
      <c r="AA36" s="3068">
        <f t="shared" si="3"/>
        <v>1.098901098901099</v>
      </c>
      <c r="AB36" s="3068">
        <f t="shared" si="4"/>
        <v>1.098901098901099</v>
      </c>
      <c r="AC36" s="3068">
        <f t="shared" si="5"/>
        <v>1.1764705882352942</v>
      </c>
    </row>
    <row r="37" spans="1:29" ht="15">
      <c r="A37" s="3121"/>
      <c r="B37" s="3098" t="s">
        <v>3215</v>
      </c>
      <c r="C37" s="3122" t="s">
        <v>3216</v>
      </c>
      <c r="D37" s="3052">
        <v>100</v>
      </c>
      <c r="E37" s="3122" t="s">
        <v>3216</v>
      </c>
      <c r="F37" s="3052">
        <f>SUMIF(112:112,E37,113:113)-SUMIF(112:112,C37,113:113)+100</f>
        <v>100</v>
      </c>
      <c r="G37" s="3122" t="s">
        <v>3216</v>
      </c>
      <c r="H37" s="3052">
        <f>SUMIF(112:112,G37,113:113)-SUMIF(112:112,C37,113:113)+100</f>
        <v>100</v>
      </c>
      <c r="I37" s="3122" t="s">
        <v>3216</v>
      </c>
      <c r="J37" s="3052">
        <f>SUMIF(112:112,I37,113:113)-SUMIF(112:112,C37,113:113)+100</f>
        <v>100</v>
      </c>
      <c r="K37" s="3100"/>
      <c r="L37" s="3053"/>
      <c r="M37" s="2999"/>
      <c r="N37" s="2999"/>
      <c r="O37" s="3045"/>
      <c r="P37" s="3629"/>
      <c r="Q37" s="3064" t="str">
        <f t="shared" ref="Q37:Q42" si="14">B37</f>
        <v>宗地形状</v>
      </c>
      <c r="R37" s="3065" t="s">
        <v>3182</v>
      </c>
      <c r="S37" s="3066">
        <f t="shared" si="10"/>
        <v>100</v>
      </c>
      <c r="T37" s="3065" t="s">
        <v>3182</v>
      </c>
      <c r="U37" s="3066">
        <f t="shared" si="11"/>
        <v>100</v>
      </c>
      <c r="V37" s="3065" t="s">
        <v>3182</v>
      </c>
      <c r="W37" s="3066">
        <f t="shared" si="12"/>
        <v>100</v>
      </c>
      <c r="X37" s="3000"/>
      <c r="Y37" s="3629"/>
      <c r="Z37" s="3067" t="str">
        <f t="shared" si="13"/>
        <v>宗地形状</v>
      </c>
      <c r="AA37" s="3068">
        <f t="shared" si="3"/>
        <v>1</v>
      </c>
      <c r="AB37" s="3068">
        <f t="shared" si="4"/>
        <v>1</v>
      </c>
      <c r="AC37" s="3068">
        <f t="shared" si="5"/>
        <v>1</v>
      </c>
    </row>
    <row r="38" spans="1:29" s="3020" customFormat="1" ht="15">
      <c r="A38" s="3123"/>
      <c r="B38" s="3124" t="s">
        <v>3217</v>
      </c>
      <c r="C38" s="3125" t="s">
        <v>3218</v>
      </c>
      <c r="D38" s="3034">
        <v>100</v>
      </c>
      <c r="E38" s="3125" t="s">
        <v>3219</v>
      </c>
      <c r="F38" s="3052">
        <f>SUMIF(114:114,E38,115:115)-SUMIF(114:114,C38,115:115)+100</f>
        <v>100</v>
      </c>
      <c r="G38" s="3125" t="s">
        <v>3219</v>
      </c>
      <c r="H38" s="3052">
        <f>SUMIF(114:114,G38,115:115)-SUMIF(114:114,C38,115:115)+100</f>
        <v>100</v>
      </c>
      <c r="I38" s="3125" t="s">
        <v>3219</v>
      </c>
      <c r="J38" s="3052">
        <f>SUMIF(114:114,I38,115:115)-SUMIF(114:114,C38,115:115)+100</f>
        <v>100</v>
      </c>
      <c r="K38" s="3100">
        <v>2</v>
      </c>
      <c r="L38" s="3014"/>
      <c r="M38" s="3015"/>
      <c r="N38" s="3015"/>
      <c r="O38" s="3029"/>
      <c r="P38" s="3629"/>
      <c r="Q38" s="3064" t="str">
        <f t="shared" si="14"/>
        <v>宗地开发程度</v>
      </c>
      <c r="R38" s="3016" t="s">
        <v>3182</v>
      </c>
      <c r="S38" s="3017">
        <f t="shared" si="10"/>
        <v>100</v>
      </c>
      <c r="T38" s="3016" t="s">
        <v>3182</v>
      </c>
      <c r="U38" s="3017">
        <f t="shared" si="11"/>
        <v>100</v>
      </c>
      <c r="V38" s="3016" t="s">
        <v>3182</v>
      </c>
      <c r="W38" s="3017">
        <f t="shared" si="12"/>
        <v>100</v>
      </c>
      <c r="X38" s="3018"/>
      <c r="Y38" s="3629"/>
      <c r="Z38" s="3031" t="str">
        <f t="shared" si="13"/>
        <v>宗地开发程度</v>
      </c>
      <c r="AA38" s="3019">
        <f t="shared" si="3"/>
        <v>1</v>
      </c>
      <c r="AB38" s="3019">
        <f t="shared" si="4"/>
        <v>1</v>
      </c>
      <c r="AC38" s="3019">
        <f t="shared" si="5"/>
        <v>1</v>
      </c>
    </row>
    <row r="39" spans="1:29" ht="15">
      <c r="A39" s="3121"/>
      <c r="B39" s="3098" t="s">
        <v>3220</v>
      </c>
      <c r="C39" s="3122" t="s">
        <v>3200</v>
      </c>
      <c r="D39" s="3052">
        <v>100</v>
      </c>
      <c r="E39" s="3122" t="s">
        <v>3200</v>
      </c>
      <c r="F39" s="3052">
        <f>SUMIF(116:116,E39,117:117)-SUMIF(116:116,C39,117:117)+100</f>
        <v>100</v>
      </c>
      <c r="G39" s="3122" t="s">
        <v>3200</v>
      </c>
      <c r="H39" s="3052">
        <f>SUMIF(116:116,G39,117:117)-SUMIF(116:116,C39,117:117)+100</f>
        <v>100</v>
      </c>
      <c r="I39" s="3122" t="s">
        <v>3200</v>
      </c>
      <c r="J39" s="3052">
        <f>SUMIF(116:116,I39,117:117)-SUMIF(116:116,C39,117:117)+100</f>
        <v>100</v>
      </c>
      <c r="K39" s="3100"/>
      <c r="L39" s="3053"/>
      <c r="M39" s="2999"/>
      <c r="N39" s="2999"/>
      <c r="O39" s="3045"/>
      <c r="P39" s="3629" t="s">
        <v>3212</v>
      </c>
      <c r="Q39" s="3064" t="str">
        <f t="shared" si="14"/>
        <v>工程地质条件</v>
      </c>
      <c r="R39" s="3065" t="s">
        <v>3182</v>
      </c>
      <c r="S39" s="3066">
        <f t="shared" si="10"/>
        <v>100</v>
      </c>
      <c r="T39" s="3065" t="s">
        <v>3182</v>
      </c>
      <c r="U39" s="3066">
        <f t="shared" si="11"/>
        <v>100</v>
      </c>
      <c r="V39" s="3065" t="s">
        <v>3182</v>
      </c>
      <c r="W39" s="3066">
        <f t="shared" si="12"/>
        <v>100</v>
      </c>
      <c r="X39" s="3000"/>
      <c r="Y39" s="3629" t="s">
        <v>3212</v>
      </c>
      <c r="Z39" s="3067" t="str">
        <f t="shared" si="13"/>
        <v>工程地质条件</v>
      </c>
      <c r="AA39" s="3068">
        <f t="shared" si="3"/>
        <v>1</v>
      </c>
      <c r="AB39" s="3068">
        <f t="shared" si="4"/>
        <v>1</v>
      </c>
      <c r="AC39" s="3068">
        <f t="shared" si="5"/>
        <v>1</v>
      </c>
    </row>
    <row r="40" spans="1:29" ht="15">
      <c r="A40" s="3121"/>
      <c r="B40" s="3104">
        <v>111</v>
      </c>
      <c r="C40" s="3050"/>
      <c r="D40" s="3052">
        <v>100</v>
      </c>
      <c r="E40" s="3050"/>
      <c r="F40" s="3052">
        <f>SUMIF(118:118,E40,119:119)-SUMIF(118:118,C40,119:119)+100</f>
        <v>100</v>
      </c>
      <c r="G40" s="3050"/>
      <c r="H40" s="3052">
        <f>SUMIF(118:118,G40,119:119)-SUMIF(118:118,C40,119:119)+100</f>
        <v>100</v>
      </c>
      <c r="I40" s="3049"/>
      <c r="J40" s="3052">
        <f>SUMIF(118:118,I40,119:119)-SUMIF(118:118,C40,119:119)+100</f>
        <v>100</v>
      </c>
      <c r="K40" s="3097"/>
      <c r="L40" s="3053"/>
      <c r="M40" s="2999"/>
      <c r="N40" s="2999"/>
      <c r="O40" s="3045"/>
      <c r="P40" s="3629"/>
      <c r="Q40" s="3064">
        <f t="shared" si="14"/>
        <v>111</v>
      </c>
      <c r="R40" s="3065" t="s">
        <v>3182</v>
      </c>
      <c r="S40" s="3066">
        <f t="shared" si="10"/>
        <v>100</v>
      </c>
      <c r="T40" s="3065" t="s">
        <v>3182</v>
      </c>
      <c r="U40" s="3066">
        <f t="shared" si="11"/>
        <v>100</v>
      </c>
      <c r="V40" s="3065" t="s">
        <v>3182</v>
      </c>
      <c r="W40" s="3066">
        <f t="shared" si="12"/>
        <v>100</v>
      </c>
      <c r="X40" s="3000"/>
      <c r="Y40" s="3629"/>
      <c r="Z40" s="3067">
        <f t="shared" si="13"/>
        <v>111</v>
      </c>
      <c r="AA40" s="3068">
        <f t="shared" si="3"/>
        <v>1</v>
      </c>
      <c r="AB40" s="3068">
        <f t="shared" si="4"/>
        <v>1</v>
      </c>
      <c r="AC40" s="3068">
        <f t="shared" si="5"/>
        <v>1</v>
      </c>
    </row>
    <row r="41" spans="1:29" ht="15">
      <c r="A41" s="3121"/>
      <c r="B41" s="3104">
        <v>111</v>
      </c>
      <c r="C41" s="3050"/>
      <c r="D41" s="3052">
        <v>100</v>
      </c>
      <c r="E41" s="3050"/>
      <c r="F41" s="3052">
        <f>SUMIF(120:120,E41,121:121)-SUMIF(120:120,C41,121:121)+100</f>
        <v>100</v>
      </c>
      <c r="G41" s="3050"/>
      <c r="H41" s="3052">
        <f>SUMIF(120:120,G41,121:121)-SUMIF(120:120,C41,121:121)+100</f>
        <v>100</v>
      </c>
      <c r="I41" s="3049"/>
      <c r="J41" s="3052">
        <f>SUMIF(120:120,I41,121:121)-SUMIF(120:120,C41,121:121)+100</f>
        <v>100</v>
      </c>
      <c r="K41" s="3097"/>
      <c r="L41" s="3053"/>
      <c r="M41" s="2999"/>
      <c r="N41" s="2999"/>
      <c r="O41" s="3045"/>
      <c r="P41" s="3629"/>
      <c r="Q41" s="3064">
        <f t="shared" si="14"/>
        <v>111</v>
      </c>
      <c r="R41" s="3065" t="s">
        <v>3182</v>
      </c>
      <c r="S41" s="3066">
        <f t="shared" si="10"/>
        <v>100</v>
      </c>
      <c r="T41" s="3065" t="s">
        <v>3182</v>
      </c>
      <c r="U41" s="3066">
        <f t="shared" si="11"/>
        <v>100</v>
      </c>
      <c r="V41" s="3065" t="s">
        <v>3182</v>
      </c>
      <c r="W41" s="3066">
        <f t="shared" si="12"/>
        <v>100</v>
      </c>
      <c r="X41" s="3000"/>
      <c r="Y41" s="3629"/>
      <c r="Z41" s="3067">
        <f t="shared" si="13"/>
        <v>111</v>
      </c>
      <c r="AA41" s="3068">
        <f t="shared" si="3"/>
        <v>1</v>
      </c>
      <c r="AB41" s="3068">
        <f t="shared" si="4"/>
        <v>1</v>
      </c>
      <c r="AC41" s="3068">
        <f t="shared" si="5"/>
        <v>1</v>
      </c>
    </row>
    <row r="42" spans="1:29" s="3116" customFormat="1" ht="15.6" thickBot="1">
      <c r="A42" s="3126"/>
      <c r="B42" s="3104">
        <v>111</v>
      </c>
      <c r="C42" s="3127"/>
      <c r="D42" s="3108">
        <v>100</v>
      </c>
      <c r="E42" s="3050"/>
      <c r="F42" s="3057">
        <f>SUMIF(122:122,E42,123:123)-SUMIF(122:122,C42,123:123)+100</f>
        <v>100</v>
      </c>
      <c r="G42" s="3050"/>
      <c r="H42" s="3057">
        <f>SUMIF(122:122,G42,123:123)-SUMIF(122:122,C42,123:123)+100</f>
        <v>100</v>
      </c>
      <c r="I42" s="3049"/>
      <c r="J42" s="3057">
        <f>SUMIF(122:122,I42,123:123)-SUMIF(122:122,C42,123:123)+100</f>
        <v>100</v>
      </c>
      <c r="K42" s="3128"/>
      <c r="L42" s="3044"/>
      <c r="M42" s="3110"/>
      <c r="N42" s="3110"/>
      <c r="O42" s="3111"/>
      <c r="P42" s="3629"/>
      <c r="Q42" s="3064">
        <f t="shared" si="14"/>
        <v>111</v>
      </c>
      <c r="R42" s="3112" t="s">
        <v>3182</v>
      </c>
      <c r="S42" s="3113">
        <f t="shared" si="10"/>
        <v>100</v>
      </c>
      <c r="T42" s="3112" t="s">
        <v>3182</v>
      </c>
      <c r="U42" s="3113">
        <f t="shared" si="11"/>
        <v>100</v>
      </c>
      <c r="V42" s="3112" t="s">
        <v>3182</v>
      </c>
      <c r="W42" s="3113">
        <f t="shared" si="12"/>
        <v>100</v>
      </c>
      <c r="X42" s="3114"/>
      <c r="Y42" s="3629"/>
      <c r="Z42" s="3115">
        <f t="shared" si="13"/>
        <v>111</v>
      </c>
      <c r="AA42" s="3068">
        <f t="shared" si="3"/>
        <v>1</v>
      </c>
      <c r="AB42" s="3068">
        <f t="shared" si="4"/>
        <v>1</v>
      </c>
      <c r="AC42" s="3068">
        <f t="shared" si="5"/>
        <v>1</v>
      </c>
    </row>
    <row r="43" spans="1:29" ht="14.4">
      <c r="A43" s="3129" t="s">
        <v>3221</v>
      </c>
      <c r="B43" s="3130" t="s">
        <v>3222</v>
      </c>
      <c r="C43" s="3131" t="s">
        <v>3223</v>
      </c>
      <c r="D43" s="3132"/>
      <c r="E43" s="3133">
        <v>1451</v>
      </c>
      <c r="F43" s="3134"/>
      <c r="G43" s="3135">
        <v>1299</v>
      </c>
      <c r="H43" s="3136"/>
      <c r="I43" s="3133">
        <v>1133</v>
      </c>
      <c r="J43" s="3136"/>
      <c r="K43" s="3137"/>
      <c r="L43" s="3138"/>
      <c r="M43" s="2999"/>
      <c r="N43" s="2999"/>
      <c r="O43" s="3139"/>
      <c r="P43" s="3620" t="str">
        <f>A43</f>
        <v>成交单价</v>
      </c>
      <c r="Q43" s="3620"/>
      <c r="R43" s="3616">
        <f>E43</f>
        <v>1451</v>
      </c>
      <c r="S43" s="3616"/>
      <c r="T43" s="3616">
        <f>G43</f>
        <v>1299</v>
      </c>
      <c r="U43" s="3616"/>
      <c r="V43" s="3616">
        <f>I43</f>
        <v>1133</v>
      </c>
      <c r="W43" s="3616"/>
      <c r="X43" s="3140"/>
      <c r="Y43" s="3141"/>
      <c r="Z43" s="3140"/>
      <c r="AA43" s="3140"/>
      <c r="AB43" s="3140"/>
      <c r="AC43" s="3140"/>
    </row>
    <row r="44" spans="1:29" ht="15" thickBot="1">
      <c r="A44" s="3142" t="s">
        <v>3224</v>
      </c>
      <c r="B44" s="3143"/>
      <c r="C44" s="3144">
        <f>R45</f>
        <v>1484</v>
      </c>
      <c r="D44" s="3145"/>
      <c r="E44" s="3144">
        <f>R44</f>
        <v>1630</v>
      </c>
      <c r="F44" s="3146"/>
      <c r="G44" s="3147">
        <f>T44</f>
        <v>1445</v>
      </c>
      <c r="H44" s="3145"/>
      <c r="I44" s="3144">
        <f>V44</f>
        <v>1377</v>
      </c>
      <c r="J44" s="3145"/>
      <c r="K44" s="3148"/>
      <c r="L44" s="3138"/>
      <c r="M44" s="2999"/>
      <c r="N44" s="2999"/>
      <c r="O44" s="3139"/>
      <c r="P44" s="3620" t="str">
        <f>A44</f>
        <v>比较价格（元/平方米）</v>
      </c>
      <c r="Q44" s="3620"/>
      <c r="R44" s="3624">
        <f>ROUND(PRODUCT(R43,AA9:AA42),0)</f>
        <v>1630</v>
      </c>
      <c r="S44" s="3624"/>
      <c r="T44" s="3624">
        <f>ROUND(PRODUCT(T43,AB9:AB42),0)</f>
        <v>1445</v>
      </c>
      <c r="U44" s="3624"/>
      <c r="V44" s="3624">
        <f>ROUND(PRODUCT(V43,AC9:AC42),0)</f>
        <v>1377</v>
      </c>
      <c r="W44" s="3624"/>
      <c r="X44" s="3140"/>
      <c r="Y44" s="3140"/>
      <c r="Z44" s="3140"/>
      <c r="AA44" s="3140"/>
      <c r="AB44" s="3140"/>
      <c r="AC44" s="3140"/>
    </row>
    <row r="45" spans="1:29" ht="15" thickBot="1">
      <c r="A45" s="3149" t="s">
        <v>3225</v>
      </c>
      <c r="B45" s="3150"/>
      <c r="C45" s="3151">
        <f>R45</f>
        <v>1484</v>
      </c>
      <c r="D45" s="3151"/>
      <c r="E45" s="3151"/>
      <c r="F45" s="3151"/>
      <c r="G45" s="3151"/>
      <c r="H45" s="3151"/>
      <c r="I45" s="3151"/>
      <c r="J45" s="3151"/>
      <c r="K45" s="3152"/>
      <c r="L45" s="3138"/>
      <c r="M45" s="2999"/>
      <c r="N45" s="2999"/>
      <c r="O45" s="3139"/>
      <c r="P45" s="3625" t="str">
        <f>A45</f>
        <v>估价对象XX用房的比较价格（楼面单价，元/平方米）</v>
      </c>
      <c r="Q45" s="3626"/>
      <c r="R45" s="3627">
        <f>ROUND(AVERAGE(R44:V44),0)</f>
        <v>1484</v>
      </c>
      <c r="S45" s="3627"/>
      <c r="T45" s="3627"/>
      <c r="U45" s="3627"/>
      <c r="V45" s="3627"/>
      <c r="W45" s="3627"/>
      <c r="X45" s="3140"/>
      <c r="Y45" s="3140"/>
      <c r="Z45" s="3140"/>
      <c r="AA45" s="3140"/>
      <c r="AB45" s="3140"/>
      <c r="AC45" s="3140"/>
    </row>
    <row r="46" spans="1:29">
      <c r="A46" s="3139"/>
      <c r="B46" s="3139"/>
      <c r="C46" s="3139"/>
      <c r="D46" s="3139"/>
      <c r="E46" s="3139"/>
      <c r="F46" s="3139"/>
      <c r="G46" s="3153"/>
      <c r="H46" s="3139"/>
      <c r="I46" s="3139"/>
      <c r="J46" s="3139"/>
      <c r="K46" s="3154"/>
      <c r="L46" s="3155"/>
      <c r="M46" s="2999"/>
      <c r="N46" s="2999"/>
      <c r="O46" s="3139"/>
      <c r="P46" s="3140"/>
      <c r="Q46" s="3140"/>
      <c r="R46" s="3140"/>
      <c r="S46" s="3140"/>
      <c r="T46" s="3140"/>
      <c r="U46" s="3140"/>
      <c r="V46" s="3140"/>
      <c r="W46" s="3140"/>
      <c r="X46" s="3140"/>
      <c r="Y46" s="3140"/>
      <c r="Z46" s="3140"/>
      <c r="AA46" s="3140"/>
      <c r="AB46" s="3140"/>
      <c r="AC46" s="3140"/>
    </row>
    <row r="47" spans="1:29">
      <c r="A47" s="3139"/>
      <c r="B47" s="3139"/>
      <c r="C47" s="3139"/>
      <c r="D47" s="3139"/>
      <c r="E47" s="3139"/>
      <c r="F47" s="3139"/>
      <c r="G47" s="3139"/>
      <c r="H47" s="3139"/>
      <c r="I47" s="3139"/>
      <c r="J47" s="3139"/>
      <c r="K47" s="3154"/>
      <c r="L47" s="3155"/>
      <c r="M47" s="2999"/>
      <c r="N47" s="2999"/>
      <c r="O47" s="3139"/>
      <c r="P47" s="3139"/>
      <c r="Q47" s="3139"/>
      <c r="R47" s="3139"/>
      <c r="S47" s="3139"/>
      <c r="T47" s="3139"/>
      <c r="U47" s="3139"/>
      <c r="V47" s="3139"/>
      <c r="W47" s="3139"/>
      <c r="X47" s="3139"/>
      <c r="Y47" s="3139"/>
      <c r="Z47" s="3139"/>
      <c r="AA47" s="3139"/>
      <c r="AB47" s="3139"/>
      <c r="AC47" s="3139"/>
    </row>
    <row r="48" spans="1:29" ht="13.5" customHeight="1">
      <c r="A48" s="3139"/>
      <c r="B48" s="3139"/>
      <c r="C48" s="3156" t="s">
        <v>3226</v>
      </c>
      <c r="D48" s="3157"/>
      <c r="E48" s="3158">
        <f>IF(E43&lt;E44,E44/E43-1,E43/E44-1)</f>
        <v>0.12336319779462435</v>
      </c>
      <c r="F48" s="3159" t="str">
        <f>IF(OR(E48&gt;=0.3,E48&lt;=-0.3),"超过30%","")</f>
        <v/>
      </c>
      <c r="G48" s="3158">
        <f>IF(G43&lt;G44,G44/G43-1,G43/G44-1)</f>
        <v>0.1123941493456504</v>
      </c>
      <c r="H48" s="3159" t="str">
        <f>IF(OR(G48&gt;=0.3,G48&lt;=-0.3),"超过30%","")</f>
        <v/>
      </c>
      <c r="I48" s="3158">
        <f>IF(I43&lt;I44,I44/I43-1,I43/I44-1)</f>
        <v>0.21535745807590478</v>
      </c>
      <c r="J48" s="3159" t="str">
        <f>IF(OR(I48&gt;=0.3,I48&lt;=-0.3),"超过30%","")</f>
        <v/>
      </c>
      <c r="K48" s="3154"/>
      <c r="L48" s="3155"/>
      <c r="M48" s="2999"/>
      <c r="N48" s="2999"/>
      <c r="O48" s="3139"/>
      <c r="P48" s="3139"/>
      <c r="Q48" s="3139"/>
      <c r="R48" s="3139"/>
      <c r="S48" s="3139"/>
      <c r="T48" s="3139"/>
      <c r="U48" s="3139"/>
      <c r="V48" s="3139"/>
      <c r="W48" s="3139"/>
      <c r="X48" s="3139"/>
      <c r="Y48" s="3139"/>
      <c r="Z48" s="3139"/>
      <c r="AA48" s="3139"/>
      <c r="AB48" s="3139"/>
      <c r="AC48" s="3139"/>
    </row>
    <row r="49" spans="1:29" ht="13.5" customHeight="1">
      <c r="A49" s="3139"/>
      <c r="B49" s="3139"/>
      <c r="C49" s="3156" t="s">
        <v>3227</v>
      </c>
      <c r="D49" s="3160"/>
      <c r="E49" s="3158">
        <f>IF(E44&lt;G44,G44/E44-1,E44/G44-1)</f>
        <v>0.12802768166089962</v>
      </c>
      <c r="F49" s="3159" t="str">
        <f>IF(OR(E49&gt;=0.2,E49&lt;=-0.2),"超过20%","")</f>
        <v/>
      </c>
      <c r="G49" s="3158">
        <f>IF(G44&lt;I44,I44/G44-1,G44/I44-1)</f>
        <v>4.9382716049382713E-2</v>
      </c>
      <c r="H49" s="3159" t="str">
        <f>IF(OR(G49&gt;=0.2,G49&lt;=-0.2),"超过20%","")</f>
        <v/>
      </c>
      <c r="I49" s="3158">
        <f>IF(I44&lt;E44,E44/I44-1,I44/E44-1)</f>
        <v>0.18373275236020326</v>
      </c>
      <c r="J49" s="3159" t="str">
        <f>IF(OR(I49&gt;=0.2,I49&lt;=-0.2),"超过20%","")</f>
        <v/>
      </c>
      <c r="K49" s="3154"/>
      <c r="L49" s="3155"/>
      <c r="M49" s="3139"/>
      <c r="N49" s="3139"/>
      <c r="O49" s="3139"/>
      <c r="P49" s="3139"/>
      <c r="Q49" s="3139"/>
      <c r="R49" s="3139"/>
      <c r="S49" s="3139"/>
      <c r="T49" s="3139"/>
      <c r="U49" s="3139"/>
      <c r="V49" s="3139"/>
      <c r="W49" s="3139"/>
      <c r="X49" s="3139"/>
      <c r="Y49" s="3139"/>
      <c r="Z49" s="3139"/>
      <c r="AA49" s="3139"/>
      <c r="AB49" s="3139"/>
      <c r="AC49" s="3139"/>
    </row>
    <row r="50" spans="1:29" s="3164" customFormat="1" ht="13.5" customHeight="1">
      <c r="A50" s="3161"/>
      <c r="B50" s="3161"/>
      <c r="C50" s="3156" t="s">
        <v>3228</v>
      </c>
      <c r="D50" s="3160"/>
      <c r="E50" s="3158">
        <f>IF(E43&lt;G43,G43/E43-1,E43/G43-1)</f>
        <v>0.11701308698999235</v>
      </c>
      <c r="F50" s="3159" t="str">
        <f>IF(OR(E50&gt;=0.3,E50&lt;=-0.3),"超过30%","")</f>
        <v/>
      </c>
      <c r="G50" s="3158">
        <f>IF(G43&lt;I43,I43/G43-1,G43/I43-1)</f>
        <v>0.14651368049426305</v>
      </c>
      <c r="H50" s="3159" t="str">
        <f>IF(OR(G50&gt;=0.3,G50&lt;=-0.3),"超过30%","")</f>
        <v/>
      </c>
      <c r="I50" s="3158">
        <f>IF(I43&lt;E43,E43/I43-1,I43/E43-1)</f>
        <v>0.28067078552515445</v>
      </c>
      <c r="J50" s="3159" t="str">
        <f>IF(OR(I50&gt;=0.3,I50&lt;=-0.3),"超过30%","")</f>
        <v/>
      </c>
      <c r="K50" s="3162"/>
      <c r="L50" s="3163"/>
      <c r="M50" s="3161"/>
      <c r="N50" s="3161"/>
      <c r="O50" s="3161"/>
      <c r="P50" s="3161"/>
      <c r="Q50" s="3161"/>
      <c r="R50" s="3161"/>
      <c r="S50" s="3161"/>
      <c r="T50" s="3161"/>
      <c r="U50" s="3161"/>
      <c r="V50" s="3161"/>
      <c r="W50" s="3161"/>
      <c r="X50" s="3161"/>
      <c r="Y50" s="3161"/>
      <c r="Z50" s="3161"/>
      <c r="AA50" s="3161"/>
      <c r="AB50" s="3161"/>
      <c r="AC50" s="3161"/>
    </row>
    <row r="51" spans="1:29" s="3164" customFormat="1" ht="14.4" thickBot="1">
      <c r="A51" s="3161"/>
      <c r="B51" s="3165"/>
      <c r="C51" s="3166"/>
      <c r="D51" s="3161"/>
      <c r="E51" s="3161"/>
      <c r="F51" s="3161"/>
      <c r="G51" s="3161"/>
      <c r="H51" s="3161"/>
      <c r="I51" s="3161"/>
      <c r="J51" s="3161"/>
      <c r="K51" s="3162"/>
      <c r="L51" s="3163"/>
      <c r="M51" s="3161"/>
      <c r="N51" s="3161"/>
      <c r="O51" s="3161"/>
      <c r="P51" s="3161"/>
      <c r="Q51" s="3161"/>
      <c r="R51" s="3161"/>
      <c r="S51" s="3161"/>
      <c r="T51" s="3161"/>
      <c r="U51" s="3161"/>
      <c r="V51" s="3161"/>
      <c r="W51" s="3161"/>
      <c r="X51" s="3161"/>
      <c r="Y51" s="3161"/>
      <c r="Z51" s="3161"/>
      <c r="AA51" s="3161"/>
      <c r="AB51" s="3161"/>
      <c r="AC51" s="3161"/>
    </row>
    <row r="52" spans="1:29" ht="28.8">
      <c r="A52" s="3167" t="s">
        <v>3229</v>
      </c>
      <c r="B52" s="3168" t="s">
        <v>3230</v>
      </c>
      <c r="C52" s="3169" t="s">
        <v>3231</v>
      </c>
      <c r="D52" s="3170" t="s">
        <v>3232</v>
      </c>
      <c r="E52" s="3171" t="s">
        <v>3233</v>
      </c>
      <c r="F52" s="3172" t="s">
        <v>3234</v>
      </c>
      <c r="G52" s="3630" t="s">
        <v>3235</v>
      </c>
      <c r="H52" s="3631"/>
      <c r="I52" s="3173" t="s">
        <v>3047</v>
      </c>
      <c r="J52" s="3174">
        <f>[1]项目基本情况!F41</f>
        <v>0</v>
      </c>
      <c r="K52" s="3175" t="s">
        <v>3236</v>
      </c>
      <c r="L52" s="3155"/>
      <c r="M52" s="3139"/>
      <c r="N52" s="3139"/>
      <c r="O52" s="3139"/>
      <c r="P52" s="3139"/>
      <c r="Q52" s="3139"/>
      <c r="R52" s="3139"/>
      <c r="S52" s="3139"/>
      <c r="T52" s="3139"/>
      <c r="U52" s="3139"/>
      <c r="V52" s="3139"/>
      <c r="W52" s="3139"/>
      <c r="X52" s="3139"/>
      <c r="Y52" s="3139"/>
      <c r="Z52" s="3139"/>
      <c r="AA52" s="3139"/>
      <c r="AB52" s="3139"/>
      <c r="AC52" s="3139"/>
    </row>
    <row r="53" spans="1:29" s="3182" customFormat="1" ht="13.2">
      <c r="A53" s="3176" t="s">
        <v>3237</v>
      </c>
      <c r="B53" s="687">
        <f>C45</f>
        <v>1484</v>
      </c>
      <c r="C53" s="3177">
        <v>1</v>
      </c>
      <c r="D53" s="3178">
        <v>1</v>
      </c>
      <c r="E53" s="3177">
        <f>'[1]数据-汇总表'!E8+'[1]数据-汇总表'!E9</f>
        <v>123794.2</v>
      </c>
      <c r="F53" s="1102">
        <f t="shared" ref="F53:F62" si="15">ROUND(B53*E53/10000,0)</f>
        <v>18371</v>
      </c>
      <c r="G53" s="3632"/>
      <c r="H53" s="3633"/>
      <c r="I53" s="3179">
        <v>1</v>
      </c>
      <c r="J53" s="3180">
        <v>1</v>
      </c>
      <c r="K53" s="3181"/>
      <c r="L53" s="3181"/>
      <c r="M53" s="3181"/>
      <c r="N53" s="3181"/>
      <c r="O53" s="3181"/>
      <c r="P53" s="3181"/>
      <c r="Q53" s="3181"/>
      <c r="R53" s="3181"/>
      <c r="S53" s="3181"/>
      <c r="T53" s="3181"/>
      <c r="U53" s="3181"/>
      <c r="V53" s="3181"/>
      <c r="W53" s="3181"/>
      <c r="X53" s="3181"/>
      <c r="Y53" s="3181"/>
      <c r="Z53" s="3181"/>
      <c r="AA53" s="3181"/>
      <c r="AB53" s="3181"/>
      <c r="AC53" s="3181"/>
    </row>
    <row r="54" spans="1:29" s="3182" customFormat="1" ht="13.2">
      <c r="A54" s="691" t="s">
        <v>3238</v>
      </c>
      <c r="B54" s="260" t="e">
        <f>ROUND($C$45*C54*D54,0)</f>
        <v>#VALUE!</v>
      </c>
      <c r="C54" s="3183" t="e">
        <f t="shared" ref="C54:C62" si="16">IF($C$52="北京市系数",I54,J54)</f>
        <v>#VALUE!</v>
      </c>
      <c r="D54" s="3184">
        <v>0.25</v>
      </c>
      <c r="E54" s="692"/>
      <c r="F54" s="1102" t="e">
        <f t="shared" si="15"/>
        <v>#VALUE!</v>
      </c>
      <c r="G54" s="3634" t="s">
        <v>3239</v>
      </c>
      <c r="H54" s="3185">
        <f>[1]项目基本情况!B43</f>
        <v>0</v>
      </c>
      <c r="I54" s="3179" t="e">
        <f>SUMIF([1]修正!$A$45:$A$56,H54,[1]修正!B45:B56)</f>
        <v>#VALUE!</v>
      </c>
      <c r="J54" s="3186"/>
      <c r="K54" s="3181"/>
      <c r="L54" s="3181"/>
      <c r="M54" s="3181"/>
      <c r="N54" s="3181"/>
      <c r="O54" s="3181"/>
      <c r="P54" s="3181"/>
      <c r="Q54" s="3181"/>
      <c r="R54" s="3181"/>
      <c r="S54" s="3181"/>
      <c r="T54" s="3181"/>
      <c r="U54" s="3181"/>
      <c r="V54" s="3181"/>
      <c r="W54" s="3181"/>
      <c r="X54" s="3181"/>
      <c r="Y54" s="3181"/>
      <c r="Z54" s="3181"/>
      <c r="AA54" s="3181"/>
      <c r="AB54" s="3181"/>
      <c r="AC54" s="3181"/>
    </row>
    <row r="55" spans="1:29" s="3182" customFormat="1" ht="13.2">
      <c r="A55" s="691" t="s">
        <v>3240</v>
      </c>
      <c r="B55" s="260" t="e">
        <f t="shared" ref="B55:B62" si="17">ROUND($C$45*C55*D55,0)</f>
        <v>#VALUE!</v>
      </c>
      <c r="C55" s="3183" t="e">
        <f t="shared" si="16"/>
        <v>#VALUE!</v>
      </c>
      <c r="D55" s="3184">
        <v>0.25</v>
      </c>
      <c r="E55" s="692"/>
      <c r="F55" s="1102" t="e">
        <f t="shared" si="15"/>
        <v>#VALUE!</v>
      </c>
      <c r="G55" s="3634"/>
      <c r="H55" s="3187">
        <f>[1]项目基本情况!B43</f>
        <v>0</v>
      </c>
      <c r="I55" s="3179" t="e">
        <f>SUMIF([1]修正!$A$45:$A$56,H55,[1]修正!C45:C56)</f>
        <v>#VALUE!</v>
      </c>
      <c r="J55" s="3186"/>
      <c r="K55" s="3181"/>
      <c r="L55" s="3181"/>
      <c r="M55" s="3181"/>
      <c r="N55" s="3181"/>
      <c r="O55" s="3181"/>
      <c r="P55" s="3181"/>
      <c r="Q55" s="3181"/>
      <c r="R55" s="3181"/>
      <c r="S55" s="3181"/>
      <c r="T55" s="3181"/>
      <c r="U55" s="3181"/>
      <c r="V55" s="3181"/>
      <c r="W55" s="3181"/>
      <c r="X55" s="3181"/>
      <c r="Y55" s="3181"/>
      <c r="Z55" s="3181"/>
      <c r="AA55" s="3181"/>
      <c r="AB55" s="3181"/>
      <c r="AC55" s="3181"/>
    </row>
    <row r="56" spans="1:29" s="3182" customFormat="1" ht="13.2">
      <c r="A56" s="691" t="s">
        <v>3241</v>
      </c>
      <c r="B56" s="260" t="e">
        <f t="shared" si="17"/>
        <v>#VALUE!</v>
      </c>
      <c r="C56" s="3183" t="e">
        <f t="shared" si="16"/>
        <v>#VALUE!</v>
      </c>
      <c r="D56" s="3184">
        <v>0.25</v>
      </c>
      <c r="E56" s="692"/>
      <c r="F56" s="1102" t="e">
        <f t="shared" si="15"/>
        <v>#VALUE!</v>
      </c>
      <c r="G56" s="3634"/>
      <c r="H56" s="3187">
        <f>[1]项目基本情况!B43</f>
        <v>0</v>
      </c>
      <c r="I56" s="3179" t="e">
        <f>SUMIF([1]修正!$A$45:$A$56,H56,[1]修正!D45:D56)</f>
        <v>#VALUE!</v>
      </c>
      <c r="J56" s="3186"/>
      <c r="K56" s="3181"/>
      <c r="L56" s="3181"/>
      <c r="M56" s="3181"/>
      <c r="N56" s="3181"/>
      <c r="O56" s="3181"/>
      <c r="P56" s="3181"/>
      <c r="Q56" s="3181"/>
      <c r="R56" s="3181"/>
      <c r="S56" s="3181"/>
      <c r="T56" s="3181"/>
      <c r="U56" s="3181"/>
      <c r="V56" s="3181"/>
      <c r="W56" s="3181"/>
      <c r="X56" s="3181"/>
      <c r="Y56" s="3181"/>
      <c r="Z56" s="3181"/>
      <c r="AA56" s="3181"/>
      <c r="AB56" s="3181"/>
      <c r="AC56" s="3181"/>
    </row>
    <row r="57" spans="1:29" s="3182" customFormat="1" ht="13.2">
      <c r="A57" s="691" t="s">
        <v>3242</v>
      </c>
      <c r="B57" s="260" t="e">
        <f t="shared" si="17"/>
        <v>#VALUE!</v>
      </c>
      <c r="C57" s="3183" t="e">
        <f t="shared" si="16"/>
        <v>#VALUE!</v>
      </c>
      <c r="D57" s="3184">
        <v>0.25</v>
      </c>
      <c r="E57" s="692"/>
      <c r="F57" s="1102" t="e">
        <f t="shared" si="15"/>
        <v>#VALUE!</v>
      </c>
      <c r="G57" s="3634"/>
      <c r="H57" s="3187">
        <f>[1]项目基本情况!B43</f>
        <v>0</v>
      </c>
      <c r="I57" s="3179" t="e">
        <f>SUMIF([1]修正!$A$45:$A$56,H57,[1]修正!E45:E56)</f>
        <v>#VALUE!</v>
      </c>
      <c r="J57" s="3186"/>
      <c r="K57" s="3181"/>
      <c r="L57" s="3181"/>
      <c r="M57" s="3181"/>
      <c r="N57" s="3181"/>
      <c r="O57" s="3181"/>
      <c r="P57" s="3181"/>
      <c r="Q57" s="3181"/>
      <c r="R57" s="3181"/>
      <c r="S57" s="3181"/>
      <c r="T57" s="3181"/>
      <c r="U57" s="3181"/>
      <c r="V57" s="3181"/>
      <c r="W57" s="3181"/>
      <c r="X57" s="3181"/>
      <c r="Y57" s="3181"/>
      <c r="Z57" s="3181"/>
      <c r="AA57" s="3181"/>
      <c r="AB57" s="3181"/>
      <c r="AC57" s="3181"/>
    </row>
    <row r="58" spans="1:29" s="3182" customFormat="1" ht="13.2">
      <c r="A58" s="3188" t="s">
        <v>3243</v>
      </c>
      <c r="B58" s="260" t="e">
        <f t="shared" si="17"/>
        <v>#VALUE!</v>
      </c>
      <c r="C58" s="3183" t="e">
        <f t="shared" si="16"/>
        <v>#VALUE!</v>
      </c>
      <c r="D58" s="3184">
        <v>0.25</v>
      </c>
      <c r="E58" s="259">
        <f>'[1]数据-汇总表'!E11</f>
        <v>0</v>
      </c>
      <c r="F58" s="1102" t="e">
        <f t="shared" si="15"/>
        <v>#VALUE!</v>
      </c>
      <c r="G58" s="3189" t="s">
        <v>3244</v>
      </c>
      <c r="H58" s="3187">
        <f>[1]项目基本情况!C43</f>
        <v>0</v>
      </c>
      <c r="I58" s="3179" t="e">
        <f>SUMIF([1]修正!$A$45:$A$56,H58,[1]修正!F45:F56)</f>
        <v>#VALUE!</v>
      </c>
      <c r="J58" s="3186"/>
      <c r="K58" s="3181"/>
      <c r="L58" s="3181"/>
      <c r="M58" s="3181"/>
      <c r="N58" s="3181"/>
      <c r="O58" s="3181"/>
      <c r="P58" s="3181"/>
      <c r="Q58" s="3181"/>
      <c r="R58" s="3181"/>
      <c r="S58" s="3181"/>
      <c r="T58" s="3181"/>
      <c r="U58" s="3181"/>
      <c r="V58" s="3181"/>
      <c r="W58" s="3181"/>
      <c r="X58" s="3181"/>
      <c r="Y58" s="3181"/>
      <c r="Z58" s="3181"/>
      <c r="AA58" s="3181"/>
      <c r="AB58" s="3181"/>
      <c r="AC58" s="3181"/>
    </row>
    <row r="59" spans="1:29" s="3182" customFormat="1" ht="13.2">
      <c r="A59" s="691" t="s">
        <v>3245</v>
      </c>
      <c r="B59" s="260" t="e">
        <f t="shared" si="17"/>
        <v>#VALUE!</v>
      </c>
      <c r="C59" s="3183" t="e">
        <f t="shared" si="16"/>
        <v>#VALUE!</v>
      </c>
      <c r="D59" s="3184">
        <v>0.25</v>
      </c>
      <c r="E59" s="259">
        <f>'[1]数据-汇总表'!E12</f>
        <v>18385.299999999996</v>
      </c>
      <c r="F59" s="1102" t="e">
        <f t="shared" si="15"/>
        <v>#VALUE!</v>
      </c>
      <c r="G59" s="3190" t="s">
        <v>27</v>
      </c>
      <c r="H59" s="3185">
        <f>IF(G59="商业",[1]项目基本情况!B43,IF(G59="办公",[1]项目基本情况!C43,IF(G59="住宅",[1]项目基本情况!D43,[1]项目基本情况!E43)))</f>
        <v>0</v>
      </c>
      <c r="I59" s="3179" t="e">
        <f>SUMIF([1]修正!$A$45:$A$56,H59,[1]修正!G45:G56)</f>
        <v>#VALUE!</v>
      </c>
      <c r="J59" s="3186"/>
      <c r="K59" s="3181"/>
      <c r="L59" s="3181"/>
      <c r="M59" s="3181"/>
      <c r="N59" s="3181"/>
      <c r="O59" s="3181"/>
      <c r="P59" s="3181"/>
      <c r="Q59" s="3181"/>
      <c r="R59" s="3181"/>
      <c r="S59" s="3181"/>
      <c r="T59" s="3181"/>
      <c r="U59" s="3181"/>
      <c r="V59" s="3181"/>
      <c r="W59" s="3181"/>
      <c r="X59" s="3181"/>
      <c r="Y59" s="3181"/>
      <c r="Z59" s="3181"/>
      <c r="AA59" s="3181"/>
      <c r="AB59" s="3181"/>
      <c r="AC59" s="3181"/>
    </row>
    <row r="60" spans="1:29" s="3182" customFormat="1" ht="13.2">
      <c r="A60" s="691" t="s">
        <v>3246</v>
      </c>
      <c r="B60" s="260" t="e">
        <f t="shared" si="17"/>
        <v>#VALUE!</v>
      </c>
      <c r="C60" s="3183" t="e">
        <f t="shared" si="16"/>
        <v>#VALUE!</v>
      </c>
      <c r="D60" s="3184">
        <v>0.25</v>
      </c>
      <c r="E60" s="259">
        <f>'[1]数据-汇总表'!E13</f>
        <v>8946.5</v>
      </c>
      <c r="F60" s="1102" t="e">
        <f t="shared" si="15"/>
        <v>#VALUE!</v>
      </c>
      <c r="G60" s="3190" t="s">
        <v>3247</v>
      </c>
      <c r="H60" s="3185">
        <f>IF(G60="商业",[1]项目基本情况!B43,IF(G60="办公",[1]项目基本情况!C43,IF(G60="住宅",[1]项目基本情况!D43,[1]项目基本情况!E43)))</f>
        <v>0</v>
      </c>
      <c r="I60" s="3179" t="e">
        <f>SUMIF([1]修正!$A$45:$A$56,H60,[1]修正!H45:H56)</f>
        <v>#VALUE!</v>
      </c>
      <c r="J60" s="3186"/>
      <c r="K60" s="3181"/>
      <c r="L60" s="3181"/>
      <c r="M60" s="3181"/>
      <c r="N60" s="3181"/>
      <c r="O60" s="3181"/>
      <c r="P60" s="3181"/>
      <c r="Q60" s="3181"/>
      <c r="R60" s="3181"/>
      <c r="S60" s="3181"/>
      <c r="T60" s="3181"/>
      <c r="U60" s="3181"/>
      <c r="V60" s="3181"/>
      <c r="W60" s="3181"/>
      <c r="X60" s="3181"/>
      <c r="Y60" s="3181"/>
      <c r="Z60" s="3181"/>
      <c r="AA60" s="3181"/>
      <c r="AB60" s="3181"/>
      <c r="AC60" s="3181"/>
    </row>
    <row r="61" spans="1:29" s="3182" customFormat="1" ht="13.2">
      <c r="A61" s="691" t="s">
        <v>3248</v>
      </c>
      <c r="B61" s="260" t="e">
        <f t="shared" si="17"/>
        <v>#VALUE!</v>
      </c>
      <c r="C61" s="3183" t="e">
        <f t="shared" si="16"/>
        <v>#VALUE!</v>
      </c>
      <c r="D61" s="3184">
        <v>0.25</v>
      </c>
      <c r="E61" s="259">
        <f>'[1]数据-汇总表'!E14</f>
        <v>0</v>
      </c>
      <c r="F61" s="1102" t="e">
        <f t="shared" si="15"/>
        <v>#VALUE!</v>
      </c>
      <c r="G61" s="3189" t="s">
        <v>3239</v>
      </c>
      <c r="H61" s="3187">
        <f>[1]项目基本情况!B43</f>
        <v>0</v>
      </c>
      <c r="I61" s="3179" t="e">
        <f>SUMIF([1]修正!$A$45:$A$56,H61,[1]修正!H45:H56)</f>
        <v>#VALUE!</v>
      </c>
      <c r="J61" s="3186"/>
      <c r="K61" s="3181"/>
      <c r="L61" s="3181"/>
      <c r="M61" s="3181"/>
      <c r="N61" s="3181"/>
      <c r="O61" s="3181"/>
      <c r="P61" s="3181"/>
      <c r="Q61" s="3181"/>
      <c r="R61" s="3181"/>
      <c r="S61" s="3181"/>
      <c r="T61" s="3181"/>
      <c r="U61" s="3181"/>
      <c r="V61" s="3181"/>
      <c r="W61" s="3181"/>
      <c r="X61" s="3181"/>
      <c r="Y61" s="3181"/>
      <c r="Z61" s="3181"/>
      <c r="AA61" s="3181"/>
      <c r="AB61" s="3181"/>
      <c r="AC61" s="3181"/>
    </row>
    <row r="62" spans="1:29" s="3182" customFormat="1" thickBot="1">
      <c r="A62" s="691" t="s">
        <v>3249</v>
      </c>
      <c r="B62" s="260" t="e">
        <f t="shared" si="17"/>
        <v>#VALUE!</v>
      </c>
      <c r="C62" s="3183" t="e">
        <f t="shared" si="16"/>
        <v>#VALUE!</v>
      </c>
      <c r="D62" s="3184">
        <v>0.25</v>
      </c>
      <c r="E62" s="259">
        <f>'[1]数据-汇总表'!E15</f>
        <v>0</v>
      </c>
      <c r="F62" s="1102" t="e">
        <f t="shared" si="15"/>
        <v>#VALUE!</v>
      </c>
      <c r="G62" s="3191" t="s">
        <v>3244</v>
      </c>
      <c r="H62" s="3192">
        <f>[1]项目基本情况!C43</f>
        <v>0</v>
      </c>
      <c r="I62" s="3179" t="e">
        <f>SUMIF([1]修正!$A$45:$A$56,H62,[1]修正!H45:H56)</f>
        <v>#VALUE!</v>
      </c>
      <c r="J62" s="3186"/>
      <c r="K62" s="3181"/>
      <c r="L62" s="3181"/>
      <c r="M62" s="3181"/>
      <c r="N62" s="3181"/>
      <c r="O62" s="3181"/>
      <c r="P62" s="3181"/>
      <c r="Q62" s="3181"/>
      <c r="R62" s="3181"/>
      <c r="S62" s="3181"/>
      <c r="T62" s="3181"/>
      <c r="U62" s="3181"/>
      <c r="V62" s="3181"/>
      <c r="W62" s="3181"/>
      <c r="X62" s="3181"/>
      <c r="Y62" s="3181"/>
      <c r="Z62" s="3181"/>
      <c r="AA62" s="3181"/>
      <c r="AB62" s="3181"/>
      <c r="AC62" s="3181"/>
    </row>
    <row r="63" spans="1:29" s="3182" customFormat="1" thickBot="1">
      <c r="A63" s="693" t="s">
        <v>3250</v>
      </c>
      <c r="B63" s="3193" t="s">
        <v>3251</v>
      </c>
      <c r="C63" s="3193" t="s">
        <v>3251</v>
      </c>
      <c r="D63" s="3193" t="s">
        <v>3251</v>
      </c>
      <c r="E63" s="3193">
        <f>IF(B43="楼面地价",SUM(E53:E62),'[1]数据-汇总表'!D3)</f>
        <v>151126</v>
      </c>
      <c r="F63" s="3194" t="e">
        <f>IF(B43="楼面地价",SUM(F53:F62),ROUND(C45*E63/10000,0))</f>
        <v>#VALUE!</v>
      </c>
      <c r="G63" s="3195"/>
      <c r="H63" s="3195"/>
      <c r="I63" s="3195"/>
      <c r="J63" s="3195"/>
      <c r="K63" s="3195"/>
      <c r="L63" s="3181"/>
      <c r="M63" s="3181"/>
      <c r="N63" s="3181"/>
      <c r="O63" s="3181"/>
      <c r="P63" s="3181"/>
      <c r="Q63" s="3181"/>
      <c r="R63" s="3181"/>
      <c r="S63" s="3181"/>
      <c r="T63" s="3181"/>
      <c r="U63" s="3181"/>
      <c r="V63" s="3181"/>
      <c r="W63" s="3181"/>
      <c r="X63" s="3181"/>
      <c r="Y63" s="3181"/>
      <c r="Z63" s="3181"/>
      <c r="AA63" s="3181"/>
      <c r="AB63" s="3181"/>
      <c r="AC63" s="3181"/>
    </row>
    <row r="64" spans="1:29">
      <c r="A64" s="3139"/>
      <c r="B64" s="3165"/>
      <c r="C64" s="3166"/>
      <c r="D64" s="3139"/>
      <c r="E64" s="3139"/>
      <c r="F64" s="3139"/>
      <c r="G64" s="3139"/>
      <c r="H64" s="3139"/>
      <c r="I64" s="3139"/>
      <c r="J64" s="3139"/>
      <c r="K64" s="3154"/>
      <c r="L64" s="3155"/>
      <c r="M64" s="3139"/>
      <c r="N64" s="3139"/>
      <c r="O64" s="3139"/>
      <c r="P64" s="3139"/>
      <c r="Q64" s="3139"/>
      <c r="R64" s="3139"/>
      <c r="S64" s="3139"/>
      <c r="T64" s="3139"/>
      <c r="U64" s="3139"/>
      <c r="V64" s="3139"/>
      <c r="W64" s="3139"/>
      <c r="X64" s="3139"/>
      <c r="Y64" s="3139"/>
      <c r="Z64" s="3139"/>
      <c r="AA64" s="3139"/>
      <c r="AB64" s="3139"/>
      <c r="AC64" s="3139"/>
    </row>
    <row r="65" spans="1:29">
      <c r="A65" s="3139"/>
      <c r="B65" s="3165"/>
      <c r="C65" s="3196" t="str">
        <f>YEAR(C9)&amp;"-"&amp;MONTH(C9)&amp;"-1"</f>
        <v>2018-5-1</v>
      </c>
      <c r="D65" s="3197">
        <f>EDATE(C65,-3)</f>
        <v>43132</v>
      </c>
      <c r="E65" s="3197">
        <f t="shared" ref="E65:N65" si="18">EDATE(D65,-3)</f>
        <v>43040</v>
      </c>
      <c r="F65" s="3197">
        <f t="shared" si="18"/>
        <v>42948</v>
      </c>
      <c r="G65" s="3197">
        <f t="shared" si="18"/>
        <v>42856</v>
      </c>
      <c r="H65" s="3197">
        <f t="shared" si="18"/>
        <v>42767</v>
      </c>
      <c r="I65" s="3197">
        <f t="shared" si="18"/>
        <v>42675</v>
      </c>
      <c r="J65" s="3197">
        <f t="shared" si="18"/>
        <v>42583</v>
      </c>
      <c r="K65" s="3197">
        <f t="shared" si="18"/>
        <v>42491</v>
      </c>
      <c r="L65" s="3197">
        <f t="shared" si="18"/>
        <v>42401</v>
      </c>
      <c r="M65" s="3197">
        <f t="shared" si="18"/>
        <v>42309</v>
      </c>
      <c r="N65" s="3197">
        <f t="shared" si="18"/>
        <v>42217</v>
      </c>
      <c r="O65" s="3139"/>
      <c r="P65" s="3139"/>
      <c r="Q65" s="3139"/>
      <c r="R65" s="3139"/>
      <c r="S65" s="3139"/>
      <c r="T65" s="3139"/>
      <c r="U65" s="3139"/>
      <c r="V65" s="3139"/>
      <c r="W65" s="3139"/>
      <c r="X65" s="3139"/>
      <c r="Y65" s="3139"/>
      <c r="Z65" s="3139"/>
      <c r="AA65" s="3139"/>
      <c r="AB65" s="3139"/>
      <c r="AC65" s="3139"/>
    </row>
    <row r="66" spans="1:29" ht="22.2" thickBot="1">
      <c r="A66" s="3198" t="s">
        <v>3252</v>
      </c>
      <c r="B66" s="3140"/>
      <c r="C66" s="3199"/>
      <c r="D66" s="3199"/>
      <c r="E66" s="3199"/>
      <c r="F66" s="3200"/>
      <c r="G66" s="3200"/>
      <c r="H66" s="3199"/>
      <c r="I66" s="3199"/>
      <c r="J66" s="3199"/>
      <c r="K66" s="3201"/>
      <c r="L66" s="3202"/>
      <c r="M66" s="3199"/>
      <c r="N66" s="3199"/>
      <c r="O66" s="3203"/>
      <c r="P66" s="3203"/>
      <c r="Q66" s="3204"/>
      <c r="R66" s="3139"/>
      <c r="S66" s="3139"/>
      <c r="T66" s="3139"/>
      <c r="U66" s="3139"/>
      <c r="V66" s="3139"/>
      <c r="W66" s="3139"/>
      <c r="X66" s="3139"/>
      <c r="Y66" s="3139"/>
      <c r="Z66" s="3139"/>
      <c r="AA66" s="3139"/>
      <c r="AB66" s="3139"/>
      <c r="AC66" s="3139"/>
    </row>
    <row r="67" spans="1:29" s="3211" customFormat="1" ht="14.4">
      <c r="A67" s="3205" t="s">
        <v>3253</v>
      </c>
      <c r="B67" s="3206"/>
      <c r="C67" s="3207" t="str">
        <f>YEAR(C65)&amp;"-"&amp;ROUNDUP(MONTH(C65)/3,0)</f>
        <v>2018-2</v>
      </c>
      <c r="D67" s="3207" t="str">
        <f t="shared" ref="D67:N67" si="19">YEAR(D65)&amp;"-"&amp;ROUNDUP(MONTH(D65)/3,0)</f>
        <v>2018-1</v>
      </c>
      <c r="E67" s="3207" t="str">
        <f t="shared" si="19"/>
        <v>2017-4</v>
      </c>
      <c r="F67" s="3207" t="str">
        <f t="shared" si="19"/>
        <v>2017-3</v>
      </c>
      <c r="G67" s="3207" t="str">
        <f t="shared" si="19"/>
        <v>2017-2</v>
      </c>
      <c r="H67" s="3207" t="str">
        <f t="shared" si="19"/>
        <v>2017-1</v>
      </c>
      <c r="I67" s="3207" t="str">
        <f t="shared" si="19"/>
        <v>2016-4</v>
      </c>
      <c r="J67" s="3207" t="str">
        <f t="shared" si="19"/>
        <v>2016-3</v>
      </c>
      <c r="K67" s="3207" t="str">
        <f t="shared" si="19"/>
        <v>2016-2</v>
      </c>
      <c r="L67" s="3207" t="str">
        <f t="shared" si="19"/>
        <v>2016-1</v>
      </c>
      <c r="M67" s="3207" t="str">
        <f t="shared" si="19"/>
        <v>2015-4</v>
      </c>
      <c r="N67" s="3207" t="str">
        <f t="shared" si="19"/>
        <v>2015-3</v>
      </c>
      <c r="O67" s="3208"/>
      <c r="P67" s="3209"/>
      <c r="Q67" s="3210"/>
      <c r="R67" s="3210"/>
      <c r="S67" s="3210"/>
      <c r="T67" s="3210"/>
      <c r="U67" s="3210"/>
      <c r="V67" s="3210"/>
      <c r="W67" s="3210"/>
      <c r="X67" s="3210"/>
      <c r="Y67" s="3210"/>
      <c r="Z67" s="3210"/>
      <c r="AA67" s="3210"/>
      <c r="AB67" s="3210"/>
      <c r="AC67" s="3210"/>
    </row>
    <row r="68" spans="1:29" s="3020" customFormat="1" ht="27.75" customHeight="1">
      <c r="A68" s="3212" t="s">
        <v>3188</v>
      </c>
      <c r="B68" s="3213" t="str">
        <f>"北京市平均增长率"&amp;TEXT([1]基准地价!P24,"0.00%")</f>
        <v>北京市平均增长率1.35%</v>
      </c>
      <c r="C68" s="3214">
        <v>100</v>
      </c>
      <c r="D68" s="3215">
        <f>C68-1</f>
        <v>99</v>
      </c>
      <c r="E68" s="3215">
        <f t="shared" ref="E68:K68" si="20">D68-1</f>
        <v>98</v>
      </c>
      <c r="F68" s="3215">
        <f t="shared" si="20"/>
        <v>97</v>
      </c>
      <c r="G68" s="3215">
        <f t="shared" si="20"/>
        <v>96</v>
      </c>
      <c r="H68" s="3215">
        <f t="shared" si="20"/>
        <v>95</v>
      </c>
      <c r="I68" s="3215">
        <f t="shared" si="20"/>
        <v>94</v>
      </c>
      <c r="J68" s="3215">
        <f t="shared" si="20"/>
        <v>93</v>
      </c>
      <c r="K68" s="3215">
        <f t="shared" si="20"/>
        <v>92</v>
      </c>
      <c r="L68" s="3216"/>
      <c r="M68" s="3217"/>
      <c r="N68" s="3218"/>
      <c r="O68" s="3219"/>
      <c r="P68" s="3204"/>
      <c r="Q68" s="3220"/>
      <c r="R68" s="3220"/>
      <c r="S68" s="3220"/>
      <c r="T68" s="3220"/>
      <c r="U68" s="3220"/>
      <c r="V68" s="3220"/>
      <c r="W68" s="3220"/>
      <c r="X68" s="3220"/>
      <c r="Y68" s="3220"/>
      <c r="Z68" s="3220"/>
      <c r="AA68" s="3220"/>
      <c r="AB68" s="3220"/>
      <c r="AC68" s="3220"/>
    </row>
    <row r="69" spans="1:29" s="3020" customFormat="1" ht="15" thickBot="1">
      <c r="A69" s="3221" t="s">
        <v>3254</v>
      </c>
      <c r="B69" s="3222"/>
      <c r="C69" s="3223">
        <v>1</v>
      </c>
      <c r="D69" s="3224"/>
      <c r="E69" s="3224"/>
      <c r="F69" s="3224"/>
      <c r="G69" s="3224"/>
      <c r="H69" s="3224"/>
      <c r="I69" s="3224"/>
      <c r="J69" s="3224"/>
      <c r="K69" s="3224"/>
      <c r="L69" s="3224"/>
      <c r="M69" s="3224"/>
      <c r="N69" s="3224"/>
      <c r="O69" s="3219"/>
      <c r="P69" s="3204"/>
      <c r="Q69" s="3204"/>
      <c r="R69" s="3220"/>
      <c r="S69" s="3220"/>
      <c r="T69" s="3220"/>
      <c r="U69" s="3220"/>
      <c r="V69" s="3220"/>
      <c r="W69" s="3220"/>
      <c r="X69" s="3220"/>
      <c r="Y69" s="3220"/>
      <c r="Z69" s="3220"/>
      <c r="AA69" s="3220"/>
      <c r="AB69" s="3220"/>
      <c r="AC69" s="3220"/>
    </row>
    <row r="70" spans="1:29" s="3020" customFormat="1" ht="14.4">
      <c r="A70" s="3225" t="s">
        <v>3183</v>
      </c>
      <c r="B70" s="3226"/>
      <c r="C70" s="3227" t="s">
        <v>3255</v>
      </c>
      <c r="D70" s="3228"/>
      <c r="E70" s="3228"/>
      <c r="F70" s="3228"/>
      <c r="G70" s="3228"/>
      <c r="H70" s="3228"/>
      <c r="I70" s="3228"/>
      <c r="J70" s="3228"/>
      <c r="K70" s="3228"/>
      <c r="L70" s="3229"/>
      <c r="M70" s="3230"/>
      <c r="N70" s="3219"/>
      <c r="O70" s="3219"/>
      <c r="P70" s="3231"/>
      <c r="Q70" s="3204"/>
      <c r="R70" s="3220"/>
      <c r="S70" s="3220"/>
      <c r="T70" s="3220"/>
      <c r="U70" s="3220"/>
      <c r="V70" s="3220"/>
      <c r="W70" s="3220"/>
      <c r="X70" s="3220"/>
      <c r="Y70" s="3220"/>
      <c r="Z70" s="3220"/>
      <c r="AA70" s="3220"/>
      <c r="AB70" s="3220"/>
      <c r="AC70" s="3220"/>
    </row>
    <row r="71" spans="1:29" s="3020" customFormat="1" ht="14.4" thickBot="1">
      <c r="A71" s="3225"/>
      <c r="B71" s="3226"/>
      <c r="C71" s="3232">
        <v>100</v>
      </c>
      <c r="D71" s="3233"/>
      <c r="E71" s="3233"/>
      <c r="F71" s="3233"/>
      <c r="G71" s="3233"/>
      <c r="H71" s="3233"/>
      <c r="I71" s="3233"/>
      <c r="J71" s="3233"/>
      <c r="K71" s="3233"/>
      <c r="L71" s="3233"/>
      <c r="M71" s="3234"/>
      <c r="N71" s="3219"/>
      <c r="O71" s="3219"/>
      <c r="P71" s="3204"/>
      <c r="Q71" s="3204"/>
      <c r="R71" s="3220"/>
      <c r="S71" s="3220"/>
      <c r="T71" s="3220"/>
      <c r="U71" s="3220"/>
      <c r="V71" s="3220"/>
      <c r="W71" s="3220"/>
      <c r="X71" s="3220"/>
      <c r="Y71" s="3220"/>
      <c r="Z71" s="3220"/>
      <c r="AA71" s="3220"/>
      <c r="AB71" s="3220"/>
      <c r="AC71" s="3220"/>
    </row>
    <row r="72" spans="1:29" ht="14.4">
      <c r="A72" s="3235" t="s">
        <v>3256</v>
      </c>
      <c r="B72" s="3236" t="s">
        <v>3257</v>
      </c>
      <c r="C72" s="3120"/>
      <c r="D72" s="3120"/>
      <c r="E72" s="3120"/>
      <c r="F72" s="3120"/>
      <c r="G72" s="3120"/>
      <c r="H72" s="3120"/>
      <c r="I72" s="3120"/>
      <c r="J72" s="3120"/>
      <c r="K72" s="3237"/>
      <c r="L72" s="3238"/>
      <c r="M72" s="3239"/>
      <c r="N72" s="3240"/>
      <c r="O72" s="3240"/>
      <c r="P72" s="3241"/>
      <c r="Q72" s="3204"/>
      <c r="R72" s="3139"/>
      <c r="S72" s="3139"/>
      <c r="T72" s="3139"/>
      <c r="U72" s="3139"/>
      <c r="V72" s="3139"/>
      <c r="W72" s="3139"/>
      <c r="X72" s="3139"/>
      <c r="Y72" s="3139"/>
      <c r="Z72" s="3139"/>
      <c r="AA72" s="3139"/>
      <c r="AB72" s="3139"/>
      <c r="AC72" s="3139"/>
    </row>
    <row r="73" spans="1:29" ht="14.4" thickBot="1">
      <c r="A73" s="3242"/>
      <c r="B73" s="3243"/>
      <c r="C73" s="3244"/>
      <c r="D73" s="3244"/>
      <c r="E73" s="3244"/>
      <c r="F73" s="3244"/>
      <c r="G73" s="3244"/>
      <c r="H73" s="3244"/>
      <c r="I73" s="3244"/>
      <c r="J73" s="3244"/>
      <c r="K73" s="3244"/>
      <c r="L73" s="3244"/>
      <c r="M73" s="3245"/>
      <c r="N73" s="3246"/>
      <c r="O73" s="3246"/>
      <c r="P73" s="3241"/>
      <c r="Q73" s="3204"/>
      <c r="R73" s="3139"/>
      <c r="S73" s="3139"/>
      <c r="T73" s="3139"/>
      <c r="U73" s="3139"/>
      <c r="V73" s="3139"/>
      <c r="W73" s="3139"/>
      <c r="X73" s="3139"/>
      <c r="Y73" s="3139"/>
      <c r="Z73" s="3139"/>
      <c r="AA73" s="3139"/>
      <c r="AB73" s="3139"/>
      <c r="AC73" s="3139"/>
    </row>
    <row r="74" spans="1:29" ht="29.4" thickTop="1">
      <c r="A74" s="3242"/>
      <c r="B74" s="3247" t="s">
        <v>3258</v>
      </c>
      <c r="C74" s="3248"/>
      <c r="D74" s="3248"/>
      <c r="E74" s="3248"/>
      <c r="F74" s="3248"/>
      <c r="G74" s="3248"/>
      <c r="H74" s="3248"/>
      <c r="I74" s="3248"/>
      <c r="J74" s="3248"/>
      <c r="K74" s="3249"/>
      <c r="L74" s="3250"/>
      <c r="M74" s="3251"/>
      <c r="N74" s="3240"/>
      <c r="O74" s="3240"/>
      <c r="P74" s="3241"/>
      <c r="Q74" s="3204"/>
      <c r="R74" s="3139"/>
      <c r="S74" s="3139"/>
      <c r="T74" s="3139"/>
      <c r="U74" s="3139"/>
      <c r="V74" s="3139"/>
      <c r="W74" s="3139"/>
      <c r="X74" s="3139"/>
      <c r="Y74" s="3139"/>
      <c r="Z74" s="3139"/>
      <c r="AA74" s="3139"/>
      <c r="AB74" s="3139"/>
      <c r="AC74" s="3139"/>
    </row>
    <row r="75" spans="1:29" ht="14.4" thickBot="1">
      <c r="A75" s="3242"/>
      <c r="B75" s="3252"/>
      <c r="C75" s="3253"/>
      <c r="D75" s="3253"/>
      <c r="E75" s="3253"/>
      <c r="F75" s="3253"/>
      <c r="G75" s="3253"/>
      <c r="H75" s="3253"/>
      <c r="I75" s="3253"/>
      <c r="J75" s="3253"/>
      <c r="K75" s="3253"/>
      <c r="L75" s="3253"/>
      <c r="M75" s="3254"/>
      <c r="N75" s="3246"/>
      <c r="O75" s="3246"/>
      <c r="P75" s="3241"/>
      <c r="Q75" s="3204"/>
      <c r="R75" s="3139"/>
      <c r="S75" s="3139"/>
      <c r="T75" s="3139"/>
      <c r="U75" s="3139"/>
      <c r="V75" s="3139"/>
      <c r="W75" s="3139"/>
      <c r="X75" s="3139"/>
      <c r="Y75" s="3139"/>
      <c r="Z75" s="3139"/>
      <c r="AA75" s="3139"/>
      <c r="AB75" s="3139"/>
      <c r="AC75" s="3139"/>
    </row>
    <row r="76" spans="1:29" ht="15" thickTop="1">
      <c r="A76" s="3242"/>
      <c r="B76" s="3255" t="s">
        <v>3259</v>
      </c>
      <c r="C76" s="3256" t="str">
        <f>C77&amp;"（含）"&amp;"-"&amp;D77</f>
        <v>0（含）-1</v>
      </c>
      <c r="D76" s="3256" t="str">
        <f t="shared" ref="D76:L76" si="21">D77&amp;"（含）"&amp;"-"&amp;E77</f>
        <v>1（含）-2</v>
      </c>
      <c r="E76" s="3256" t="str">
        <f t="shared" si="21"/>
        <v>2（含）-3</v>
      </c>
      <c r="F76" s="3256" t="str">
        <f t="shared" si="21"/>
        <v>3（含）-4</v>
      </c>
      <c r="G76" s="3256" t="str">
        <f t="shared" si="21"/>
        <v>4（含）-5</v>
      </c>
      <c r="H76" s="3256" t="str">
        <f t="shared" si="21"/>
        <v>5（含）-</v>
      </c>
      <c r="I76" s="3256" t="str">
        <f t="shared" si="21"/>
        <v>（含）-</v>
      </c>
      <c r="J76" s="3256" t="str">
        <f t="shared" si="21"/>
        <v>（含）-</v>
      </c>
      <c r="K76" s="3256" t="str">
        <f t="shared" si="21"/>
        <v>（含）-</v>
      </c>
      <c r="L76" s="3256" t="str">
        <f t="shared" si="21"/>
        <v>（含）-</v>
      </c>
      <c r="M76" s="3072" t="str">
        <f>M77&amp;"（含）"&amp;"-"&amp;P77</f>
        <v>（含）-</v>
      </c>
      <c r="N76" s="3246"/>
      <c r="O76" s="3246"/>
      <c r="P76" s="3241"/>
      <c r="Q76" s="3204"/>
      <c r="R76" s="3139"/>
      <c r="S76" s="3139"/>
      <c r="T76" s="3139"/>
      <c r="U76" s="3139"/>
      <c r="V76" s="3139"/>
      <c r="W76" s="3139"/>
      <c r="X76" s="3139"/>
      <c r="Y76" s="3139"/>
      <c r="Z76" s="3139"/>
      <c r="AA76" s="3139"/>
      <c r="AB76" s="3139"/>
      <c r="AC76" s="3139"/>
    </row>
    <row r="77" spans="1:29">
      <c r="A77" s="3242"/>
      <c r="B77" s="3257"/>
      <c r="C77" s="3049">
        <v>0</v>
      </c>
      <c r="D77" s="3049">
        <v>1</v>
      </c>
      <c r="E77" s="3049">
        <v>2</v>
      </c>
      <c r="F77" s="3049">
        <v>3</v>
      </c>
      <c r="G77" s="3049">
        <v>4</v>
      </c>
      <c r="H77" s="3049">
        <v>5</v>
      </c>
      <c r="I77" s="3049"/>
      <c r="J77" s="3049"/>
      <c r="K77" s="3258"/>
      <c r="L77" s="3259"/>
      <c r="M77" s="3260"/>
      <c r="N77" s="3240"/>
      <c r="O77" s="3240"/>
      <c r="P77" s="3241"/>
      <c r="Q77" s="3204"/>
      <c r="R77" s="3139"/>
      <c r="S77" s="3139"/>
      <c r="T77" s="3139"/>
      <c r="U77" s="3139"/>
      <c r="V77" s="3139"/>
      <c r="W77" s="3139"/>
      <c r="X77" s="3139"/>
      <c r="Y77" s="3139"/>
      <c r="Z77" s="3139"/>
      <c r="AA77" s="3139"/>
      <c r="AB77" s="3139"/>
      <c r="AC77" s="3139"/>
    </row>
    <row r="78" spans="1:29" ht="14.4" thickBot="1">
      <c r="A78" s="3242"/>
      <c r="B78" s="3243"/>
      <c r="C78" s="3253">
        <v>100</v>
      </c>
      <c r="D78" s="3253">
        <f>IF($B$43="单位面积地价",C78+$K13,C78-$K13)</f>
        <v>98</v>
      </c>
      <c r="E78" s="3253">
        <f t="shared" ref="E78:M78" si="22">IF($B$43="单位面积地价",D78+$K13,D78-$K13)</f>
        <v>96</v>
      </c>
      <c r="F78" s="3253">
        <f t="shared" si="22"/>
        <v>94</v>
      </c>
      <c r="G78" s="3253">
        <f t="shared" si="22"/>
        <v>92</v>
      </c>
      <c r="H78" s="3253">
        <f t="shared" si="22"/>
        <v>90</v>
      </c>
      <c r="I78" s="3253">
        <f t="shared" si="22"/>
        <v>88</v>
      </c>
      <c r="J78" s="3253">
        <f t="shared" si="22"/>
        <v>86</v>
      </c>
      <c r="K78" s="3253">
        <f t="shared" si="22"/>
        <v>84</v>
      </c>
      <c r="L78" s="3253">
        <f t="shared" si="22"/>
        <v>82</v>
      </c>
      <c r="M78" s="3253">
        <f t="shared" si="22"/>
        <v>80</v>
      </c>
      <c r="N78" s="3246"/>
      <c r="O78" s="3246"/>
      <c r="P78" s="3241"/>
      <c r="Q78" s="3204"/>
      <c r="R78" s="3139"/>
      <c r="S78" s="3139"/>
      <c r="T78" s="3139"/>
      <c r="U78" s="3139"/>
      <c r="V78" s="3139"/>
      <c r="W78" s="3139"/>
      <c r="X78" s="3139"/>
      <c r="Y78" s="3139"/>
      <c r="Z78" s="3139"/>
      <c r="AA78" s="3139"/>
      <c r="AB78" s="3139"/>
      <c r="AC78" s="3139"/>
    </row>
    <row r="79" spans="1:29" s="3116" customFormat="1" ht="14.4" thickTop="1">
      <c r="A79" s="3261"/>
      <c r="B79" s="3247">
        <f>B14</f>
        <v>111</v>
      </c>
      <c r="C79" s="3262"/>
      <c r="D79" s="3262"/>
      <c r="E79" s="3262"/>
      <c r="F79" s="3262"/>
      <c r="G79" s="3262"/>
      <c r="H79" s="3263"/>
      <c r="I79" s="3263"/>
      <c r="J79" s="3263"/>
      <c r="K79" s="3263"/>
      <c r="L79" s="3264"/>
      <c r="M79" s="3265"/>
      <c r="N79" s="3266"/>
      <c r="O79" s="3266"/>
      <c r="P79" s="3267"/>
      <c r="Q79" s="3268"/>
      <c r="R79" s="3269"/>
      <c r="S79" s="3269"/>
      <c r="T79" s="3269"/>
      <c r="U79" s="3269"/>
      <c r="V79" s="3269"/>
      <c r="W79" s="3269"/>
      <c r="X79" s="3269"/>
      <c r="Y79" s="3269"/>
      <c r="Z79" s="3269"/>
      <c r="AA79" s="3269"/>
      <c r="AB79" s="3269"/>
      <c r="AC79" s="3269"/>
    </row>
    <row r="80" spans="1:29" s="3116" customFormat="1" ht="14.4" thickBot="1">
      <c r="A80" s="3261"/>
      <c r="B80" s="3252"/>
      <c r="C80" s="3270"/>
      <c r="D80" s="3244"/>
      <c r="E80" s="3244"/>
      <c r="F80" s="3244"/>
      <c r="G80" s="3244"/>
      <c r="H80" s="3244"/>
      <c r="I80" s="3244"/>
      <c r="J80" s="3244"/>
      <c r="K80" s="3244"/>
      <c r="L80" s="3244"/>
      <c r="M80" s="3245"/>
      <c r="N80" s="3246"/>
      <c r="O80" s="3246"/>
      <c r="P80" s="3267"/>
      <c r="Q80" s="3268"/>
      <c r="R80" s="3269"/>
      <c r="S80" s="3269"/>
      <c r="T80" s="3269"/>
      <c r="U80" s="3269"/>
      <c r="V80" s="3269"/>
      <c r="W80" s="3269"/>
      <c r="X80" s="3269"/>
      <c r="Y80" s="3269"/>
      <c r="Z80" s="3269"/>
      <c r="AA80" s="3269"/>
      <c r="AB80" s="3269"/>
      <c r="AC80" s="3269"/>
    </row>
    <row r="81" spans="1:29" s="3116" customFormat="1" ht="14.4" thickTop="1">
      <c r="A81" s="3261"/>
      <c r="B81" s="3247">
        <f>B15</f>
        <v>111</v>
      </c>
      <c r="C81" s="3262"/>
      <c r="D81" s="3262"/>
      <c r="E81" s="3262"/>
      <c r="F81" s="3262"/>
      <c r="G81" s="3262"/>
      <c r="H81" s="3263"/>
      <c r="I81" s="3263"/>
      <c r="J81" s="3263"/>
      <c r="K81" s="3263"/>
      <c r="L81" s="3264"/>
      <c r="M81" s="3265"/>
      <c r="N81" s="3266"/>
      <c r="O81" s="3266"/>
      <c r="P81" s="3110"/>
      <c r="Q81" s="3271"/>
      <c r="R81" s="3269"/>
      <c r="S81" s="3269"/>
      <c r="T81" s="3269"/>
      <c r="U81" s="3269"/>
      <c r="V81" s="3269"/>
      <c r="W81" s="3269"/>
      <c r="X81" s="3269"/>
      <c r="Y81" s="3269"/>
      <c r="Z81" s="3269"/>
      <c r="AA81" s="3269"/>
      <c r="AB81" s="3269"/>
      <c r="AC81" s="3269"/>
    </row>
    <row r="82" spans="1:29" s="3116" customFormat="1" ht="14.4" thickBot="1">
      <c r="A82" s="3261"/>
      <c r="B82" s="3252"/>
      <c r="C82" s="3270"/>
      <c r="D82" s="3270"/>
      <c r="E82" s="3270"/>
      <c r="F82" s="3270"/>
      <c r="G82" s="3270"/>
      <c r="H82" s="3272"/>
      <c r="I82" s="3272"/>
      <c r="J82" s="3272"/>
      <c r="K82" s="3272"/>
      <c r="L82" s="3272"/>
      <c r="M82" s="3273"/>
      <c r="N82" s="3266"/>
      <c r="O82" s="3266"/>
      <c r="P82" s="3267"/>
      <c r="Q82" s="3268"/>
      <c r="R82" s="3269"/>
      <c r="S82" s="3269"/>
      <c r="T82" s="3269"/>
      <c r="U82" s="3269"/>
      <c r="V82" s="3269"/>
      <c r="W82" s="3269"/>
      <c r="X82" s="3269"/>
      <c r="Y82" s="3269"/>
      <c r="Z82" s="3269"/>
      <c r="AA82" s="3269"/>
      <c r="AB82" s="3269"/>
      <c r="AC82" s="3269"/>
    </row>
    <row r="83" spans="1:29" s="3116" customFormat="1" ht="14.4" thickTop="1">
      <c r="A83" s="3261"/>
      <c r="B83" s="3255">
        <f>B16</f>
        <v>111</v>
      </c>
      <c r="C83" s="3228"/>
      <c r="D83" s="3228"/>
      <c r="E83" s="3228"/>
      <c r="F83" s="3228"/>
      <c r="G83" s="3228"/>
      <c r="H83" s="3274"/>
      <c r="I83" s="3274"/>
      <c r="J83" s="3274"/>
      <c r="K83" s="3274"/>
      <c r="L83" s="3275"/>
      <c r="M83" s="3276"/>
      <c r="N83" s="3266"/>
      <c r="O83" s="3266"/>
      <c r="P83" s="3277"/>
      <c r="Q83" s="3268"/>
      <c r="R83" s="3269"/>
      <c r="S83" s="3269"/>
      <c r="T83" s="3269"/>
      <c r="U83" s="3269"/>
      <c r="V83" s="3269"/>
      <c r="W83" s="3269"/>
      <c r="X83" s="3269"/>
      <c r="Y83" s="3269"/>
      <c r="Z83" s="3269"/>
      <c r="AA83" s="3269"/>
      <c r="AB83" s="3269"/>
      <c r="AC83" s="3269"/>
    </row>
    <row r="84" spans="1:29" s="3116" customFormat="1" ht="14.4" thickBot="1">
      <c r="A84" s="3278"/>
      <c r="B84" s="3279"/>
      <c r="C84" s="3280"/>
      <c r="D84" s="3280"/>
      <c r="E84" s="3280"/>
      <c r="F84" s="3280"/>
      <c r="G84" s="3280"/>
      <c r="H84" s="3281"/>
      <c r="I84" s="3281"/>
      <c r="J84" s="3281"/>
      <c r="K84" s="3281"/>
      <c r="L84" s="3281"/>
      <c r="M84" s="3282"/>
      <c r="N84" s="3266"/>
      <c r="O84" s="3266"/>
      <c r="P84" s="3267"/>
      <c r="Q84" s="3268"/>
      <c r="R84" s="3269"/>
      <c r="S84" s="3269"/>
      <c r="T84" s="3269"/>
      <c r="U84" s="3269"/>
      <c r="V84" s="3269"/>
      <c r="W84" s="3269"/>
      <c r="X84" s="3269"/>
      <c r="Y84" s="3269"/>
      <c r="Z84" s="3269"/>
      <c r="AA84" s="3269"/>
      <c r="AB84" s="3269"/>
      <c r="AC84" s="3269"/>
    </row>
    <row r="85" spans="1:29" ht="14.4">
      <c r="A85" s="3235" t="s">
        <v>3260</v>
      </c>
      <c r="B85" s="3236" t="s">
        <v>3261</v>
      </c>
      <c r="C85" s="3283" t="s">
        <v>3262</v>
      </c>
      <c r="D85" s="3283" t="s">
        <v>3263</v>
      </c>
      <c r="E85" s="3283" t="s">
        <v>3264</v>
      </c>
      <c r="F85" s="3283" t="s">
        <v>3265</v>
      </c>
      <c r="G85" s="3283" t="s">
        <v>3266</v>
      </c>
      <c r="H85" s="3284"/>
      <c r="I85" s="3284"/>
      <c r="J85" s="3284"/>
      <c r="K85" s="3285"/>
      <c r="L85" s="3286"/>
      <c r="M85" s="3287"/>
      <c r="N85" s="3240"/>
      <c r="O85" s="3240"/>
      <c r="P85" s="3288"/>
      <c r="Q85" s="3204"/>
      <c r="R85" s="3139"/>
      <c r="S85" s="3139"/>
      <c r="T85" s="3139"/>
      <c r="U85" s="3139"/>
      <c r="V85" s="3139"/>
      <c r="W85" s="3139"/>
      <c r="X85" s="3139"/>
      <c r="Y85" s="3139"/>
      <c r="Z85" s="3139"/>
      <c r="AA85" s="3139"/>
      <c r="AB85" s="3139"/>
      <c r="AC85" s="3139"/>
    </row>
    <row r="86" spans="1:29" ht="14.4" thickBot="1">
      <c r="A86" s="3242"/>
      <c r="B86" s="3252"/>
      <c r="C86" s="3253">
        <v>100</v>
      </c>
      <c r="D86" s="3253">
        <f>C86-$K17</f>
        <v>98</v>
      </c>
      <c r="E86" s="3253">
        <f>D86-$K17</f>
        <v>96</v>
      </c>
      <c r="F86" s="3253">
        <f>E86-$K17</f>
        <v>94</v>
      </c>
      <c r="G86" s="3253">
        <f>F86-$K17</f>
        <v>92</v>
      </c>
      <c r="H86" s="3253"/>
      <c r="I86" s="3253"/>
      <c r="J86" s="3253"/>
      <c r="K86" s="3253"/>
      <c r="L86" s="3253"/>
      <c r="M86" s="3254"/>
      <c r="N86" s="3246"/>
      <c r="O86" s="3246"/>
      <c r="P86" s="3241"/>
      <c r="Q86" s="3204"/>
      <c r="R86" s="3139"/>
      <c r="S86" s="3139"/>
      <c r="T86" s="3139"/>
      <c r="U86" s="3139"/>
      <c r="V86" s="3139"/>
      <c r="W86" s="3139"/>
      <c r="X86" s="3139"/>
      <c r="Y86" s="3139"/>
      <c r="Z86" s="3139"/>
      <c r="AA86" s="3139"/>
      <c r="AB86" s="3139"/>
      <c r="AC86" s="3139"/>
    </row>
    <row r="87" spans="1:29" ht="15" thickTop="1">
      <c r="A87" s="3242"/>
      <c r="B87" s="3247" t="s">
        <v>3198</v>
      </c>
      <c r="C87" s="3289" t="s">
        <v>3262</v>
      </c>
      <c r="D87" s="3289" t="s">
        <v>3263</v>
      </c>
      <c r="E87" s="3289" t="s">
        <v>3264</v>
      </c>
      <c r="F87" s="3289" t="s">
        <v>3265</v>
      </c>
      <c r="G87" s="3289" t="s">
        <v>3266</v>
      </c>
      <c r="H87" s="3248"/>
      <c r="I87" s="3248"/>
      <c r="J87" s="3248"/>
      <c r="K87" s="3249"/>
      <c r="L87" s="3250"/>
      <c r="M87" s="3251"/>
      <c r="N87" s="3240"/>
      <c r="O87" s="3240"/>
      <c r="P87" s="3241"/>
      <c r="Q87" s="3204"/>
      <c r="R87" s="3139"/>
      <c r="S87" s="3139"/>
      <c r="T87" s="3139"/>
      <c r="U87" s="3139"/>
      <c r="V87" s="3139"/>
      <c r="W87" s="3139"/>
      <c r="X87" s="3139"/>
      <c r="Y87" s="3139"/>
      <c r="Z87" s="3139"/>
      <c r="AA87" s="3139"/>
      <c r="AB87" s="3139"/>
      <c r="AC87" s="3139"/>
    </row>
    <row r="88" spans="1:29" ht="14.4" thickBot="1">
      <c r="A88" s="3242"/>
      <c r="B88" s="3252"/>
      <c r="C88" s="3253">
        <v>100</v>
      </c>
      <c r="D88" s="3253">
        <f>C88-$K19</f>
        <v>98</v>
      </c>
      <c r="E88" s="3253">
        <f>D88-$K19</f>
        <v>96</v>
      </c>
      <c r="F88" s="3253">
        <f>E88-$K19</f>
        <v>94</v>
      </c>
      <c r="G88" s="3253">
        <f>F88-$K19</f>
        <v>92</v>
      </c>
      <c r="H88" s="3253"/>
      <c r="I88" s="3253"/>
      <c r="J88" s="3253"/>
      <c r="K88" s="3253"/>
      <c r="L88" s="3253"/>
      <c r="M88" s="3254"/>
      <c r="N88" s="3246"/>
      <c r="O88" s="3246"/>
      <c r="P88" s="3241"/>
      <c r="Q88" s="3204"/>
      <c r="R88" s="3139"/>
      <c r="S88" s="3139"/>
      <c r="T88" s="3139"/>
      <c r="U88" s="3139"/>
      <c r="V88" s="3139"/>
      <c r="W88" s="3139"/>
      <c r="X88" s="3139"/>
      <c r="Y88" s="3139"/>
      <c r="Z88" s="3139"/>
      <c r="AA88" s="3139"/>
      <c r="AB88" s="3139"/>
      <c r="AC88" s="3139"/>
    </row>
    <row r="89" spans="1:29" s="3020" customFormat="1" ht="29.4" thickTop="1">
      <c r="A89" s="3290"/>
      <c r="B89" s="3247" t="s">
        <v>3199</v>
      </c>
      <c r="C89" s="3289" t="s">
        <v>3262</v>
      </c>
      <c r="D89" s="3289" t="s">
        <v>3263</v>
      </c>
      <c r="E89" s="3289" t="s">
        <v>3264</v>
      </c>
      <c r="F89" s="3289" t="s">
        <v>3265</v>
      </c>
      <c r="G89" s="3289" t="s">
        <v>3266</v>
      </c>
      <c r="H89" s="3289"/>
      <c r="I89" s="3289"/>
      <c r="J89" s="3289"/>
      <c r="K89" s="3289"/>
      <c r="L89" s="3291"/>
      <c r="M89" s="3292"/>
      <c r="N89" s="3219"/>
      <c r="O89" s="3219"/>
      <c r="P89" s="3241"/>
      <c r="Q89" s="3204"/>
      <c r="R89" s="3220"/>
      <c r="S89" s="3220"/>
      <c r="T89" s="3220"/>
      <c r="U89" s="3220"/>
      <c r="V89" s="3220"/>
      <c r="W89" s="3220"/>
      <c r="X89" s="3220"/>
      <c r="Y89" s="3220"/>
      <c r="Z89" s="3220"/>
      <c r="AA89" s="3220"/>
      <c r="AB89" s="3220"/>
      <c r="AC89" s="3220"/>
    </row>
    <row r="90" spans="1:29" s="3020" customFormat="1" ht="14.4" thickBot="1">
      <c r="A90" s="3290"/>
      <c r="B90" s="3252"/>
      <c r="C90" s="3293">
        <v>100</v>
      </c>
      <c r="D90" s="3253">
        <f>C90-$K21</f>
        <v>98</v>
      </c>
      <c r="E90" s="3253">
        <f>D90-$K21</f>
        <v>96</v>
      </c>
      <c r="F90" s="3253">
        <f>E90-$K21</f>
        <v>94</v>
      </c>
      <c r="G90" s="3253">
        <f>F90-$K21</f>
        <v>92</v>
      </c>
      <c r="H90" s="3253"/>
      <c r="I90" s="3253"/>
      <c r="J90" s="3253"/>
      <c r="K90" s="3253"/>
      <c r="L90" s="3253"/>
      <c r="M90" s="3254"/>
      <c r="N90" s="3246"/>
      <c r="O90" s="3246"/>
      <c r="P90" s="3241"/>
      <c r="Q90" s="3204"/>
      <c r="R90" s="3220"/>
      <c r="S90" s="3220"/>
      <c r="T90" s="3220"/>
      <c r="U90" s="3220"/>
      <c r="V90" s="3220"/>
      <c r="W90" s="3220"/>
      <c r="X90" s="3220"/>
      <c r="Y90" s="3220"/>
      <c r="Z90" s="3220"/>
      <c r="AA90" s="3220"/>
      <c r="AB90" s="3220"/>
      <c r="AC90" s="3220"/>
    </row>
    <row r="91" spans="1:29" s="3020" customFormat="1" ht="29.4" thickTop="1">
      <c r="A91" s="3290"/>
      <c r="B91" s="3247" t="s">
        <v>3267</v>
      </c>
      <c r="C91" s="3283" t="s">
        <v>3262</v>
      </c>
      <c r="D91" s="3283" t="s">
        <v>3263</v>
      </c>
      <c r="E91" s="3283" t="s">
        <v>3264</v>
      </c>
      <c r="F91" s="3283" t="s">
        <v>3265</v>
      </c>
      <c r="G91" s="3283" t="s">
        <v>3266</v>
      </c>
      <c r="H91" s="3289"/>
      <c r="I91" s="3289"/>
      <c r="J91" s="3289"/>
      <c r="K91" s="3289"/>
      <c r="L91" s="3289"/>
      <c r="M91" s="3292"/>
      <c r="N91" s="3219"/>
      <c r="O91" s="3219"/>
      <c r="P91" s="3241"/>
      <c r="Q91" s="3204"/>
      <c r="R91" s="3220"/>
      <c r="S91" s="3220"/>
      <c r="T91" s="3220"/>
      <c r="U91" s="3220"/>
      <c r="V91" s="3220"/>
      <c r="W91" s="3220"/>
      <c r="X91" s="3220"/>
      <c r="Y91" s="3220"/>
      <c r="Z91" s="3220"/>
      <c r="AA91" s="3220"/>
      <c r="AB91" s="3220"/>
      <c r="AC91" s="3220"/>
    </row>
    <row r="92" spans="1:29" s="3020" customFormat="1" ht="14.4" thickBot="1">
      <c r="A92" s="3290"/>
      <c r="B92" s="3252"/>
      <c r="C92" s="3253">
        <v>100</v>
      </c>
      <c r="D92" s="3253">
        <f>C92-$K23</f>
        <v>98</v>
      </c>
      <c r="E92" s="3253">
        <f>D92-$K23</f>
        <v>96</v>
      </c>
      <c r="F92" s="3253">
        <f>E92-$K23</f>
        <v>94</v>
      </c>
      <c r="G92" s="3253">
        <f>F92-$K23</f>
        <v>92</v>
      </c>
      <c r="H92" s="3253"/>
      <c r="I92" s="3253"/>
      <c r="J92" s="3253"/>
      <c r="K92" s="3253"/>
      <c r="L92" s="3253"/>
      <c r="M92" s="3254"/>
      <c r="N92" s="3246"/>
      <c r="O92" s="3246"/>
      <c r="P92" s="3241"/>
      <c r="Q92" s="3204"/>
      <c r="R92" s="3220"/>
      <c r="S92" s="3220"/>
      <c r="T92" s="3220"/>
      <c r="U92" s="3220"/>
      <c r="V92" s="3220"/>
      <c r="W92" s="3220"/>
      <c r="X92" s="3220"/>
      <c r="Y92" s="3220"/>
      <c r="Z92" s="3220"/>
      <c r="AA92" s="3220"/>
      <c r="AB92" s="3220"/>
      <c r="AC92" s="3220"/>
    </row>
    <row r="93" spans="1:29" s="3116" customFormat="1" ht="15" thickTop="1">
      <c r="A93" s="3261"/>
      <c r="B93" s="3294" t="s">
        <v>3202</v>
      </c>
      <c r="C93" s="3283" t="s">
        <v>3262</v>
      </c>
      <c r="D93" s="3283" t="s">
        <v>3263</v>
      </c>
      <c r="E93" s="3283" t="s">
        <v>3264</v>
      </c>
      <c r="F93" s="3283" t="s">
        <v>3265</v>
      </c>
      <c r="G93" s="3283" t="s">
        <v>3266</v>
      </c>
      <c r="H93" s="3295"/>
      <c r="I93" s="3295"/>
      <c r="J93" s="3295"/>
      <c r="K93" s="3295"/>
      <c r="L93" s="3296"/>
      <c r="M93" s="3297"/>
      <c r="N93" s="3266"/>
      <c r="O93" s="3266"/>
      <c r="P93" s="3267"/>
      <c r="Q93" s="3268"/>
      <c r="R93" s="3269"/>
      <c r="S93" s="3269"/>
      <c r="T93" s="3269"/>
      <c r="U93" s="3269"/>
      <c r="V93" s="3269"/>
      <c r="W93" s="3269"/>
      <c r="X93" s="3269"/>
      <c r="Y93" s="3269"/>
      <c r="Z93" s="3269"/>
      <c r="AA93" s="3269"/>
      <c r="AB93" s="3269"/>
      <c r="AC93" s="3269"/>
    </row>
    <row r="94" spans="1:29" s="3116" customFormat="1" ht="14.4" thickBot="1">
      <c r="A94" s="3261"/>
      <c r="B94" s="3252"/>
      <c r="C94" s="3253">
        <v>100</v>
      </c>
      <c r="D94" s="3253">
        <f>C94-$K25</f>
        <v>98</v>
      </c>
      <c r="E94" s="3253">
        <f>D94-$K25</f>
        <v>96</v>
      </c>
      <c r="F94" s="3253">
        <f>E94-$K25</f>
        <v>94</v>
      </c>
      <c r="G94" s="3253">
        <f>F94-$K25</f>
        <v>92</v>
      </c>
      <c r="H94" s="3298"/>
      <c r="I94" s="3298"/>
      <c r="J94" s="3298"/>
      <c r="K94" s="3298"/>
      <c r="L94" s="3298"/>
      <c r="M94" s="3299"/>
      <c r="N94" s="3266"/>
      <c r="O94" s="3266"/>
      <c r="P94" s="3267"/>
      <c r="Q94" s="3268"/>
      <c r="R94" s="3269"/>
      <c r="S94" s="3269"/>
      <c r="T94" s="3269"/>
      <c r="U94" s="3269"/>
      <c r="V94" s="3269"/>
      <c r="W94" s="3269"/>
      <c r="X94" s="3269"/>
      <c r="Y94" s="3269"/>
      <c r="Z94" s="3269"/>
      <c r="AA94" s="3269"/>
      <c r="AB94" s="3269"/>
      <c r="AC94" s="3269"/>
    </row>
    <row r="95" spans="1:29" s="3116" customFormat="1" ht="15" thickTop="1">
      <c r="A95" s="3261"/>
      <c r="B95" s="3300" t="s">
        <v>3268</v>
      </c>
      <c r="C95" s="3301" t="s">
        <v>3208</v>
      </c>
      <c r="D95" s="3301" t="s">
        <v>3269</v>
      </c>
      <c r="E95" s="3301" t="s">
        <v>3270</v>
      </c>
      <c r="F95" s="3301" t="s">
        <v>3271</v>
      </c>
      <c r="G95" s="3301" t="s">
        <v>3219</v>
      </c>
      <c r="H95" s="3295"/>
      <c r="I95" s="3295"/>
      <c r="J95" s="3295"/>
      <c r="K95" s="3295"/>
      <c r="L95" s="3295"/>
      <c r="M95" s="3297"/>
      <c r="N95" s="3266"/>
      <c r="O95" s="3266"/>
      <c r="P95" s="3267"/>
      <c r="Q95" s="3268"/>
      <c r="R95" s="3269"/>
      <c r="S95" s="3269"/>
      <c r="T95" s="3269"/>
      <c r="U95" s="3269"/>
      <c r="V95" s="3269"/>
      <c r="W95" s="3269"/>
      <c r="X95" s="3269"/>
      <c r="Y95" s="3269"/>
      <c r="Z95" s="3269"/>
      <c r="AA95" s="3269"/>
      <c r="AB95" s="3269"/>
      <c r="AC95" s="3269"/>
    </row>
    <row r="96" spans="1:29" s="3116" customFormat="1" ht="14.4" thickBot="1">
      <c r="A96" s="3261"/>
      <c r="B96" s="3255"/>
      <c r="C96" s="3253">
        <v>100</v>
      </c>
      <c r="D96" s="3253">
        <f>C96-$K27</f>
        <v>98</v>
      </c>
      <c r="E96" s="3253">
        <f>D96-$K27</f>
        <v>96</v>
      </c>
      <c r="F96" s="3253">
        <f>E96-$K27</f>
        <v>94</v>
      </c>
      <c r="G96" s="3253">
        <f>F96-$K27</f>
        <v>92</v>
      </c>
      <c r="H96" s="3257"/>
      <c r="I96" s="3257"/>
      <c r="J96" s="3257"/>
      <c r="K96" s="3257"/>
      <c r="L96" s="3257"/>
      <c r="M96" s="3302"/>
      <c r="N96" s="3266"/>
      <c r="O96" s="3266"/>
      <c r="P96" s="3267"/>
      <c r="Q96" s="3268"/>
      <c r="R96" s="3269"/>
      <c r="S96" s="3269"/>
      <c r="T96" s="3269"/>
      <c r="U96" s="3269"/>
      <c r="V96" s="3269"/>
      <c r="W96" s="3269"/>
      <c r="X96" s="3269"/>
      <c r="Y96" s="3269"/>
      <c r="Z96" s="3269"/>
      <c r="AA96" s="3269"/>
      <c r="AB96" s="3269"/>
      <c r="AC96" s="3269"/>
    </row>
    <row r="97" spans="1:29" ht="15" thickTop="1">
      <c r="A97" s="3242"/>
      <c r="B97" s="3247" t="str">
        <f>B29</f>
        <v>临街状况</v>
      </c>
      <c r="C97" s="3248" t="s">
        <v>3272</v>
      </c>
      <c r="D97" s="3248" t="s">
        <v>3273</v>
      </c>
      <c r="E97" s="3248" t="s">
        <v>3274</v>
      </c>
      <c r="F97" s="3248" t="s">
        <v>3275</v>
      </c>
      <c r="G97" s="3248"/>
      <c r="H97" s="3248"/>
      <c r="I97" s="3248"/>
      <c r="J97" s="3248"/>
      <c r="K97" s="3249"/>
      <c r="L97" s="3250"/>
      <c r="M97" s="3251"/>
      <c r="N97" s="3240"/>
      <c r="O97" s="3240"/>
      <c r="P97" s="3241"/>
      <c r="Q97" s="3204"/>
      <c r="R97" s="3139"/>
      <c r="S97" s="3139"/>
      <c r="T97" s="3139"/>
      <c r="U97" s="3139"/>
      <c r="V97" s="3139"/>
      <c r="W97" s="3139"/>
      <c r="X97" s="3139"/>
      <c r="Y97" s="3139"/>
      <c r="Z97" s="3139"/>
      <c r="AA97" s="3139"/>
      <c r="AB97" s="3139"/>
      <c r="AC97" s="3139"/>
    </row>
    <row r="98" spans="1:29" ht="14.4" thickBot="1">
      <c r="A98" s="3242"/>
      <c r="B98" s="3252"/>
      <c r="C98" s="3253">
        <v>100</v>
      </c>
      <c r="D98" s="3253">
        <f t="shared" ref="D98:M98" si="23">C98-$K29</f>
        <v>100</v>
      </c>
      <c r="E98" s="3253">
        <f t="shared" si="23"/>
        <v>100</v>
      </c>
      <c r="F98" s="3253">
        <f t="shared" si="23"/>
        <v>100</v>
      </c>
      <c r="G98" s="3253">
        <f t="shared" si="23"/>
        <v>100</v>
      </c>
      <c r="H98" s="3253">
        <f t="shared" si="23"/>
        <v>100</v>
      </c>
      <c r="I98" s="3253">
        <f t="shared" si="23"/>
        <v>100</v>
      </c>
      <c r="J98" s="3253">
        <f t="shared" si="23"/>
        <v>100</v>
      </c>
      <c r="K98" s="3253">
        <f t="shared" si="23"/>
        <v>100</v>
      </c>
      <c r="L98" s="3253">
        <f t="shared" si="23"/>
        <v>100</v>
      </c>
      <c r="M98" s="3253">
        <f t="shared" si="23"/>
        <v>100</v>
      </c>
      <c r="N98" s="3246"/>
      <c r="O98" s="3246"/>
      <c r="P98" s="3241"/>
      <c r="Q98" s="3204"/>
      <c r="R98" s="3139"/>
      <c r="S98" s="3139"/>
      <c r="T98" s="3139"/>
      <c r="U98" s="3139"/>
      <c r="V98" s="3139"/>
      <c r="W98" s="3139"/>
      <c r="X98" s="3139"/>
      <c r="Y98" s="3139"/>
      <c r="Z98" s="3139"/>
      <c r="AA98" s="3139"/>
      <c r="AB98" s="3139"/>
      <c r="AC98" s="3139"/>
    </row>
    <row r="99" spans="1:29" ht="29.4" thickTop="1">
      <c r="A99" s="3242"/>
      <c r="B99" s="3247" t="s">
        <v>3210</v>
      </c>
      <c r="C99" s="3303" t="s">
        <v>3276</v>
      </c>
      <c r="D99" s="3303" t="s">
        <v>3277</v>
      </c>
      <c r="E99" s="3303" t="s">
        <v>3278</v>
      </c>
      <c r="F99" s="3303" t="s">
        <v>3279</v>
      </c>
      <c r="G99" s="3262"/>
      <c r="H99" s="3304"/>
      <c r="I99" s="3304"/>
      <c r="J99" s="3304"/>
      <c r="K99" s="3305"/>
      <c r="L99" s="3306"/>
      <c r="M99" s="3307"/>
      <c r="N99" s="3240"/>
      <c r="O99" s="3240"/>
      <c r="P99" s="3241"/>
      <c r="Q99" s="3204"/>
      <c r="R99" s="3139"/>
      <c r="S99" s="3139"/>
      <c r="T99" s="3139"/>
      <c r="U99" s="3139"/>
      <c r="V99" s="3139"/>
      <c r="W99" s="3139"/>
      <c r="X99" s="3139"/>
      <c r="Y99" s="3139"/>
      <c r="Z99" s="3139"/>
      <c r="AA99" s="3139"/>
      <c r="AB99" s="3139"/>
      <c r="AC99" s="3139"/>
    </row>
    <row r="100" spans="1:29" ht="14.4" thickBot="1">
      <c r="A100" s="3242"/>
      <c r="B100" s="3252"/>
      <c r="C100" s="3253">
        <v>100</v>
      </c>
      <c r="D100" s="3253">
        <f t="shared" ref="D100:M100" si="24">C100-$K30</f>
        <v>100</v>
      </c>
      <c r="E100" s="3253">
        <f t="shared" si="24"/>
        <v>100</v>
      </c>
      <c r="F100" s="3253">
        <f t="shared" si="24"/>
        <v>100</v>
      </c>
      <c r="G100" s="3253">
        <f t="shared" si="24"/>
        <v>100</v>
      </c>
      <c r="H100" s="3253">
        <f t="shared" si="24"/>
        <v>100</v>
      </c>
      <c r="I100" s="3253">
        <f t="shared" si="24"/>
        <v>100</v>
      </c>
      <c r="J100" s="3253">
        <f t="shared" si="24"/>
        <v>100</v>
      </c>
      <c r="K100" s="3253">
        <f t="shared" si="24"/>
        <v>100</v>
      </c>
      <c r="L100" s="3253">
        <f t="shared" si="24"/>
        <v>100</v>
      </c>
      <c r="M100" s="3253">
        <f t="shared" si="24"/>
        <v>100</v>
      </c>
      <c r="N100" s="3246"/>
      <c r="O100" s="3246"/>
      <c r="P100" s="3241"/>
      <c r="Q100" s="3204"/>
      <c r="R100" s="3139"/>
      <c r="S100" s="3139"/>
      <c r="T100" s="3139"/>
      <c r="U100" s="3139"/>
      <c r="V100" s="3139"/>
      <c r="W100" s="3139"/>
      <c r="X100" s="3139"/>
      <c r="Y100" s="3139"/>
      <c r="Z100" s="3139"/>
      <c r="AA100" s="3139"/>
      <c r="AB100" s="3139"/>
      <c r="AC100" s="3139"/>
    </row>
    <row r="101" spans="1:29" ht="15" thickTop="1">
      <c r="A101" s="3242"/>
      <c r="B101" s="3247" t="s">
        <v>3211</v>
      </c>
      <c r="C101" s="3304"/>
      <c r="D101" s="3304"/>
      <c r="E101" s="3304"/>
      <c r="F101" s="3304"/>
      <c r="G101" s="3304"/>
      <c r="H101" s="3304"/>
      <c r="I101" s="3304"/>
      <c r="J101" s="3304"/>
      <c r="K101" s="3305"/>
      <c r="L101" s="3306"/>
      <c r="M101" s="3307"/>
      <c r="N101" s="3240"/>
      <c r="O101" s="3240"/>
      <c r="P101" s="3241"/>
      <c r="Q101" s="3204"/>
      <c r="R101" s="3139"/>
      <c r="S101" s="3139"/>
      <c r="T101" s="3139"/>
      <c r="U101" s="3139"/>
      <c r="V101" s="3139"/>
      <c r="W101" s="3139"/>
      <c r="X101" s="3139"/>
      <c r="Y101" s="3139"/>
      <c r="Z101" s="3139"/>
      <c r="AA101" s="3139"/>
      <c r="AB101" s="3139"/>
      <c r="AC101" s="3139"/>
    </row>
    <row r="102" spans="1:29" ht="14.4" thickBot="1">
      <c r="A102" s="3242"/>
      <c r="B102" s="3252"/>
      <c r="C102" s="3253">
        <v>100</v>
      </c>
      <c r="D102" s="3253">
        <f t="shared" ref="D102:M102" si="25">C102-$K32</f>
        <v>100</v>
      </c>
      <c r="E102" s="3253">
        <f t="shared" si="25"/>
        <v>100</v>
      </c>
      <c r="F102" s="3253">
        <f t="shared" si="25"/>
        <v>100</v>
      </c>
      <c r="G102" s="3253">
        <f t="shared" si="25"/>
        <v>100</v>
      </c>
      <c r="H102" s="3253">
        <f t="shared" si="25"/>
        <v>100</v>
      </c>
      <c r="I102" s="3253">
        <f t="shared" si="25"/>
        <v>100</v>
      </c>
      <c r="J102" s="3253">
        <f t="shared" si="25"/>
        <v>100</v>
      </c>
      <c r="K102" s="3253">
        <f t="shared" si="25"/>
        <v>100</v>
      </c>
      <c r="L102" s="3253">
        <f t="shared" si="25"/>
        <v>100</v>
      </c>
      <c r="M102" s="3253">
        <f t="shared" si="25"/>
        <v>100</v>
      </c>
      <c r="N102" s="3246"/>
      <c r="O102" s="3246"/>
      <c r="P102" s="3241"/>
      <c r="Q102" s="3204"/>
      <c r="R102" s="3139"/>
      <c r="S102" s="3139"/>
      <c r="T102" s="3139"/>
      <c r="U102" s="3139"/>
      <c r="V102" s="3139"/>
      <c r="W102" s="3139"/>
      <c r="X102" s="3139"/>
      <c r="Y102" s="3139"/>
      <c r="Z102" s="3139"/>
      <c r="AA102" s="3139"/>
      <c r="AB102" s="3139"/>
      <c r="AC102" s="3139"/>
    </row>
    <row r="103" spans="1:29" ht="14.4" thickTop="1">
      <c r="A103" s="3242"/>
      <c r="B103" s="3255">
        <f>B33</f>
        <v>111</v>
      </c>
      <c r="C103" s="3262"/>
      <c r="D103" s="3262"/>
      <c r="E103" s="3262"/>
      <c r="F103" s="3262"/>
      <c r="G103" s="3308"/>
      <c r="H103" s="3308"/>
      <c r="I103" s="3308"/>
      <c r="J103" s="3308"/>
      <c r="K103" s="3309"/>
      <c r="L103" s="3310"/>
      <c r="M103" s="3311"/>
      <c r="N103" s="3240"/>
      <c r="O103" s="3240"/>
      <c r="P103" s="3241"/>
      <c r="Q103" s="3204"/>
      <c r="R103" s="3139"/>
      <c r="S103" s="3139"/>
      <c r="T103" s="3139"/>
      <c r="U103" s="3139"/>
      <c r="V103" s="3139"/>
      <c r="W103" s="3139"/>
      <c r="X103" s="3139"/>
      <c r="Y103" s="3139"/>
      <c r="Z103" s="3139"/>
      <c r="AA103" s="3139"/>
      <c r="AB103" s="3139"/>
      <c r="AC103" s="3139"/>
    </row>
    <row r="104" spans="1:29" ht="14.4" thickBot="1">
      <c r="A104" s="3242"/>
      <c r="B104" s="3279"/>
      <c r="C104" s="3270"/>
      <c r="D104" s="3244"/>
      <c r="E104" s="3244"/>
      <c r="F104" s="3244"/>
      <c r="G104" s="3312"/>
      <c r="H104" s="3312"/>
      <c r="I104" s="3312"/>
      <c r="J104" s="3312"/>
      <c r="K104" s="3312"/>
      <c r="L104" s="3312"/>
      <c r="M104" s="3313"/>
      <c r="N104" s="3246"/>
      <c r="O104" s="3246"/>
      <c r="P104" s="3241"/>
      <c r="Q104" s="3204"/>
      <c r="R104" s="3139"/>
      <c r="S104" s="3139"/>
      <c r="T104" s="3139"/>
      <c r="U104" s="3139"/>
      <c r="V104" s="3139"/>
      <c r="W104" s="3139"/>
      <c r="X104" s="3139"/>
      <c r="Y104" s="3139"/>
      <c r="Z104" s="3139"/>
      <c r="AA104" s="3139"/>
      <c r="AB104" s="3139"/>
      <c r="AC104" s="3139"/>
    </row>
    <row r="105" spans="1:29" ht="14.4" thickTop="1">
      <c r="A105" s="3103"/>
      <c r="B105" s="3247">
        <f>B34</f>
        <v>111</v>
      </c>
      <c r="C105" s="3262"/>
      <c r="D105" s="3262"/>
      <c r="E105" s="3262"/>
      <c r="F105" s="3262"/>
      <c r="G105" s="3304"/>
      <c r="H105" s="3304"/>
      <c r="I105" s="3304"/>
      <c r="J105" s="3304"/>
      <c r="K105" s="3305"/>
      <c r="L105" s="3306"/>
      <c r="M105" s="3307"/>
      <c r="N105" s="3240"/>
      <c r="O105" s="3240"/>
      <c r="P105" s="3241"/>
      <c r="Q105" s="3204"/>
      <c r="R105" s="3139"/>
      <c r="S105" s="3139"/>
      <c r="T105" s="3139"/>
      <c r="U105" s="3139"/>
      <c r="V105" s="3139"/>
      <c r="W105" s="3139"/>
      <c r="X105" s="3139"/>
      <c r="Y105" s="3139"/>
      <c r="Z105" s="3139"/>
      <c r="AA105" s="3139"/>
      <c r="AB105" s="3139"/>
      <c r="AC105" s="3139"/>
    </row>
    <row r="106" spans="1:29" ht="14.4" thickBot="1">
      <c r="A106" s="3242"/>
      <c r="B106" s="3252"/>
      <c r="C106" s="3270"/>
      <c r="D106" s="3270"/>
      <c r="E106" s="3270"/>
      <c r="F106" s="3270"/>
      <c r="G106" s="3244"/>
      <c r="H106" s="3244"/>
      <c r="I106" s="3244"/>
      <c r="J106" s="3244"/>
      <c r="K106" s="3244"/>
      <c r="L106" s="3244"/>
      <c r="M106" s="3245"/>
      <c r="N106" s="3246"/>
      <c r="O106" s="3246"/>
      <c r="P106" s="3241"/>
      <c r="Q106" s="3204"/>
      <c r="R106" s="3139"/>
      <c r="S106" s="3139"/>
      <c r="T106" s="3139"/>
      <c r="U106" s="3139"/>
      <c r="V106" s="3139"/>
      <c r="W106" s="3139"/>
      <c r="X106" s="3139"/>
      <c r="Y106" s="3139"/>
      <c r="Z106" s="3139"/>
      <c r="AA106" s="3139"/>
      <c r="AB106" s="3139"/>
      <c r="AC106" s="3139"/>
    </row>
    <row r="107" spans="1:29" s="3116" customFormat="1" ht="14.4" thickTop="1">
      <c r="A107" s="3314"/>
      <c r="B107" s="3315">
        <f>B35</f>
        <v>111</v>
      </c>
      <c r="C107" s="3228"/>
      <c r="D107" s="3228"/>
      <c r="E107" s="3228"/>
      <c r="F107" s="3228"/>
      <c r="G107" s="3216"/>
      <c r="H107" s="3216"/>
      <c r="I107" s="3216"/>
      <c r="J107" s="3316"/>
      <c r="K107" s="3316"/>
      <c r="L107" s="3317"/>
      <c r="M107" s="3318"/>
      <c r="N107" s="3266"/>
      <c r="O107" s="3266"/>
      <c r="P107" s="3267"/>
      <c r="Q107" s="3268"/>
      <c r="R107" s="3269"/>
      <c r="S107" s="3269"/>
      <c r="T107" s="3269"/>
      <c r="U107" s="3269"/>
      <c r="V107" s="3269"/>
      <c r="W107" s="3269"/>
      <c r="X107" s="3269"/>
      <c r="Y107" s="3269"/>
      <c r="Z107" s="3269"/>
      <c r="AA107" s="3269"/>
      <c r="AB107" s="3269"/>
      <c r="AC107" s="3269"/>
    </row>
    <row r="108" spans="1:29" s="3116" customFormat="1" ht="14.4" thickBot="1">
      <c r="A108" s="3261"/>
      <c r="B108" s="3255"/>
      <c r="C108" s="3280"/>
      <c r="D108" s="3280"/>
      <c r="E108" s="3280"/>
      <c r="F108" s="3280"/>
      <c r="G108" s="3319"/>
      <c r="H108" s="3319"/>
      <c r="I108" s="3319"/>
      <c r="J108" s="3319"/>
      <c r="K108" s="3319"/>
      <c r="L108" s="3319"/>
      <c r="M108" s="3320"/>
      <c r="N108" s="3246"/>
      <c r="O108" s="3246"/>
      <c r="P108" s="3267"/>
      <c r="Q108" s="3268"/>
      <c r="R108" s="3269"/>
      <c r="S108" s="3269"/>
      <c r="T108" s="3269"/>
      <c r="U108" s="3269"/>
      <c r="V108" s="3269"/>
      <c r="W108" s="3269"/>
      <c r="X108" s="3269"/>
      <c r="Y108" s="3269"/>
      <c r="Z108" s="3269"/>
      <c r="AA108" s="3269"/>
      <c r="AB108" s="3269"/>
      <c r="AC108" s="3269"/>
    </row>
    <row r="109" spans="1:29" ht="27.6">
      <c r="A109" s="3235" t="s">
        <v>3280</v>
      </c>
      <c r="B109" s="3236" t="s">
        <v>3214</v>
      </c>
      <c r="C109" s="3284" t="str">
        <f t="shared" ref="C109:L109" si="26">C110&amp;"(含)"&amp;"-"&amp;D110</f>
        <v>0(含)-10000</v>
      </c>
      <c r="D109" s="3284" t="str">
        <f t="shared" si="26"/>
        <v>10000(含)-20000</v>
      </c>
      <c r="E109" s="3284" t="str">
        <f t="shared" si="26"/>
        <v>20000(含)-30000</v>
      </c>
      <c r="F109" s="3284" t="str">
        <f t="shared" si="26"/>
        <v>30000(含)-40000</v>
      </c>
      <c r="G109" s="3284" t="str">
        <f t="shared" si="26"/>
        <v>40000(含)-50000</v>
      </c>
      <c r="H109" s="3284" t="str">
        <f t="shared" si="26"/>
        <v>50000(含)-60000</v>
      </c>
      <c r="I109" s="3284" t="str">
        <f t="shared" si="26"/>
        <v>60000(含)-70000</v>
      </c>
      <c r="J109" s="3284" t="str">
        <f t="shared" si="26"/>
        <v>70000(含)-80000</v>
      </c>
      <c r="K109" s="3321" t="str">
        <f t="shared" si="26"/>
        <v>80000(含)-</v>
      </c>
      <c r="L109" s="3322" t="str">
        <f t="shared" si="26"/>
        <v>(含)-</v>
      </c>
      <c r="M109" s="3323" t="str">
        <f>M110&amp;"(含)"&amp;"-"&amp;P110</f>
        <v>(含)-</v>
      </c>
      <c r="N109" s="3240"/>
      <c r="O109" s="3240"/>
      <c r="P109" s="3241"/>
      <c r="Q109" s="3204"/>
      <c r="R109" s="3139"/>
      <c r="S109" s="3139"/>
      <c r="T109" s="3139"/>
      <c r="U109" s="3139"/>
      <c r="V109" s="3139"/>
      <c r="W109" s="3139"/>
      <c r="X109" s="3139"/>
      <c r="Y109" s="3139"/>
      <c r="Z109" s="3139"/>
      <c r="AA109" s="3139"/>
      <c r="AB109" s="3139"/>
      <c r="AC109" s="3139"/>
    </row>
    <row r="110" spans="1:29">
      <c r="A110" s="3242"/>
      <c r="B110" s="3255"/>
      <c r="C110" s="3216">
        <v>0</v>
      </c>
      <c r="D110" s="3216">
        <v>10000</v>
      </c>
      <c r="E110" s="3216">
        <v>20000</v>
      </c>
      <c r="F110" s="3216">
        <v>30000</v>
      </c>
      <c r="G110" s="3216">
        <v>40000</v>
      </c>
      <c r="H110" s="3216">
        <v>50000</v>
      </c>
      <c r="I110" s="3216">
        <v>60000</v>
      </c>
      <c r="J110" s="3316">
        <v>70000</v>
      </c>
      <c r="K110" s="3316">
        <v>80000</v>
      </c>
      <c r="L110" s="3317"/>
      <c r="M110" s="3318"/>
      <c r="N110" s="3240"/>
      <c r="O110" s="3240"/>
      <c r="P110" s="3241"/>
      <c r="Q110" s="3204"/>
      <c r="R110" s="3139"/>
      <c r="S110" s="3139"/>
      <c r="T110" s="3139"/>
      <c r="U110" s="3139"/>
      <c r="V110" s="3139"/>
      <c r="W110" s="3139"/>
      <c r="X110" s="3139"/>
      <c r="Y110" s="3139"/>
      <c r="Z110" s="3139"/>
      <c r="AA110" s="3139"/>
      <c r="AB110" s="3139"/>
      <c r="AC110" s="3139"/>
    </row>
    <row r="111" spans="1:29" ht="14.4" thickBot="1">
      <c r="A111" s="3242"/>
      <c r="B111" s="3252"/>
      <c r="C111" s="3280">
        <v>100</v>
      </c>
      <c r="D111" s="3312">
        <v>103</v>
      </c>
      <c r="E111" s="3280">
        <v>106</v>
      </c>
      <c r="F111" s="3312">
        <v>109</v>
      </c>
      <c r="G111" s="3280">
        <v>112</v>
      </c>
      <c r="H111" s="3312">
        <v>115</v>
      </c>
      <c r="I111" s="3280">
        <v>118</v>
      </c>
      <c r="J111" s="3312">
        <v>121</v>
      </c>
      <c r="K111" s="3280">
        <v>124</v>
      </c>
      <c r="L111" s="3312"/>
      <c r="M111" s="3313"/>
      <c r="N111" s="3246"/>
      <c r="O111" s="3246"/>
      <c r="P111" s="3241"/>
      <c r="Q111" s="3204"/>
      <c r="R111" s="3139"/>
      <c r="S111" s="3139"/>
      <c r="T111" s="3139"/>
      <c r="U111" s="3139"/>
      <c r="V111" s="3139"/>
      <c r="W111" s="3139"/>
      <c r="X111" s="3139"/>
      <c r="Y111" s="3139"/>
      <c r="Z111" s="3139"/>
      <c r="AA111" s="3139"/>
      <c r="AB111" s="3139"/>
      <c r="AC111" s="3139"/>
    </row>
    <row r="112" spans="1:29" ht="15" thickTop="1">
      <c r="A112" s="3324"/>
      <c r="B112" s="3247" t="s">
        <v>3215</v>
      </c>
      <c r="C112" s="3304"/>
      <c r="D112" s="3304"/>
      <c r="E112" s="3304"/>
      <c r="F112" s="3304"/>
      <c r="G112" s="3304"/>
      <c r="H112" s="3304"/>
      <c r="I112" s="3304"/>
      <c r="J112" s="3304"/>
      <c r="K112" s="3305"/>
      <c r="L112" s="3306"/>
      <c r="M112" s="3307"/>
      <c r="N112" s="3240"/>
      <c r="O112" s="3240"/>
      <c r="P112" s="3241"/>
      <c r="Q112" s="3204"/>
      <c r="R112" s="3139"/>
      <c r="S112" s="3139"/>
      <c r="T112" s="3139"/>
      <c r="U112" s="3139"/>
      <c r="V112" s="3139"/>
      <c r="W112" s="3139"/>
      <c r="X112" s="3139"/>
      <c r="Y112" s="3139"/>
      <c r="Z112" s="3139"/>
      <c r="AA112" s="3139"/>
      <c r="AB112" s="3139"/>
      <c r="AC112" s="3139"/>
    </row>
    <row r="113" spans="1:29" ht="14.4" thickBot="1">
      <c r="A113" s="3242"/>
      <c r="B113" s="3252"/>
      <c r="C113" s="3253">
        <v>100</v>
      </c>
      <c r="D113" s="3253">
        <f t="shared" ref="D113:M113" si="27">C113-$K37</f>
        <v>100</v>
      </c>
      <c r="E113" s="3253">
        <f t="shared" si="27"/>
        <v>100</v>
      </c>
      <c r="F113" s="3253">
        <f t="shared" si="27"/>
        <v>100</v>
      </c>
      <c r="G113" s="3253">
        <f t="shared" si="27"/>
        <v>100</v>
      </c>
      <c r="H113" s="3253">
        <f t="shared" si="27"/>
        <v>100</v>
      </c>
      <c r="I113" s="3253">
        <f t="shared" si="27"/>
        <v>100</v>
      </c>
      <c r="J113" s="3253">
        <f t="shared" si="27"/>
        <v>100</v>
      </c>
      <c r="K113" s="3253">
        <f t="shared" si="27"/>
        <v>100</v>
      </c>
      <c r="L113" s="3253">
        <f t="shared" si="27"/>
        <v>100</v>
      </c>
      <c r="M113" s="3254">
        <f t="shared" si="27"/>
        <v>100</v>
      </c>
      <c r="N113" s="3246"/>
      <c r="O113" s="3246"/>
      <c r="P113" s="3241"/>
      <c r="Q113" s="3204"/>
      <c r="R113" s="3139"/>
      <c r="S113" s="3139"/>
      <c r="T113" s="3139"/>
      <c r="U113" s="3139"/>
      <c r="V113" s="3139"/>
      <c r="W113" s="3139"/>
      <c r="X113" s="3139"/>
      <c r="Y113" s="3139"/>
      <c r="Z113" s="3139"/>
      <c r="AA113" s="3139"/>
      <c r="AB113" s="3139"/>
      <c r="AC113" s="3139"/>
    </row>
    <row r="114" spans="1:29" s="3116" customFormat="1" ht="15" thickTop="1">
      <c r="A114" s="3314"/>
      <c r="B114" s="3294" t="s">
        <v>3217</v>
      </c>
      <c r="C114" s="3325" t="s">
        <v>3208</v>
      </c>
      <c r="D114" s="3325" t="s">
        <v>3269</v>
      </c>
      <c r="E114" s="3325" t="s">
        <v>3270</v>
      </c>
      <c r="F114" s="3325" t="s">
        <v>3271</v>
      </c>
      <c r="G114" s="3325" t="s">
        <v>3219</v>
      </c>
      <c r="H114" s="3326" t="s">
        <v>3281</v>
      </c>
      <c r="I114" s="3304"/>
      <c r="J114" s="3304"/>
      <c r="K114" s="3305"/>
      <c r="L114" s="3306"/>
      <c r="M114" s="3307"/>
      <c r="N114" s="3266"/>
      <c r="O114" s="3266"/>
      <c r="P114" s="3267"/>
      <c r="Q114" s="3268"/>
      <c r="R114" s="3269"/>
      <c r="S114" s="3269"/>
      <c r="T114" s="3269"/>
      <c r="U114" s="3269"/>
      <c r="V114" s="3269"/>
      <c r="W114" s="3269"/>
      <c r="X114" s="3269"/>
      <c r="Y114" s="3269"/>
      <c r="Z114" s="3269"/>
      <c r="AA114" s="3269"/>
      <c r="AB114" s="3269"/>
      <c r="AC114" s="3269"/>
    </row>
    <row r="115" spans="1:29" s="3116" customFormat="1" ht="14.4" thickBot="1">
      <c r="A115" s="3261"/>
      <c r="B115" s="3252"/>
      <c r="C115" s="3253">
        <v>100</v>
      </c>
      <c r="D115" s="3253">
        <f t="shared" ref="D115:M115" si="28">C115-$K38</f>
        <v>98</v>
      </c>
      <c r="E115" s="3253">
        <f t="shared" si="28"/>
        <v>96</v>
      </c>
      <c r="F115" s="3253">
        <f t="shared" si="28"/>
        <v>94</v>
      </c>
      <c r="G115" s="3253">
        <f t="shared" si="28"/>
        <v>92</v>
      </c>
      <c r="H115" s="3253">
        <f t="shared" si="28"/>
        <v>90</v>
      </c>
      <c r="I115" s="3253">
        <f t="shared" si="28"/>
        <v>88</v>
      </c>
      <c r="J115" s="3253">
        <f t="shared" si="28"/>
        <v>86</v>
      </c>
      <c r="K115" s="3253">
        <f t="shared" si="28"/>
        <v>84</v>
      </c>
      <c r="L115" s="3253">
        <f t="shared" si="28"/>
        <v>82</v>
      </c>
      <c r="M115" s="3254">
        <f t="shared" si="28"/>
        <v>80</v>
      </c>
      <c r="N115" s="3266"/>
      <c r="O115" s="3266"/>
      <c r="P115" s="3267"/>
      <c r="Q115" s="3268"/>
      <c r="R115" s="3269"/>
      <c r="S115" s="3269"/>
      <c r="T115" s="3269"/>
      <c r="U115" s="3269"/>
      <c r="V115" s="3269"/>
      <c r="W115" s="3269"/>
      <c r="X115" s="3269"/>
      <c r="Y115" s="3269"/>
      <c r="Z115" s="3269"/>
      <c r="AA115" s="3269"/>
      <c r="AB115" s="3269"/>
      <c r="AC115" s="3269"/>
    </row>
    <row r="116" spans="1:29" ht="15" thickTop="1">
      <c r="A116" s="3324"/>
      <c r="B116" s="3247" t="s">
        <v>3220</v>
      </c>
      <c r="C116" s="3262"/>
      <c r="D116" s="3262"/>
      <c r="E116" s="3304"/>
      <c r="F116" s="3304"/>
      <c r="G116" s="3304"/>
      <c r="H116" s="3304"/>
      <c r="I116" s="3304"/>
      <c r="J116" s="3304"/>
      <c r="K116" s="3305"/>
      <c r="L116" s="3306"/>
      <c r="M116" s="3307"/>
      <c r="N116" s="3240"/>
      <c r="O116" s="3240"/>
      <c r="P116" s="3241"/>
      <c r="Q116" s="3204"/>
      <c r="R116" s="3139"/>
      <c r="S116" s="3139"/>
      <c r="T116" s="3139"/>
      <c r="U116" s="3139"/>
      <c r="V116" s="3139"/>
      <c r="W116" s="3139"/>
      <c r="X116" s="3139"/>
      <c r="Y116" s="3139"/>
      <c r="Z116" s="3139"/>
      <c r="AA116" s="3139"/>
      <c r="AB116" s="3139"/>
      <c r="AC116" s="3139"/>
    </row>
    <row r="117" spans="1:29" ht="14.4" thickBot="1">
      <c r="A117" s="3242"/>
      <c r="B117" s="3252"/>
      <c r="C117" s="3253">
        <v>100</v>
      </c>
      <c r="D117" s="3253">
        <f t="shared" ref="D117:M117" si="29">C117-$K39</f>
        <v>100</v>
      </c>
      <c r="E117" s="3253">
        <f t="shared" si="29"/>
        <v>100</v>
      </c>
      <c r="F117" s="3253">
        <f t="shared" si="29"/>
        <v>100</v>
      </c>
      <c r="G117" s="3253">
        <f t="shared" si="29"/>
        <v>100</v>
      </c>
      <c r="H117" s="3253">
        <f t="shared" si="29"/>
        <v>100</v>
      </c>
      <c r="I117" s="3253">
        <f t="shared" si="29"/>
        <v>100</v>
      </c>
      <c r="J117" s="3253">
        <f t="shared" si="29"/>
        <v>100</v>
      </c>
      <c r="K117" s="3253">
        <f t="shared" si="29"/>
        <v>100</v>
      </c>
      <c r="L117" s="3253">
        <f t="shared" si="29"/>
        <v>100</v>
      </c>
      <c r="M117" s="3254">
        <f t="shared" si="29"/>
        <v>100</v>
      </c>
      <c r="N117" s="3246"/>
      <c r="O117" s="3246"/>
      <c r="P117" s="3241"/>
      <c r="Q117" s="3204"/>
      <c r="R117" s="3139"/>
      <c r="S117" s="3139"/>
      <c r="T117" s="3139"/>
      <c r="U117" s="3139"/>
      <c r="V117" s="3139"/>
      <c r="W117" s="3139"/>
      <c r="X117" s="3139"/>
      <c r="Y117" s="3139"/>
      <c r="Z117" s="3139"/>
      <c r="AA117" s="3139"/>
      <c r="AB117" s="3139"/>
      <c r="AC117" s="3139"/>
    </row>
    <row r="118" spans="1:29" ht="14.4" thickTop="1">
      <c r="A118" s="3324"/>
      <c r="B118" s="3247">
        <f>B40</f>
        <v>111</v>
      </c>
      <c r="C118" s="3262"/>
      <c r="D118" s="3262"/>
      <c r="E118" s="3262"/>
      <c r="F118" s="3262"/>
      <c r="G118" s="3262"/>
      <c r="H118" s="3304"/>
      <c r="I118" s="3304"/>
      <c r="J118" s="3304"/>
      <c r="K118" s="3305"/>
      <c r="L118" s="3306"/>
      <c r="M118" s="3307"/>
      <c r="N118" s="3240"/>
      <c r="O118" s="3240"/>
      <c r="P118" s="3241"/>
      <c r="Q118" s="3204"/>
      <c r="R118" s="3139"/>
      <c r="S118" s="3139"/>
      <c r="T118" s="3139"/>
      <c r="U118" s="3139"/>
      <c r="V118" s="3139"/>
      <c r="W118" s="3139"/>
      <c r="X118" s="3139"/>
      <c r="Y118" s="3139"/>
      <c r="Z118" s="3139"/>
      <c r="AA118" s="3139"/>
      <c r="AB118" s="3139"/>
      <c r="AC118" s="3139"/>
    </row>
    <row r="119" spans="1:29" ht="14.4" thickBot="1">
      <c r="A119" s="3242"/>
      <c r="B119" s="3252"/>
      <c r="C119" s="3270"/>
      <c r="D119" s="3244"/>
      <c r="E119" s="3244"/>
      <c r="F119" s="3244"/>
      <c r="G119" s="3244"/>
      <c r="H119" s="3244"/>
      <c r="I119" s="3244"/>
      <c r="J119" s="3244"/>
      <c r="K119" s="3244"/>
      <c r="L119" s="3244"/>
      <c r="M119" s="3245"/>
      <c r="N119" s="3246"/>
      <c r="O119" s="3246"/>
      <c r="P119" s="3241"/>
      <c r="Q119" s="3204"/>
      <c r="R119" s="3139"/>
      <c r="S119" s="3139"/>
      <c r="T119" s="3139"/>
      <c r="U119" s="3139"/>
      <c r="V119" s="3139"/>
      <c r="W119" s="3139"/>
      <c r="X119" s="3139"/>
      <c r="Y119" s="3139"/>
      <c r="Z119" s="3139"/>
      <c r="AA119" s="3139"/>
      <c r="AB119" s="3139"/>
      <c r="AC119" s="3139"/>
    </row>
    <row r="120" spans="1:29" ht="14.4" thickTop="1">
      <c r="A120" s="3324"/>
      <c r="B120" s="3247">
        <f>B41</f>
        <v>111</v>
      </c>
      <c r="C120" s="3262"/>
      <c r="D120" s="3262"/>
      <c r="E120" s="3262"/>
      <c r="F120" s="3262"/>
      <c r="G120" s="3304"/>
      <c r="H120" s="3304"/>
      <c r="I120" s="3304"/>
      <c r="J120" s="3304"/>
      <c r="K120" s="3305"/>
      <c r="L120" s="3306"/>
      <c r="M120" s="3307"/>
      <c r="N120" s="3240"/>
      <c r="O120" s="3240"/>
      <c r="P120" s="3241"/>
      <c r="Q120" s="3204"/>
      <c r="R120" s="3139"/>
      <c r="S120" s="3139"/>
      <c r="T120" s="3139"/>
      <c r="U120" s="3139"/>
      <c r="V120" s="3139"/>
      <c r="W120" s="3139"/>
      <c r="X120" s="3139"/>
      <c r="Y120" s="3139"/>
      <c r="Z120" s="3139"/>
      <c r="AA120" s="3139"/>
      <c r="AB120" s="3139"/>
      <c r="AC120" s="3139"/>
    </row>
    <row r="121" spans="1:29" ht="14.4" thickBot="1">
      <c r="A121" s="3242"/>
      <c r="B121" s="3252"/>
      <c r="C121" s="3270"/>
      <c r="D121" s="3270"/>
      <c r="E121" s="3270"/>
      <c r="F121" s="3270"/>
      <c r="G121" s="3244"/>
      <c r="H121" s="3244"/>
      <c r="I121" s="3244"/>
      <c r="J121" s="3244"/>
      <c r="K121" s="3244"/>
      <c r="L121" s="3244"/>
      <c r="M121" s="3245"/>
      <c r="N121" s="3246"/>
      <c r="O121" s="3246"/>
      <c r="P121" s="3241"/>
      <c r="Q121" s="3204"/>
      <c r="R121" s="3139"/>
      <c r="S121" s="3139"/>
      <c r="T121" s="3139"/>
      <c r="U121" s="3139"/>
      <c r="V121" s="3139"/>
      <c r="W121" s="3139"/>
      <c r="X121" s="3139"/>
      <c r="Y121" s="3139"/>
      <c r="Z121" s="3139"/>
      <c r="AA121" s="3139"/>
      <c r="AB121" s="3139"/>
      <c r="AC121" s="3139"/>
    </row>
    <row r="122" spans="1:29" s="3116" customFormat="1" ht="14.4" thickTop="1">
      <c r="A122" s="3314"/>
      <c r="B122" s="3247">
        <f>B42</f>
        <v>111</v>
      </c>
      <c r="C122" s="3228"/>
      <c r="D122" s="3228"/>
      <c r="E122" s="3228"/>
      <c r="F122" s="3228"/>
      <c r="G122" s="3263"/>
      <c r="H122" s="3263"/>
      <c r="I122" s="3263"/>
      <c r="J122" s="3263"/>
      <c r="K122" s="3263"/>
      <c r="L122" s="3264"/>
      <c r="M122" s="3265"/>
      <c r="N122" s="3266"/>
      <c r="O122" s="3266"/>
      <c r="P122" s="3267"/>
      <c r="Q122" s="3268"/>
      <c r="R122" s="3269"/>
      <c r="S122" s="3269"/>
      <c r="T122" s="3269"/>
      <c r="U122" s="3269"/>
      <c r="V122" s="3269"/>
      <c r="W122" s="3269"/>
      <c r="X122" s="3269"/>
      <c r="Y122" s="3269"/>
      <c r="Z122" s="3269"/>
      <c r="AA122" s="3269"/>
      <c r="AB122" s="3269"/>
      <c r="AC122" s="3269"/>
    </row>
    <row r="123" spans="1:29" s="3116" customFormat="1" ht="14.4" thickBot="1">
      <c r="A123" s="3278"/>
      <c r="B123" s="3327"/>
      <c r="C123" s="3280"/>
      <c r="D123" s="3280"/>
      <c r="E123" s="3280"/>
      <c r="F123" s="3280"/>
      <c r="G123" s="3312"/>
      <c r="H123" s="3312"/>
      <c r="I123" s="3312"/>
      <c r="J123" s="3312"/>
      <c r="K123" s="3312"/>
      <c r="L123" s="3312"/>
      <c r="M123" s="3313"/>
      <c r="N123" s="3266"/>
      <c r="O123" s="3266"/>
      <c r="P123" s="3267"/>
      <c r="Q123" s="3268"/>
      <c r="R123" s="3269"/>
      <c r="S123" s="3269"/>
      <c r="T123" s="3269"/>
      <c r="U123" s="3269"/>
      <c r="V123" s="3269"/>
      <c r="W123" s="3269"/>
      <c r="X123" s="3269"/>
      <c r="Y123" s="3269"/>
      <c r="Z123" s="3269"/>
      <c r="AA123" s="3269"/>
      <c r="AB123" s="3269"/>
      <c r="AC123" s="3269"/>
    </row>
    <row r="124" spans="1:29">
      <c r="A124" s="3328"/>
      <c r="B124" s="3328"/>
      <c r="C124" s="3328"/>
      <c r="D124" s="3328"/>
      <c r="E124" s="3328"/>
      <c r="F124" s="3328"/>
      <c r="G124" s="3328"/>
      <c r="H124" s="3328"/>
      <c r="I124" s="3328"/>
      <c r="J124" s="3328"/>
      <c r="K124" s="3329"/>
      <c r="L124" s="3330"/>
      <c r="M124" s="3328"/>
      <c r="N124" s="3328"/>
      <c r="O124" s="3328"/>
      <c r="P124" s="3328"/>
      <c r="Q124" s="3328"/>
      <c r="R124" s="3328"/>
      <c r="S124" s="3328"/>
      <c r="T124" s="3328"/>
      <c r="U124" s="3328"/>
      <c r="V124" s="3328"/>
      <c r="W124" s="3328"/>
      <c r="X124" s="3328"/>
      <c r="Y124" s="3328"/>
      <c r="Z124" s="3328"/>
      <c r="AA124" s="3328"/>
      <c r="AB124" s="3328"/>
      <c r="AC124" s="3328"/>
    </row>
    <row r="125" spans="1:29">
      <c r="A125" s="3328"/>
      <c r="B125" s="3328"/>
      <c r="C125" s="3328"/>
      <c r="D125" s="3328"/>
      <c r="E125" s="3328"/>
      <c r="F125" s="3328"/>
      <c r="G125" s="3328"/>
      <c r="H125" s="3328"/>
      <c r="I125" s="3328"/>
      <c r="J125" s="3328"/>
      <c r="K125" s="3329"/>
      <c r="L125" s="3330"/>
      <c r="M125" s="3328"/>
      <c r="N125" s="3328"/>
      <c r="O125" s="3328"/>
      <c r="P125" s="3328"/>
      <c r="Q125" s="3328"/>
      <c r="R125" s="3328"/>
      <c r="S125" s="3328"/>
      <c r="T125" s="3328"/>
      <c r="U125" s="3328"/>
      <c r="V125" s="3328"/>
      <c r="W125" s="3328"/>
      <c r="X125" s="3328"/>
      <c r="Y125" s="3328"/>
      <c r="Z125" s="3328"/>
      <c r="AA125" s="3328"/>
      <c r="AB125" s="3328"/>
      <c r="AC125" s="3328"/>
    </row>
    <row r="126" spans="1:29">
      <c r="A126" s="3328"/>
      <c r="B126" s="3328"/>
      <c r="C126" s="3328"/>
      <c r="D126" s="3328"/>
      <c r="E126" s="3328"/>
      <c r="F126" s="3328"/>
      <c r="G126" s="3328"/>
      <c r="H126" s="3328"/>
      <c r="I126" s="3328"/>
      <c r="J126" s="3328"/>
      <c r="K126" s="3329"/>
      <c r="L126" s="3330"/>
      <c r="M126" s="3328"/>
      <c r="N126" s="3328"/>
      <c r="O126" s="3328"/>
      <c r="P126" s="3328"/>
      <c r="Q126" s="3328"/>
      <c r="R126" s="3328"/>
      <c r="S126" s="3328"/>
      <c r="T126" s="3328"/>
      <c r="U126" s="3328"/>
      <c r="V126" s="3328"/>
      <c r="W126" s="3328"/>
      <c r="X126" s="3328"/>
      <c r="Y126" s="3328"/>
      <c r="Z126" s="3328"/>
      <c r="AA126" s="3328"/>
      <c r="AB126" s="3328"/>
      <c r="AC126" s="3328"/>
    </row>
    <row r="127" spans="1:29">
      <c r="A127" s="3328"/>
      <c r="B127" s="3328"/>
      <c r="C127" s="3328"/>
      <c r="D127" s="3328"/>
      <c r="E127" s="3328"/>
      <c r="F127" s="3328"/>
      <c r="G127" s="3328"/>
      <c r="H127" s="3328"/>
      <c r="I127" s="3328"/>
      <c r="J127" s="3328"/>
      <c r="K127" s="3329"/>
      <c r="L127" s="3330"/>
      <c r="M127" s="3328"/>
      <c r="N127" s="3328"/>
      <c r="O127" s="3328"/>
      <c r="P127" s="3328"/>
      <c r="Q127" s="3328"/>
      <c r="R127" s="3328"/>
      <c r="S127" s="3328"/>
      <c r="T127" s="3328"/>
      <c r="U127" s="3328"/>
      <c r="V127" s="3328"/>
      <c r="W127" s="3328"/>
      <c r="X127" s="3328"/>
      <c r="Y127" s="3328"/>
      <c r="Z127" s="3328"/>
      <c r="AA127" s="3328"/>
      <c r="AB127" s="3328"/>
      <c r="AC127" s="3328"/>
    </row>
    <row r="128" spans="1:29">
      <c r="A128" s="3328"/>
      <c r="B128" s="3328"/>
      <c r="C128" s="3328"/>
      <c r="D128" s="3328"/>
      <c r="E128" s="3328"/>
      <c r="F128" s="3328"/>
      <c r="G128" s="3328"/>
      <c r="H128" s="3328"/>
      <c r="I128" s="3328"/>
      <c r="J128" s="3328"/>
      <c r="K128" s="3329"/>
      <c r="L128" s="3330"/>
      <c r="M128" s="3328"/>
      <c r="N128" s="3328"/>
      <c r="O128" s="3328"/>
      <c r="P128" s="3328"/>
      <c r="Q128" s="3328"/>
      <c r="R128" s="3328"/>
      <c r="S128" s="3328"/>
      <c r="T128" s="3328"/>
      <c r="U128" s="3328"/>
      <c r="V128" s="3328"/>
      <c r="W128" s="3328"/>
      <c r="X128" s="3328"/>
      <c r="Y128" s="3328"/>
      <c r="Z128" s="3328"/>
      <c r="AA128" s="3328"/>
      <c r="AB128" s="3328"/>
      <c r="AC128" s="3328"/>
    </row>
    <row r="129" spans="1:29">
      <c r="A129" s="3328"/>
      <c r="B129" s="3328"/>
      <c r="C129" s="3328"/>
      <c r="D129" s="3328"/>
      <c r="E129" s="3328"/>
      <c r="F129" s="3328"/>
      <c r="G129" s="3328"/>
      <c r="H129" s="3328"/>
      <c r="I129" s="3328"/>
      <c r="J129" s="3328"/>
      <c r="K129" s="3329"/>
      <c r="L129" s="3330"/>
      <c r="M129" s="3328"/>
      <c r="N129" s="3328"/>
      <c r="O129" s="3328"/>
      <c r="P129" s="3328"/>
      <c r="Q129" s="3328"/>
      <c r="R129" s="3328"/>
      <c r="S129" s="3328"/>
      <c r="T129" s="3328"/>
      <c r="U129" s="3328"/>
      <c r="V129" s="3328"/>
      <c r="W129" s="3328"/>
      <c r="X129" s="3328"/>
      <c r="Y129" s="3328"/>
      <c r="Z129" s="3328"/>
      <c r="AA129" s="3328"/>
      <c r="AB129" s="3328"/>
      <c r="AC129" s="3328"/>
    </row>
    <row r="130" spans="1:29">
      <c r="A130" s="3328"/>
      <c r="B130" s="3328"/>
      <c r="C130" s="3328"/>
      <c r="D130" s="3328"/>
      <c r="E130" s="3328"/>
      <c r="F130" s="3328"/>
      <c r="G130" s="3328"/>
      <c r="H130" s="3328"/>
      <c r="I130" s="3328"/>
      <c r="J130" s="3328"/>
      <c r="K130" s="3329"/>
      <c r="L130" s="3330"/>
      <c r="M130" s="3328"/>
      <c r="N130" s="3328"/>
      <c r="O130" s="3328"/>
      <c r="P130" s="3328"/>
      <c r="Q130" s="3328"/>
      <c r="R130" s="3328"/>
      <c r="S130" s="3328"/>
      <c r="T130" s="3328"/>
      <c r="U130" s="3328"/>
      <c r="V130" s="3328"/>
      <c r="W130" s="3328"/>
      <c r="X130" s="3328"/>
      <c r="Y130" s="3328"/>
      <c r="Z130" s="3328"/>
      <c r="AA130" s="3328"/>
      <c r="AB130" s="3328"/>
      <c r="AC130" s="3328"/>
    </row>
    <row r="131" spans="1:29">
      <c r="A131" s="3328"/>
      <c r="B131" s="3328"/>
      <c r="C131" s="3328"/>
      <c r="D131" s="3328"/>
      <c r="E131" s="3328"/>
      <c r="F131" s="3328"/>
      <c r="G131" s="3328"/>
      <c r="H131" s="3328"/>
      <c r="I131" s="3328"/>
      <c r="J131" s="3328"/>
      <c r="K131" s="3329"/>
      <c r="L131" s="3330"/>
      <c r="M131" s="3328"/>
      <c r="N131" s="3328"/>
      <c r="O131" s="3328"/>
      <c r="P131" s="3328"/>
      <c r="Q131" s="3328"/>
      <c r="R131" s="3328"/>
      <c r="S131" s="3328"/>
      <c r="T131" s="3328"/>
      <c r="U131" s="3328"/>
      <c r="V131" s="3328"/>
      <c r="W131" s="3328"/>
      <c r="X131" s="3328"/>
      <c r="Y131" s="3328"/>
      <c r="Z131" s="3328"/>
      <c r="AA131" s="3328"/>
      <c r="AB131" s="3328"/>
      <c r="AC131" s="3328"/>
    </row>
    <row r="132" spans="1:29">
      <c r="A132" s="3328"/>
      <c r="B132" s="3328"/>
      <c r="C132" s="3328"/>
      <c r="D132" s="3328"/>
      <c r="E132" s="3328"/>
      <c r="F132" s="3328"/>
      <c r="G132" s="3328"/>
      <c r="H132" s="3328"/>
      <c r="I132" s="3328"/>
      <c r="J132" s="3328"/>
      <c r="K132" s="3329"/>
      <c r="L132" s="3330"/>
      <c r="M132" s="3328"/>
      <c r="N132" s="3328"/>
      <c r="O132" s="3328"/>
      <c r="P132" s="3328"/>
      <c r="Q132" s="3328"/>
      <c r="R132" s="3328"/>
      <c r="S132" s="3328"/>
      <c r="T132" s="3328"/>
      <c r="U132" s="3328"/>
      <c r="V132" s="3328"/>
      <c r="W132" s="3328"/>
      <c r="X132" s="3328"/>
      <c r="Y132" s="3328"/>
      <c r="Z132" s="3328"/>
      <c r="AA132" s="3328"/>
      <c r="AB132" s="3328"/>
      <c r="AC132" s="3328"/>
    </row>
    <row r="133" spans="1:29">
      <c r="A133" s="3328"/>
      <c r="B133" s="3328"/>
      <c r="C133" s="3328"/>
      <c r="D133" s="3328"/>
      <c r="E133" s="3328"/>
      <c r="F133" s="3328"/>
      <c r="G133" s="3328"/>
      <c r="H133" s="3328"/>
      <c r="I133" s="3328"/>
      <c r="J133" s="3328"/>
      <c r="K133" s="3329"/>
      <c r="L133" s="3330"/>
      <c r="M133" s="3328"/>
      <c r="N133" s="3328"/>
      <c r="O133" s="3328"/>
      <c r="P133" s="3328"/>
      <c r="Q133" s="3328"/>
      <c r="R133" s="3328"/>
      <c r="S133" s="3328"/>
      <c r="T133" s="3328"/>
      <c r="U133" s="3328"/>
      <c r="V133" s="3328"/>
      <c r="W133" s="3328"/>
      <c r="X133" s="3328"/>
      <c r="Y133" s="3328"/>
      <c r="Z133" s="3328"/>
      <c r="AA133" s="3328"/>
      <c r="AB133" s="3328"/>
      <c r="AC133" s="3328"/>
    </row>
    <row r="134" spans="1:29">
      <c r="A134" s="3328"/>
      <c r="B134" s="3328"/>
      <c r="C134" s="3328"/>
      <c r="D134" s="3328"/>
      <c r="E134" s="3328"/>
      <c r="F134" s="3328"/>
      <c r="G134" s="3328"/>
      <c r="H134" s="3328"/>
      <c r="I134" s="3328"/>
      <c r="J134" s="3328"/>
      <c r="K134" s="3329"/>
      <c r="L134" s="3330"/>
      <c r="M134" s="3328"/>
      <c r="N134" s="3328"/>
      <c r="O134" s="3328"/>
      <c r="P134" s="3328"/>
      <c r="Q134" s="3328"/>
      <c r="R134" s="3328"/>
      <c r="S134" s="3328"/>
      <c r="T134" s="3328"/>
      <c r="U134" s="3328"/>
      <c r="V134" s="3328"/>
      <c r="W134" s="3328"/>
      <c r="X134" s="3328"/>
      <c r="Y134" s="3328"/>
      <c r="Z134" s="3328"/>
      <c r="AA134" s="3328"/>
      <c r="AB134" s="3328"/>
      <c r="AC134" s="3328"/>
    </row>
    <row r="135" spans="1:29">
      <c r="A135" s="3328"/>
      <c r="B135" s="3328"/>
      <c r="C135" s="3328"/>
      <c r="D135" s="3328"/>
      <c r="E135" s="3328"/>
      <c r="F135" s="3328"/>
      <c r="G135" s="3328"/>
      <c r="H135" s="3328"/>
      <c r="I135" s="3328"/>
      <c r="J135" s="3328"/>
      <c r="K135" s="3329"/>
      <c r="L135" s="3330"/>
      <c r="M135" s="3328"/>
      <c r="N135" s="3328"/>
      <c r="O135" s="3328"/>
      <c r="P135" s="3328"/>
      <c r="Q135" s="3328"/>
      <c r="R135" s="3328"/>
      <c r="S135" s="3328"/>
      <c r="T135" s="3328"/>
      <c r="U135" s="3328"/>
      <c r="V135" s="3328"/>
      <c r="W135" s="3328"/>
      <c r="X135" s="3328"/>
      <c r="Y135" s="3328"/>
      <c r="Z135" s="3328"/>
      <c r="AA135" s="3328"/>
      <c r="AB135" s="3328"/>
      <c r="AC135" s="3328"/>
    </row>
    <row r="136" spans="1:29">
      <c r="A136" s="3328"/>
      <c r="B136" s="3328"/>
      <c r="C136" s="3328"/>
      <c r="D136" s="3328"/>
      <c r="E136" s="3328"/>
      <c r="F136" s="3328"/>
      <c r="G136" s="3328"/>
      <c r="H136" s="3328"/>
      <c r="I136" s="3328"/>
      <c r="J136" s="3328"/>
      <c r="K136" s="3329"/>
      <c r="L136" s="3330"/>
      <c r="M136" s="3328"/>
      <c r="N136" s="3328"/>
      <c r="O136" s="3328"/>
      <c r="P136" s="3328"/>
      <c r="Q136" s="3328"/>
      <c r="R136" s="3328"/>
      <c r="S136" s="3328"/>
      <c r="T136" s="3328"/>
      <c r="U136" s="3328"/>
      <c r="V136" s="3328"/>
      <c r="W136" s="3328"/>
      <c r="X136" s="3328"/>
      <c r="Y136" s="3328"/>
      <c r="Z136" s="3328"/>
      <c r="AA136" s="3328"/>
      <c r="AB136" s="3328"/>
      <c r="AC136" s="3328"/>
    </row>
    <row r="137" spans="1:29">
      <c r="A137" s="3328"/>
      <c r="B137" s="3328"/>
      <c r="C137" s="3328"/>
      <c r="D137" s="3328"/>
      <c r="E137" s="3328"/>
      <c r="F137" s="3328"/>
      <c r="G137" s="3328"/>
      <c r="H137" s="3328"/>
      <c r="I137" s="3328"/>
      <c r="J137" s="3328"/>
      <c r="K137" s="3329"/>
      <c r="L137" s="3330"/>
      <c r="M137" s="3328"/>
      <c r="N137" s="3328"/>
      <c r="O137" s="3328"/>
      <c r="P137" s="3328"/>
      <c r="Q137" s="3328"/>
      <c r="R137" s="3328"/>
      <c r="S137" s="3328"/>
      <c r="T137" s="3328"/>
      <c r="U137" s="3328"/>
      <c r="V137" s="3328"/>
      <c r="W137" s="3328"/>
      <c r="X137" s="3328"/>
      <c r="Y137" s="3328"/>
      <c r="Z137" s="3328"/>
      <c r="AA137" s="3328"/>
      <c r="AB137" s="3328"/>
      <c r="AC137" s="3328"/>
    </row>
    <row r="138" spans="1:29">
      <c r="A138" s="3328"/>
      <c r="B138" s="3328"/>
      <c r="C138" s="3328"/>
      <c r="D138" s="3328"/>
      <c r="E138" s="3328"/>
      <c r="F138" s="3328"/>
      <c r="G138" s="3328"/>
      <c r="H138" s="3328"/>
      <c r="I138" s="3328"/>
      <c r="J138" s="3328"/>
      <c r="K138" s="3329"/>
      <c r="L138" s="3330"/>
      <c r="M138" s="3328"/>
      <c r="N138" s="3328"/>
      <c r="O138" s="3328"/>
      <c r="P138" s="3328"/>
      <c r="Q138" s="3328"/>
      <c r="R138" s="3328"/>
      <c r="S138" s="3328"/>
      <c r="T138" s="3328"/>
      <c r="U138" s="3328"/>
      <c r="V138" s="3328"/>
      <c r="W138" s="3328"/>
      <c r="X138" s="3328"/>
      <c r="Y138" s="3328"/>
      <c r="Z138" s="3328"/>
      <c r="AA138" s="3328"/>
      <c r="AB138" s="3328"/>
      <c r="AC138" s="3328"/>
    </row>
    <row r="139" spans="1:29">
      <c r="A139" s="3328"/>
      <c r="B139" s="3328"/>
      <c r="C139" s="3328"/>
      <c r="D139" s="3328"/>
      <c r="E139" s="3328"/>
      <c r="F139" s="3328"/>
      <c r="G139" s="3328"/>
      <c r="H139" s="3328"/>
      <c r="I139" s="3328"/>
      <c r="J139" s="3328"/>
      <c r="K139" s="3329"/>
      <c r="L139" s="3330"/>
      <c r="M139" s="3328"/>
      <c r="N139" s="3328"/>
      <c r="O139" s="3328"/>
      <c r="P139" s="3328"/>
      <c r="Q139" s="3328"/>
      <c r="R139" s="3328"/>
      <c r="S139" s="3328"/>
      <c r="T139" s="3328"/>
      <c r="U139" s="3328"/>
      <c r="V139" s="3328"/>
      <c r="W139" s="3328"/>
      <c r="X139" s="3328"/>
      <c r="Y139" s="3328"/>
      <c r="Z139" s="3328"/>
      <c r="AA139" s="3328"/>
      <c r="AB139" s="3328"/>
      <c r="AC139" s="3328"/>
    </row>
    <row r="140" spans="1:29">
      <c r="A140" s="3328"/>
      <c r="B140" s="3328"/>
      <c r="C140" s="3328"/>
      <c r="D140" s="3328"/>
      <c r="E140" s="3328"/>
      <c r="F140" s="3328"/>
      <c r="G140" s="3328"/>
      <c r="H140" s="3328"/>
      <c r="I140" s="3328"/>
      <c r="J140" s="3328"/>
      <c r="K140" s="3329"/>
      <c r="L140" s="3330"/>
      <c r="M140" s="3328"/>
      <c r="N140" s="3328"/>
      <c r="O140" s="3328"/>
      <c r="P140" s="3328"/>
      <c r="Q140" s="3328"/>
      <c r="R140" s="3328"/>
      <c r="S140" s="3328"/>
      <c r="T140" s="3328"/>
      <c r="U140" s="3328"/>
      <c r="V140" s="3328"/>
      <c r="W140" s="3328"/>
      <c r="X140" s="3328"/>
      <c r="Y140" s="3328"/>
      <c r="Z140" s="3328"/>
      <c r="AA140" s="3328"/>
      <c r="AB140" s="3328"/>
      <c r="AC140" s="3328"/>
    </row>
    <row r="141" spans="1:29">
      <c r="A141" s="3328"/>
      <c r="B141" s="3328"/>
      <c r="C141" s="3328"/>
      <c r="D141" s="3328"/>
      <c r="E141" s="3328"/>
      <c r="F141" s="3328"/>
      <c r="G141" s="3328"/>
      <c r="H141" s="3328"/>
      <c r="I141" s="3328"/>
      <c r="J141" s="3328"/>
      <c r="K141" s="3329"/>
      <c r="L141" s="3330"/>
      <c r="M141" s="3328"/>
      <c r="N141" s="3328"/>
      <c r="O141" s="3328"/>
      <c r="P141" s="3328"/>
      <c r="Q141" s="3328"/>
      <c r="R141" s="3328"/>
      <c r="S141" s="3328"/>
      <c r="T141" s="3328"/>
      <c r="U141" s="3328"/>
      <c r="V141" s="3328"/>
      <c r="W141" s="3328"/>
      <c r="X141" s="3328"/>
      <c r="Y141" s="3328"/>
      <c r="Z141" s="3328"/>
      <c r="AA141" s="3328"/>
      <c r="AB141" s="3328"/>
      <c r="AC141" s="3328"/>
    </row>
    <row r="142" spans="1:29">
      <c r="A142" s="3328"/>
      <c r="B142" s="3328"/>
      <c r="C142" s="3328"/>
      <c r="D142" s="3328"/>
      <c r="E142" s="3328"/>
      <c r="F142" s="3328"/>
      <c r="G142" s="3328"/>
      <c r="H142" s="3328"/>
      <c r="I142" s="3328"/>
      <c r="J142" s="3328"/>
      <c r="K142" s="3329"/>
      <c r="L142" s="3330"/>
      <c r="M142" s="3328"/>
      <c r="N142" s="3328"/>
      <c r="O142" s="3328"/>
      <c r="P142" s="3328"/>
      <c r="Q142" s="3328"/>
      <c r="R142" s="3328"/>
      <c r="S142" s="3328"/>
      <c r="T142" s="3328"/>
      <c r="U142" s="3328"/>
      <c r="V142" s="3328"/>
      <c r="W142" s="3328"/>
      <c r="X142" s="3328"/>
      <c r="Y142" s="3328"/>
      <c r="Z142" s="3328"/>
      <c r="AA142" s="3328"/>
      <c r="AB142" s="3328"/>
      <c r="AC142" s="3328"/>
    </row>
    <row r="143" spans="1:29">
      <c r="A143" s="3328"/>
      <c r="B143" s="3328"/>
      <c r="C143" s="3328"/>
      <c r="D143" s="3328"/>
      <c r="E143" s="3328"/>
      <c r="F143" s="3328"/>
      <c r="G143" s="3328"/>
      <c r="H143" s="3328"/>
      <c r="I143" s="3328"/>
      <c r="J143" s="3328"/>
      <c r="K143" s="3329"/>
      <c r="L143" s="3330"/>
      <c r="M143" s="3328"/>
      <c r="N143" s="3328"/>
      <c r="O143" s="3328"/>
      <c r="P143" s="3328"/>
      <c r="Q143" s="3328"/>
      <c r="R143" s="3328"/>
      <c r="S143" s="3328"/>
      <c r="T143" s="3328"/>
      <c r="U143" s="3328"/>
      <c r="V143" s="3328"/>
      <c r="W143" s="3328"/>
      <c r="X143" s="3328"/>
      <c r="Y143" s="3328"/>
      <c r="Z143" s="3328"/>
      <c r="AA143" s="3328"/>
      <c r="AB143" s="3328"/>
      <c r="AC143" s="3328"/>
    </row>
    <row r="144" spans="1:29">
      <c r="A144" s="3328"/>
      <c r="B144" s="3328"/>
      <c r="C144" s="3328"/>
      <c r="D144" s="3328"/>
      <c r="E144" s="3328"/>
      <c r="F144" s="3328"/>
      <c r="G144" s="3328"/>
      <c r="H144" s="3328"/>
      <c r="I144" s="3328"/>
      <c r="J144" s="3328"/>
      <c r="K144" s="3329"/>
      <c r="L144" s="3330"/>
      <c r="M144" s="3328"/>
      <c r="N144" s="3328"/>
      <c r="O144" s="3328"/>
      <c r="P144" s="3328"/>
      <c r="Q144" s="3328"/>
      <c r="R144" s="3328"/>
      <c r="S144" s="3328"/>
      <c r="T144" s="3328"/>
      <c r="U144" s="3328"/>
      <c r="V144" s="3328"/>
      <c r="W144" s="3328"/>
      <c r="X144" s="3328"/>
      <c r="Y144" s="3328"/>
      <c r="Z144" s="3328"/>
      <c r="AA144" s="3328"/>
      <c r="AB144" s="3328"/>
      <c r="AC144" s="3328"/>
    </row>
    <row r="145" spans="1:29">
      <c r="A145" s="3328"/>
      <c r="B145" s="3328"/>
      <c r="C145" s="3328"/>
      <c r="D145" s="3328"/>
      <c r="E145" s="3328"/>
      <c r="F145" s="3328"/>
      <c r="G145" s="3328"/>
      <c r="H145" s="3328"/>
      <c r="I145" s="3328"/>
      <c r="J145" s="3328"/>
      <c r="K145" s="3329"/>
      <c r="L145" s="3330"/>
      <c r="M145" s="3328"/>
      <c r="N145" s="3328"/>
      <c r="O145" s="3328"/>
      <c r="P145" s="3328"/>
      <c r="Q145" s="3328"/>
      <c r="R145" s="3328"/>
      <c r="S145" s="3328"/>
      <c r="T145" s="3328"/>
      <c r="U145" s="3328"/>
      <c r="V145" s="3328"/>
      <c r="W145" s="3328"/>
      <c r="X145" s="3328"/>
      <c r="Y145" s="3328"/>
      <c r="Z145" s="3328"/>
      <c r="AA145" s="3328"/>
      <c r="AB145" s="3328"/>
      <c r="AC145" s="3328"/>
    </row>
    <row r="146" spans="1:29">
      <c r="A146" s="3328"/>
      <c r="B146" s="3328"/>
      <c r="C146" s="3328"/>
      <c r="D146" s="3328"/>
      <c r="E146" s="3328"/>
      <c r="F146" s="3328"/>
      <c r="G146" s="3328"/>
      <c r="H146" s="3328"/>
      <c r="I146" s="3328"/>
      <c r="J146" s="3328"/>
      <c r="K146" s="3329"/>
      <c r="L146" s="3330"/>
      <c r="M146" s="3328"/>
      <c r="N146" s="3328"/>
      <c r="O146" s="3328"/>
      <c r="P146" s="3328"/>
      <c r="Q146" s="3328"/>
      <c r="R146" s="3328"/>
      <c r="S146" s="3328"/>
      <c r="T146" s="3328"/>
      <c r="U146" s="3328"/>
      <c r="V146" s="3328"/>
      <c r="W146" s="3328"/>
      <c r="X146" s="3328"/>
      <c r="Y146" s="3328"/>
      <c r="Z146" s="3328"/>
      <c r="AA146" s="3328"/>
      <c r="AB146" s="3328"/>
      <c r="AC146" s="3328"/>
    </row>
    <row r="147" spans="1:29">
      <c r="A147" s="3328"/>
      <c r="B147" s="3328"/>
      <c r="C147" s="3328"/>
      <c r="D147" s="3328"/>
      <c r="E147" s="3328"/>
      <c r="F147" s="3328"/>
      <c r="G147" s="3328"/>
      <c r="H147" s="3328"/>
      <c r="I147" s="3328"/>
      <c r="J147" s="3328"/>
      <c r="K147" s="3329"/>
      <c r="L147" s="3330"/>
      <c r="M147" s="3328"/>
      <c r="N147" s="3328"/>
      <c r="O147" s="3328"/>
      <c r="P147" s="3328"/>
      <c r="Q147" s="3328"/>
      <c r="R147" s="3328"/>
      <c r="S147" s="3328"/>
      <c r="T147" s="3328"/>
      <c r="U147" s="3328"/>
      <c r="V147" s="3328"/>
      <c r="W147" s="3328"/>
      <c r="X147" s="3328"/>
      <c r="Y147" s="3328"/>
      <c r="Z147" s="3328"/>
      <c r="AA147" s="3328"/>
      <c r="AB147" s="3328"/>
      <c r="AC147" s="3328"/>
    </row>
    <row r="148" spans="1:29">
      <c r="A148" s="3328"/>
      <c r="B148" s="3328"/>
      <c r="C148" s="3328"/>
      <c r="D148" s="3328"/>
      <c r="E148" s="3328"/>
      <c r="F148" s="3328"/>
      <c r="G148" s="3328"/>
      <c r="H148" s="3328"/>
      <c r="I148" s="3328"/>
      <c r="J148" s="3328"/>
      <c r="K148" s="3329"/>
      <c r="L148" s="3330"/>
      <c r="M148" s="3328"/>
      <c r="N148" s="3328"/>
      <c r="O148" s="3328"/>
      <c r="P148" s="3328"/>
      <c r="Q148" s="3328"/>
      <c r="R148" s="3328"/>
      <c r="S148" s="3328"/>
      <c r="T148" s="3328"/>
      <c r="U148" s="3328"/>
      <c r="V148" s="3328"/>
      <c r="W148" s="3328"/>
      <c r="X148" s="3328"/>
      <c r="Y148" s="3328"/>
      <c r="Z148" s="3328"/>
      <c r="AA148" s="3328"/>
      <c r="AB148" s="3328"/>
      <c r="AC148" s="3328"/>
    </row>
    <row r="149" spans="1:29">
      <c r="A149" s="3328"/>
      <c r="B149" s="3328"/>
      <c r="C149" s="3328"/>
      <c r="D149" s="3328"/>
      <c r="E149" s="3328"/>
      <c r="F149" s="3328"/>
      <c r="G149" s="3328"/>
      <c r="H149" s="3328"/>
      <c r="I149" s="3328"/>
      <c r="J149" s="3328"/>
      <c r="K149" s="3329"/>
      <c r="L149" s="3330"/>
      <c r="M149" s="3328"/>
      <c r="N149" s="3328"/>
      <c r="O149" s="3328"/>
      <c r="P149" s="3328"/>
      <c r="Q149" s="3328"/>
      <c r="R149" s="3328"/>
      <c r="S149" s="3328"/>
      <c r="T149" s="3328"/>
      <c r="U149" s="3328"/>
      <c r="V149" s="3328"/>
      <c r="W149" s="3328"/>
      <c r="X149" s="3328"/>
      <c r="Y149" s="3328"/>
      <c r="Z149" s="3328"/>
      <c r="AA149" s="3328"/>
      <c r="AB149" s="3328"/>
      <c r="AC149" s="3328"/>
    </row>
    <row r="150" spans="1:29">
      <c r="A150" s="3328"/>
      <c r="B150" s="3328"/>
      <c r="C150" s="3328"/>
      <c r="D150" s="3328"/>
      <c r="E150" s="3328"/>
      <c r="F150" s="3328"/>
      <c r="G150" s="3328"/>
      <c r="H150" s="3328"/>
      <c r="I150" s="3328"/>
      <c r="J150" s="3328"/>
      <c r="K150" s="3329"/>
      <c r="L150" s="3330"/>
      <c r="M150" s="3328"/>
      <c r="N150" s="3328"/>
      <c r="O150" s="3328"/>
      <c r="P150" s="3328"/>
      <c r="Q150" s="3328"/>
      <c r="R150" s="3328"/>
      <c r="S150" s="3328"/>
      <c r="T150" s="3328"/>
      <c r="U150" s="3328"/>
      <c r="V150" s="3328"/>
      <c r="W150" s="3328"/>
      <c r="X150" s="3328"/>
      <c r="Y150" s="3328"/>
      <c r="Z150" s="3328"/>
      <c r="AA150" s="3328"/>
      <c r="AB150" s="3328"/>
      <c r="AC150" s="3328"/>
    </row>
    <row r="151" spans="1:29">
      <c r="A151" s="3328"/>
      <c r="B151" s="3328"/>
      <c r="C151" s="3328"/>
      <c r="D151" s="3328"/>
      <c r="E151" s="3328"/>
      <c r="F151" s="3328"/>
      <c r="G151" s="3328"/>
      <c r="H151" s="3328"/>
      <c r="I151" s="3328"/>
      <c r="J151" s="3328"/>
      <c r="K151" s="3329"/>
      <c r="L151" s="3330"/>
      <c r="M151" s="3328"/>
      <c r="N151" s="3328"/>
      <c r="O151" s="3328"/>
      <c r="P151" s="3328"/>
      <c r="Q151" s="3328"/>
      <c r="R151" s="3328"/>
      <c r="S151" s="3328"/>
      <c r="T151" s="3328"/>
      <c r="U151" s="3328"/>
      <c r="V151" s="3328"/>
      <c r="W151" s="3328"/>
      <c r="X151" s="3328"/>
      <c r="Y151" s="3328"/>
      <c r="Z151" s="3328"/>
      <c r="AA151" s="3328"/>
      <c r="AB151" s="3328"/>
      <c r="AC151" s="3328"/>
    </row>
    <row r="152" spans="1:29">
      <c r="A152" s="3328"/>
      <c r="B152" s="3328"/>
      <c r="C152" s="3328"/>
      <c r="D152" s="3328"/>
      <c r="E152" s="3328"/>
      <c r="F152" s="3328"/>
      <c r="G152" s="3328"/>
      <c r="H152" s="3328"/>
      <c r="I152" s="3328"/>
      <c r="J152" s="3328"/>
      <c r="K152" s="3329"/>
      <c r="L152" s="3330"/>
      <c r="M152" s="3328"/>
      <c r="N152" s="3328"/>
      <c r="O152" s="3328"/>
      <c r="P152" s="3328"/>
      <c r="Q152" s="3328"/>
      <c r="R152" s="3328"/>
      <c r="S152" s="3328"/>
      <c r="T152" s="3328"/>
      <c r="U152" s="3328"/>
      <c r="V152" s="3328"/>
      <c r="W152" s="3328"/>
      <c r="X152" s="3328"/>
      <c r="Y152" s="3328"/>
      <c r="Z152" s="3328"/>
      <c r="AA152" s="3328"/>
      <c r="AB152" s="3328"/>
      <c r="AC152" s="3328"/>
    </row>
    <row r="153" spans="1:29">
      <c r="A153" s="3328"/>
      <c r="B153" s="3328"/>
      <c r="C153" s="3328"/>
      <c r="D153" s="3328"/>
      <c r="E153" s="3328"/>
      <c r="F153" s="3328"/>
      <c r="G153" s="3328"/>
      <c r="H153" s="3328"/>
      <c r="I153" s="3328"/>
      <c r="J153" s="3328"/>
      <c r="K153" s="3329"/>
      <c r="L153" s="3330"/>
      <c r="M153" s="3328"/>
      <c r="N153" s="3328"/>
      <c r="O153" s="3328"/>
      <c r="P153" s="3328"/>
      <c r="Q153" s="3328"/>
      <c r="R153" s="3328"/>
      <c r="S153" s="3328"/>
      <c r="T153" s="3328"/>
      <c r="U153" s="3328"/>
      <c r="V153" s="3328"/>
      <c r="W153" s="3328"/>
      <c r="X153" s="3328"/>
      <c r="Y153" s="3328"/>
      <c r="Z153" s="3328"/>
      <c r="AA153" s="3328"/>
      <c r="AB153" s="3328"/>
      <c r="AC153" s="3328"/>
    </row>
    <row r="154" spans="1:29">
      <c r="A154" s="3328"/>
      <c r="B154" s="3328"/>
      <c r="C154" s="3328"/>
      <c r="D154" s="3328"/>
      <c r="E154" s="3328"/>
      <c r="F154" s="3328"/>
      <c r="G154" s="3328"/>
      <c r="H154" s="3328"/>
      <c r="I154" s="3328"/>
      <c r="J154" s="3328"/>
      <c r="K154" s="3329"/>
      <c r="L154" s="3330"/>
      <c r="M154" s="3328"/>
      <c r="N154" s="3328"/>
      <c r="O154" s="3328"/>
      <c r="P154" s="3328"/>
      <c r="Q154" s="3328"/>
      <c r="R154" s="3328"/>
      <c r="S154" s="3328"/>
      <c r="T154" s="3328"/>
      <c r="U154" s="3328"/>
      <c r="V154" s="3328"/>
      <c r="W154" s="3328"/>
      <c r="X154" s="3328"/>
      <c r="Y154" s="3328"/>
      <c r="Z154" s="3328"/>
      <c r="AA154" s="3328"/>
      <c r="AB154" s="3328"/>
      <c r="AC154" s="3328"/>
    </row>
    <row r="155" spans="1:29">
      <c r="A155" s="3328"/>
      <c r="B155" s="3328"/>
      <c r="C155" s="3328"/>
      <c r="D155" s="3328"/>
      <c r="E155" s="3328"/>
      <c r="F155" s="3328"/>
      <c r="G155" s="3328"/>
      <c r="H155" s="3328"/>
      <c r="I155" s="3328"/>
      <c r="J155" s="3328"/>
      <c r="K155" s="3329"/>
      <c r="L155" s="3330"/>
      <c r="M155" s="3328"/>
      <c r="N155" s="3328"/>
      <c r="O155" s="3328"/>
      <c r="P155" s="3328"/>
      <c r="Q155" s="3328"/>
      <c r="R155" s="3328"/>
      <c r="S155" s="3328"/>
      <c r="T155" s="3328"/>
      <c r="U155" s="3328"/>
      <c r="V155" s="3328"/>
      <c r="W155" s="3328"/>
      <c r="X155" s="3328"/>
      <c r="Y155" s="3328"/>
      <c r="Z155" s="3328"/>
      <c r="AA155" s="3328"/>
      <c r="AB155" s="3328"/>
      <c r="AC155" s="3328"/>
    </row>
    <row r="156" spans="1:29">
      <c r="A156" s="3328"/>
      <c r="B156" s="3328"/>
      <c r="C156" s="3328"/>
      <c r="D156" s="3328"/>
      <c r="E156" s="3328"/>
      <c r="F156" s="3328"/>
      <c r="G156" s="3328"/>
      <c r="H156" s="3328"/>
      <c r="I156" s="3328"/>
      <c r="J156" s="3328"/>
      <c r="K156" s="3329"/>
      <c r="L156" s="3330"/>
      <c r="M156" s="3328"/>
      <c r="N156" s="3328"/>
      <c r="O156" s="3328"/>
      <c r="P156" s="3328"/>
      <c r="Q156" s="3328"/>
      <c r="R156" s="3328"/>
      <c r="S156" s="3328"/>
      <c r="T156" s="3328"/>
      <c r="U156" s="3328"/>
      <c r="V156" s="3328"/>
      <c r="W156" s="3328"/>
      <c r="X156" s="3328"/>
      <c r="Y156" s="3328"/>
      <c r="Z156" s="3328"/>
      <c r="AA156" s="3328"/>
      <c r="AB156" s="3328"/>
      <c r="AC156" s="3328"/>
    </row>
    <row r="157" spans="1:29">
      <c r="A157" s="3328"/>
      <c r="B157" s="3328"/>
      <c r="C157" s="3328"/>
      <c r="D157" s="3328"/>
      <c r="E157" s="3328"/>
      <c r="F157" s="3328"/>
      <c r="G157" s="3328"/>
      <c r="H157" s="3328"/>
      <c r="I157" s="3328"/>
      <c r="J157" s="3328"/>
      <c r="K157" s="3329"/>
      <c r="L157" s="3330"/>
      <c r="M157" s="3328"/>
      <c r="N157" s="3328"/>
      <c r="O157" s="3328"/>
      <c r="P157" s="3328"/>
      <c r="Q157" s="3328"/>
      <c r="R157" s="3328"/>
      <c r="S157" s="3328"/>
      <c r="T157" s="3328"/>
      <c r="U157" s="3328"/>
      <c r="V157" s="3328"/>
      <c r="W157" s="3328"/>
      <c r="X157" s="3328"/>
      <c r="Y157" s="3328"/>
      <c r="Z157" s="3328"/>
      <c r="AA157" s="3328"/>
      <c r="AB157" s="3328"/>
      <c r="AC157" s="3328"/>
    </row>
    <row r="158" spans="1:29">
      <c r="A158" s="3328"/>
      <c r="B158" s="3328"/>
      <c r="C158" s="3328"/>
      <c r="D158" s="3328"/>
      <c r="E158" s="3328"/>
      <c r="F158" s="3328"/>
      <c r="G158" s="3328"/>
      <c r="H158" s="3328"/>
      <c r="I158" s="3328"/>
      <c r="J158" s="3328"/>
      <c r="K158" s="3329"/>
      <c r="L158" s="3330"/>
      <c r="M158" s="3328"/>
      <c r="N158" s="3328"/>
      <c r="O158" s="3328"/>
      <c r="P158" s="3328"/>
      <c r="Q158" s="3328"/>
      <c r="R158" s="3328"/>
      <c r="S158" s="3328"/>
      <c r="T158" s="3328"/>
      <c r="U158" s="3328"/>
      <c r="V158" s="3328"/>
      <c r="W158" s="3328"/>
      <c r="X158" s="3328"/>
      <c r="Y158" s="3328"/>
      <c r="Z158" s="3328"/>
      <c r="AA158" s="3328"/>
      <c r="AB158" s="3328"/>
      <c r="AC158" s="3328"/>
    </row>
    <row r="159" spans="1:29">
      <c r="A159" s="3328"/>
      <c r="B159" s="3328"/>
      <c r="C159" s="3328"/>
      <c r="D159" s="3328"/>
      <c r="E159" s="3328"/>
      <c r="F159" s="3328"/>
      <c r="G159" s="3328"/>
      <c r="H159" s="3328"/>
      <c r="I159" s="3328"/>
      <c r="J159" s="3328"/>
      <c r="K159" s="3329"/>
      <c r="L159" s="3330"/>
      <c r="M159" s="3328"/>
      <c r="N159" s="3328"/>
      <c r="O159" s="3328"/>
      <c r="P159" s="3328"/>
      <c r="Q159" s="3328"/>
      <c r="R159" s="3328"/>
      <c r="S159" s="3328"/>
      <c r="T159" s="3328"/>
      <c r="U159" s="3328"/>
      <c r="V159" s="3328"/>
      <c r="W159" s="3328"/>
      <c r="X159" s="3328"/>
      <c r="Y159" s="3328"/>
      <c r="Z159" s="3328"/>
      <c r="AA159" s="3328"/>
      <c r="AB159" s="3328"/>
      <c r="AC159" s="3328"/>
    </row>
    <row r="160" spans="1:29">
      <c r="A160" s="3328"/>
      <c r="B160" s="3328"/>
      <c r="C160" s="3328"/>
      <c r="D160" s="3328"/>
      <c r="E160" s="3328"/>
      <c r="F160" s="3328"/>
      <c r="G160" s="3328"/>
      <c r="H160" s="3328"/>
      <c r="I160" s="3328"/>
      <c r="J160" s="3328"/>
      <c r="K160" s="3329"/>
      <c r="L160" s="3330"/>
      <c r="M160" s="3328"/>
      <c r="N160" s="3328"/>
      <c r="O160" s="3328"/>
      <c r="P160" s="3328"/>
      <c r="Q160" s="3328"/>
      <c r="R160" s="3328"/>
      <c r="S160" s="3328"/>
      <c r="T160" s="3328"/>
      <c r="U160" s="3328"/>
      <c r="V160" s="3328"/>
      <c r="W160" s="3328"/>
      <c r="X160" s="3328"/>
      <c r="Y160" s="3328"/>
      <c r="Z160" s="3328"/>
      <c r="AA160" s="3328"/>
      <c r="AB160" s="3328"/>
      <c r="AC160" s="3328"/>
    </row>
    <row r="161" spans="1:29">
      <c r="A161" s="3328"/>
      <c r="B161" s="3328"/>
      <c r="C161" s="3328"/>
      <c r="D161" s="3328"/>
      <c r="E161" s="3328"/>
      <c r="F161" s="3328"/>
      <c r="G161" s="3328"/>
      <c r="H161" s="3328"/>
      <c r="I161" s="3328"/>
      <c r="J161" s="3328"/>
      <c r="K161" s="3329"/>
      <c r="L161" s="3330"/>
      <c r="M161" s="3328"/>
      <c r="N161" s="3328"/>
      <c r="O161" s="3328"/>
      <c r="P161" s="3328"/>
      <c r="Q161" s="3328"/>
      <c r="R161" s="3328"/>
      <c r="S161" s="3328"/>
      <c r="T161" s="3328"/>
      <c r="U161" s="3328"/>
      <c r="V161" s="3328"/>
      <c r="W161" s="3328"/>
      <c r="X161" s="3328"/>
      <c r="Y161" s="3328"/>
      <c r="Z161" s="3328"/>
      <c r="AA161" s="3328"/>
      <c r="AB161" s="3328"/>
      <c r="AC161" s="3328"/>
    </row>
    <row r="162" spans="1:29">
      <c r="A162" s="3328"/>
      <c r="B162" s="3328"/>
      <c r="C162" s="3328"/>
      <c r="D162" s="3328"/>
      <c r="E162" s="3328"/>
      <c r="F162" s="3328"/>
      <c r="G162" s="3328"/>
      <c r="H162" s="3328"/>
      <c r="I162" s="3328"/>
      <c r="J162" s="3328"/>
      <c r="K162" s="3329"/>
      <c r="L162" s="3330"/>
      <c r="M162" s="3328"/>
      <c r="N162" s="3328"/>
      <c r="O162" s="3328"/>
      <c r="P162" s="3328"/>
      <c r="Q162" s="3328"/>
      <c r="R162" s="3328"/>
      <c r="S162" s="3328"/>
      <c r="T162" s="3328"/>
      <c r="U162" s="3328"/>
      <c r="V162" s="3328"/>
      <c r="W162" s="3328"/>
      <c r="X162" s="3328"/>
      <c r="Y162" s="3328"/>
      <c r="Z162" s="3328"/>
      <c r="AA162" s="3328"/>
      <c r="AB162" s="3328"/>
      <c r="AC162" s="3328"/>
    </row>
    <row r="163" spans="1:29">
      <c r="A163" s="3328"/>
      <c r="B163" s="3328"/>
      <c r="C163" s="3328"/>
      <c r="D163" s="3328"/>
      <c r="E163" s="3328"/>
      <c r="F163" s="3328"/>
      <c r="G163" s="3328"/>
      <c r="H163" s="3328"/>
      <c r="I163" s="3328"/>
      <c r="J163" s="3328"/>
      <c r="K163" s="3329"/>
      <c r="L163" s="3330"/>
      <c r="M163" s="3328"/>
      <c r="N163" s="3328"/>
      <c r="O163" s="3328"/>
      <c r="P163" s="3328"/>
      <c r="Q163" s="3328"/>
      <c r="R163" s="3328"/>
      <c r="S163" s="3328"/>
      <c r="T163" s="3328"/>
      <c r="U163" s="3328"/>
      <c r="V163" s="3328"/>
      <c r="W163" s="3328"/>
      <c r="X163" s="3328"/>
      <c r="Y163" s="3328"/>
      <c r="Z163" s="3328"/>
      <c r="AA163" s="3328"/>
      <c r="AB163" s="3328"/>
      <c r="AC163" s="3328"/>
    </row>
    <row r="164" spans="1:29">
      <c r="A164" s="3328"/>
      <c r="B164" s="3328"/>
      <c r="C164" s="3328"/>
      <c r="D164" s="3328"/>
      <c r="E164" s="3328"/>
      <c r="F164" s="3328"/>
      <c r="G164" s="3328"/>
      <c r="H164" s="3328"/>
      <c r="I164" s="3328"/>
      <c r="J164" s="3328"/>
      <c r="K164" s="3329"/>
      <c r="L164" s="3330"/>
      <c r="M164" s="3328"/>
      <c r="N164" s="3328"/>
      <c r="O164" s="3328"/>
      <c r="P164" s="3328"/>
      <c r="Q164" s="3328"/>
      <c r="R164" s="3328"/>
      <c r="S164" s="3328"/>
      <c r="T164" s="3328"/>
      <c r="U164" s="3328"/>
      <c r="V164" s="3328"/>
      <c r="W164" s="3328"/>
      <c r="X164" s="3328"/>
      <c r="Y164" s="3328"/>
      <c r="Z164" s="3328"/>
      <c r="AA164" s="3328"/>
      <c r="AB164" s="3328"/>
      <c r="AC164" s="3328"/>
    </row>
    <row r="165" spans="1:29">
      <c r="A165" s="3328"/>
      <c r="B165" s="3328"/>
      <c r="C165" s="3328"/>
      <c r="D165" s="3328"/>
      <c r="E165" s="3328"/>
      <c r="F165" s="3328"/>
      <c r="G165" s="3328"/>
      <c r="H165" s="3328"/>
      <c r="I165" s="3328"/>
      <c r="J165" s="3328"/>
      <c r="K165" s="3329"/>
      <c r="L165" s="3330"/>
      <c r="M165" s="3328"/>
      <c r="N165" s="3328"/>
      <c r="O165" s="3328"/>
      <c r="P165" s="3328"/>
      <c r="Q165" s="3328"/>
      <c r="R165" s="3328"/>
      <c r="S165" s="3328"/>
      <c r="T165" s="3328"/>
      <c r="U165" s="3328"/>
      <c r="V165" s="3328"/>
      <c r="W165" s="3328"/>
      <c r="X165" s="3328"/>
      <c r="Y165" s="3328"/>
      <c r="Z165" s="3328"/>
      <c r="AA165" s="3328"/>
      <c r="AB165" s="3328"/>
      <c r="AC165" s="3328"/>
    </row>
    <row r="166" spans="1:29">
      <c r="A166" s="3328"/>
      <c r="B166" s="3328"/>
      <c r="C166" s="3328"/>
      <c r="D166" s="3328"/>
      <c r="E166" s="3328"/>
      <c r="F166" s="3328"/>
      <c r="G166" s="3328"/>
      <c r="H166" s="3328"/>
      <c r="I166" s="3328"/>
      <c r="J166" s="3328"/>
      <c r="K166" s="3329"/>
      <c r="L166" s="3330"/>
      <c r="M166" s="3328"/>
      <c r="N166" s="3328"/>
      <c r="O166" s="3328"/>
      <c r="P166" s="3328"/>
      <c r="Q166" s="3328"/>
      <c r="R166" s="3328"/>
      <c r="S166" s="3328"/>
      <c r="T166" s="3328"/>
      <c r="U166" s="3328"/>
      <c r="V166" s="3328"/>
      <c r="W166" s="3328"/>
      <c r="X166" s="3328"/>
      <c r="Y166" s="3328"/>
      <c r="Z166" s="3328"/>
      <c r="AA166" s="3328"/>
      <c r="AB166" s="3328"/>
      <c r="AC166" s="3328"/>
    </row>
    <row r="167" spans="1:29">
      <c r="A167" s="3328"/>
      <c r="B167" s="3328"/>
      <c r="C167" s="3328"/>
      <c r="D167" s="3328"/>
      <c r="E167" s="3328"/>
      <c r="F167" s="3328"/>
      <c r="G167" s="3328"/>
      <c r="H167" s="3328"/>
      <c r="I167" s="3328"/>
      <c r="J167" s="3328"/>
      <c r="K167" s="3329"/>
      <c r="L167" s="3330"/>
      <c r="M167" s="3328"/>
      <c r="N167" s="3328"/>
      <c r="O167" s="3328"/>
      <c r="P167" s="3328"/>
      <c r="Q167" s="3328"/>
      <c r="R167" s="3328"/>
      <c r="S167" s="3328"/>
      <c r="T167" s="3328"/>
      <c r="U167" s="3328"/>
      <c r="V167" s="3328"/>
      <c r="W167" s="3328"/>
      <c r="X167" s="3328"/>
      <c r="Y167" s="3328"/>
      <c r="Z167" s="3328"/>
      <c r="AA167" s="3328"/>
      <c r="AB167" s="3328"/>
      <c r="AC167" s="3328"/>
    </row>
    <row r="168" spans="1:29">
      <c r="A168" s="3328"/>
      <c r="B168" s="3328"/>
      <c r="C168" s="3328"/>
      <c r="D168" s="3328"/>
      <c r="E168" s="3328"/>
      <c r="F168" s="3328"/>
      <c r="G168" s="3328"/>
      <c r="H168" s="3328"/>
      <c r="I168" s="3328"/>
      <c r="J168" s="3328"/>
      <c r="K168" s="3329"/>
      <c r="L168" s="3330"/>
      <c r="M168" s="3328"/>
      <c r="N168" s="3328"/>
      <c r="O168" s="3328"/>
      <c r="P168" s="3328"/>
      <c r="Q168" s="3328"/>
      <c r="R168" s="3328"/>
      <c r="S168" s="3328"/>
      <c r="T168" s="3328"/>
      <c r="U168" s="3328"/>
      <c r="V168" s="3328"/>
      <c r="W168" s="3328"/>
      <c r="X168" s="3328"/>
      <c r="Y168" s="3328"/>
      <c r="Z168" s="3328"/>
      <c r="AA168" s="3328"/>
      <c r="AB168" s="3328"/>
      <c r="AC168" s="3328"/>
    </row>
    <row r="169" spans="1:29">
      <c r="A169" s="3328"/>
      <c r="B169" s="3328"/>
      <c r="C169" s="3328"/>
      <c r="D169" s="3328"/>
      <c r="E169" s="3328"/>
      <c r="F169" s="3328"/>
      <c r="G169" s="3328"/>
      <c r="H169" s="3328"/>
      <c r="I169" s="3328"/>
      <c r="J169" s="3328"/>
      <c r="K169" s="3329"/>
      <c r="L169" s="3330"/>
      <c r="M169" s="3328"/>
      <c r="N169" s="3328"/>
      <c r="O169" s="3328"/>
      <c r="P169" s="3328"/>
      <c r="Q169" s="3328"/>
      <c r="R169" s="3328"/>
      <c r="S169" s="3328"/>
      <c r="T169" s="3328"/>
      <c r="U169" s="3328"/>
      <c r="V169" s="3328"/>
      <c r="W169" s="3328"/>
      <c r="X169" s="3328"/>
      <c r="Y169" s="3328"/>
      <c r="Z169" s="3328"/>
      <c r="AA169" s="3328"/>
      <c r="AB169" s="3328"/>
      <c r="AC169" s="3328"/>
    </row>
    <row r="170" spans="1:29">
      <c r="A170" s="3328"/>
      <c r="B170" s="3328"/>
      <c r="C170" s="3328"/>
      <c r="D170" s="3328"/>
      <c r="E170" s="3328"/>
      <c r="F170" s="3328"/>
      <c r="G170" s="3328"/>
      <c r="H170" s="3328"/>
      <c r="I170" s="3328"/>
      <c r="J170" s="3328"/>
      <c r="K170" s="3329"/>
      <c r="L170" s="3330"/>
      <c r="M170" s="3328"/>
      <c r="N170" s="3328"/>
      <c r="O170" s="3328"/>
      <c r="P170" s="3328"/>
      <c r="Q170" s="3328"/>
      <c r="R170" s="3328"/>
      <c r="S170" s="3328"/>
      <c r="T170" s="3328"/>
      <c r="U170" s="3328"/>
      <c r="V170" s="3328"/>
      <c r="W170" s="3328"/>
      <c r="X170" s="3328"/>
      <c r="Y170" s="3328"/>
      <c r="Z170" s="3328"/>
      <c r="AA170" s="3328"/>
      <c r="AB170" s="3328"/>
      <c r="AC170" s="3328"/>
    </row>
    <row r="171" spans="1:29">
      <c r="A171" s="3328"/>
      <c r="B171" s="3328"/>
      <c r="C171" s="3328"/>
      <c r="D171" s="3328"/>
      <c r="E171" s="3328"/>
      <c r="F171" s="3328"/>
      <c r="G171" s="3328"/>
      <c r="H171" s="3328"/>
      <c r="I171" s="3328"/>
      <c r="J171" s="3328"/>
      <c r="K171" s="3329"/>
      <c r="L171" s="3330"/>
      <c r="M171" s="3328"/>
      <c r="N171" s="3328"/>
      <c r="O171" s="3328"/>
      <c r="P171" s="3328"/>
      <c r="Q171" s="3328"/>
      <c r="R171" s="3328"/>
      <c r="S171" s="3328"/>
      <c r="T171" s="3328"/>
      <c r="U171" s="3328"/>
      <c r="V171" s="3328"/>
      <c r="W171" s="3328"/>
      <c r="X171" s="3328"/>
      <c r="Y171" s="3328"/>
      <c r="Z171" s="3328"/>
      <c r="AA171" s="3328"/>
      <c r="AB171" s="3328"/>
      <c r="AC171" s="3328"/>
    </row>
    <row r="172" spans="1:29">
      <c r="A172" s="3328"/>
      <c r="B172" s="3328"/>
      <c r="C172" s="3328"/>
      <c r="D172" s="3328"/>
      <c r="E172" s="3328"/>
      <c r="F172" s="3328"/>
      <c r="G172" s="3328"/>
      <c r="H172" s="3328"/>
      <c r="I172" s="3328"/>
      <c r="J172" s="3328"/>
      <c r="K172" s="3329"/>
      <c r="L172" s="3330"/>
      <c r="M172" s="3328"/>
      <c r="N172" s="3328"/>
      <c r="O172" s="3328"/>
      <c r="P172" s="3328"/>
      <c r="Q172" s="3328"/>
      <c r="R172" s="3328"/>
      <c r="S172" s="3328"/>
      <c r="T172" s="3328"/>
      <c r="U172" s="3328"/>
      <c r="V172" s="3328"/>
      <c r="W172" s="3328"/>
      <c r="X172" s="3328"/>
      <c r="Y172" s="3328"/>
      <c r="Z172" s="3328"/>
      <c r="AA172" s="3328"/>
      <c r="AB172" s="3328"/>
      <c r="AC172" s="3328"/>
    </row>
    <row r="173" spans="1:29">
      <c r="A173" s="3328"/>
      <c r="B173" s="3328"/>
      <c r="C173" s="3328"/>
      <c r="D173" s="3328"/>
      <c r="E173" s="3328"/>
      <c r="F173" s="3328"/>
      <c r="G173" s="3328"/>
      <c r="H173" s="3328"/>
      <c r="I173" s="3328"/>
      <c r="J173" s="3328"/>
      <c r="K173" s="3329"/>
      <c r="L173" s="3330"/>
      <c r="M173" s="3328"/>
      <c r="N173" s="3328"/>
      <c r="O173" s="3328"/>
      <c r="P173" s="3328"/>
      <c r="Q173" s="3328"/>
      <c r="R173" s="3328"/>
      <c r="S173" s="3328"/>
      <c r="T173" s="3328"/>
      <c r="U173" s="3328"/>
      <c r="V173" s="3328"/>
      <c r="W173" s="3328"/>
      <c r="X173" s="3328"/>
      <c r="Y173" s="3328"/>
      <c r="Z173" s="3328"/>
      <c r="AA173" s="3328"/>
      <c r="AB173" s="3328"/>
      <c r="AC173" s="3328"/>
    </row>
    <row r="174" spans="1:29">
      <c r="A174" s="3328"/>
      <c r="B174" s="3328"/>
      <c r="C174" s="3328"/>
      <c r="D174" s="3328"/>
      <c r="E174" s="3328"/>
      <c r="F174" s="3328"/>
      <c r="G174" s="3328"/>
      <c r="H174" s="3328"/>
      <c r="I174" s="3328"/>
      <c r="J174" s="3328"/>
      <c r="K174" s="3329"/>
      <c r="L174" s="3330"/>
      <c r="M174" s="3328"/>
      <c r="N174" s="3328"/>
      <c r="O174" s="3328"/>
      <c r="P174" s="3328"/>
      <c r="Q174" s="3328"/>
      <c r="R174" s="3328"/>
      <c r="S174" s="3328"/>
      <c r="T174" s="3328"/>
      <c r="U174" s="3328"/>
      <c r="V174" s="3328"/>
      <c r="W174" s="3328"/>
      <c r="X174" s="3328"/>
      <c r="Y174" s="3328"/>
      <c r="Z174" s="3328"/>
      <c r="AA174" s="3328"/>
      <c r="AB174" s="3328"/>
      <c r="AC174" s="3328"/>
    </row>
    <row r="175" spans="1:29">
      <c r="A175" s="3328"/>
      <c r="B175" s="3328"/>
      <c r="C175" s="3328"/>
      <c r="D175" s="3328"/>
      <c r="E175" s="3328"/>
      <c r="F175" s="3328"/>
      <c r="G175" s="3328"/>
      <c r="H175" s="3328"/>
      <c r="I175" s="3328"/>
      <c r="J175" s="3328"/>
      <c r="K175" s="3329"/>
      <c r="L175" s="3330"/>
      <c r="M175" s="3328"/>
      <c r="N175" s="3328"/>
      <c r="O175" s="3328"/>
      <c r="P175" s="3328"/>
      <c r="Q175" s="3328"/>
      <c r="R175" s="3328"/>
      <c r="S175" s="3328"/>
      <c r="T175" s="3328"/>
      <c r="U175" s="3328"/>
      <c r="V175" s="3328"/>
      <c r="W175" s="3328"/>
      <c r="X175" s="3328"/>
      <c r="Y175" s="3328"/>
      <c r="Z175" s="3328"/>
      <c r="AA175" s="3328"/>
      <c r="AB175" s="3328"/>
      <c r="AC175" s="3328"/>
    </row>
    <row r="176" spans="1:29">
      <c r="A176" s="3328"/>
      <c r="B176" s="3328"/>
      <c r="C176" s="3328"/>
      <c r="D176" s="3328"/>
      <c r="E176" s="3328"/>
      <c r="F176" s="3328"/>
      <c r="G176" s="3328"/>
      <c r="H176" s="3328"/>
      <c r="I176" s="3328"/>
      <c r="J176" s="3328"/>
      <c r="K176" s="3329"/>
      <c r="L176" s="3330"/>
      <c r="M176" s="3328"/>
      <c r="N176" s="3328"/>
      <c r="O176" s="3328"/>
      <c r="P176" s="3328"/>
      <c r="Q176" s="3328"/>
      <c r="R176" s="3328"/>
      <c r="S176" s="3328"/>
      <c r="T176" s="3328"/>
      <c r="U176" s="3328"/>
      <c r="V176" s="3328"/>
      <c r="W176" s="3328"/>
      <c r="X176" s="3328"/>
      <c r="Y176" s="3328"/>
      <c r="Z176" s="3328"/>
      <c r="AA176" s="3328"/>
      <c r="AB176" s="3328"/>
      <c r="AC176" s="3328"/>
    </row>
    <row r="177" spans="1:29">
      <c r="A177" s="3328"/>
      <c r="B177" s="3328"/>
      <c r="C177" s="3328"/>
      <c r="D177" s="3328"/>
      <c r="E177" s="3328"/>
      <c r="F177" s="3328"/>
      <c r="G177" s="3328"/>
      <c r="H177" s="3328"/>
      <c r="I177" s="3328"/>
      <c r="J177" s="3328"/>
      <c r="K177" s="3329"/>
      <c r="L177" s="3330"/>
      <c r="M177" s="3328"/>
      <c r="N177" s="3328"/>
      <c r="O177" s="3328"/>
      <c r="P177" s="3328"/>
      <c r="Q177" s="3328"/>
      <c r="R177" s="3328"/>
      <c r="S177" s="3328"/>
      <c r="T177" s="3328"/>
      <c r="U177" s="3328"/>
      <c r="V177" s="3328"/>
      <c r="W177" s="3328"/>
      <c r="X177" s="3328"/>
      <c r="Y177" s="3328"/>
      <c r="Z177" s="3328"/>
      <c r="AA177" s="3328"/>
      <c r="AB177" s="3328"/>
      <c r="AC177" s="3328"/>
    </row>
    <row r="178" spans="1:29">
      <c r="A178" s="3328"/>
      <c r="B178" s="3328"/>
      <c r="C178" s="3328"/>
      <c r="D178" s="3328"/>
      <c r="E178" s="3328"/>
      <c r="F178" s="3328"/>
      <c r="G178" s="3328"/>
      <c r="H178" s="3328"/>
      <c r="I178" s="3328"/>
      <c r="J178" s="3328"/>
      <c r="K178" s="3329"/>
      <c r="L178" s="3330"/>
      <c r="M178" s="3328"/>
      <c r="N178" s="3328"/>
      <c r="O178" s="3328"/>
      <c r="P178" s="3328"/>
      <c r="Q178" s="3328"/>
      <c r="R178" s="3328"/>
      <c r="S178" s="3328"/>
      <c r="T178" s="3328"/>
      <c r="U178" s="3328"/>
      <c r="V178" s="3328"/>
      <c r="W178" s="3328"/>
      <c r="X178" s="3328"/>
      <c r="Y178" s="3328"/>
      <c r="Z178" s="3328"/>
      <c r="AA178" s="3328"/>
      <c r="AB178" s="3328"/>
      <c r="AC178" s="3328"/>
    </row>
    <row r="179" spans="1:29">
      <c r="A179" s="3328"/>
      <c r="B179" s="3328"/>
      <c r="C179" s="3328"/>
      <c r="D179" s="3328"/>
      <c r="E179" s="3328"/>
      <c r="F179" s="3328"/>
      <c r="G179" s="3328"/>
      <c r="H179" s="3328"/>
      <c r="I179" s="3328"/>
      <c r="J179" s="3328"/>
      <c r="K179" s="3329"/>
      <c r="L179" s="3330"/>
      <c r="M179" s="3328"/>
      <c r="N179" s="3328"/>
      <c r="O179" s="3328"/>
      <c r="P179" s="3328"/>
      <c r="Q179" s="3328"/>
      <c r="R179" s="3328"/>
      <c r="S179" s="3328"/>
      <c r="T179" s="3328"/>
      <c r="U179" s="3328"/>
      <c r="V179" s="3328"/>
      <c r="W179" s="3328"/>
      <c r="X179" s="3328"/>
      <c r="Y179" s="3328"/>
      <c r="Z179" s="3328"/>
      <c r="AA179" s="3328"/>
      <c r="AB179" s="3328"/>
      <c r="AC179" s="3328"/>
    </row>
    <row r="180" spans="1:29">
      <c r="A180" s="3328"/>
      <c r="B180" s="3328"/>
      <c r="C180" s="3328"/>
      <c r="D180" s="3328"/>
      <c r="E180" s="3328"/>
      <c r="F180" s="3328"/>
      <c r="G180" s="3328"/>
      <c r="H180" s="3328"/>
      <c r="I180" s="3328"/>
      <c r="J180" s="3328"/>
      <c r="K180" s="3329"/>
      <c r="L180" s="3330"/>
      <c r="M180" s="3328"/>
      <c r="N180" s="3328"/>
      <c r="O180" s="3328"/>
      <c r="P180" s="3328"/>
      <c r="Q180" s="3328"/>
      <c r="R180" s="3328"/>
      <c r="S180" s="3328"/>
      <c r="T180" s="3328"/>
      <c r="U180" s="3328"/>
      <c r="V180" s="3328"/>
      <c r="W180" s="3328"/>
      <c r="X180" s="3328"/>
      <c r="Y180" s="3328"/>
      <c r="Z180" s="3328"/>
      <c r="AA180" s="3328"/>
      <c r="AB180" s="3328"/>
      <c r="AC180" s="3328"/>
    </row>
    <row r="181" spans="1:29">
      <c r="A181" s="3328"/>
      <c r="B181" s="3328"/>
      <c r="C181" s="3328"/>
      <c r="D181" s="3328"/>
      <c r="E181" s="3328"/>
      <c r="F181" s="3328"/>
      <c r="G181" s="3328"/>
      <c r="H181" s="3328"/>
      <c r="I181" s="3328"/>
      <c r="J181" s="3328"/>
      <c r="K181" s="3329"/>
      <c r="L181" s="3330"/>
      <c r="M181" s="3328"/>
      <c r="N181" s="3328"/>
      <c r="O181" s="3328"/>
      <c r="P181" s="3328"/>
      <c r="Q181" s="3328"/>
      <c r="R181" s="3328"/>
      <c r="S181" s="3328"/>
      <c r="T181" s="3328"/>
      <c r="U181" s="3328"/>
      <c r="V181" s="3328"/>
      <c r="W181" s="3328"/>
      <c r="X181" s="3328"/>
      <c r="Y181" s="3328"/>
      <c r="Z181" s="3328"/>
      <c r="AA181" s="3328"/>
      <c r="AB181" s="3328"/>
      <c r="AC181" s="3328"/>
    </row>
    <row r="182" spans="1:29">
      <c r="A182" s="3328"/>
      <c r="B182" s="3328"/>
      <c r="C182" s="3328"/>
      <c r="D182" s="3328"/>
      <c r="E182" s="3328"/>
      <c r="F182" s="3328"/>
      <c r="G182" s="3328"/>
      <c r="H182" s="3328"/>
      <c r="I182" s="3328"/>
      <c r="J182" s="3328"/>
      <c r="K182" s="3329"/>
      <c r="L182" s="3330"/>
      <c r="M182" s="3328"/>
      <c r="N182" s="3328"/>
      <c r="O182" s="3328"/>
      <c r="P182" s="3328"/>
      <c r="Q182" s="3328"/>
      <c r="R182" s="3328"/>
      <c r="S182" s="3328"/>
      <c r="T182" s="3328"/>
      <c r="U182" s="3328"/>
      <c r="V182" s="3328"/>
      <c r="W182" s="3328"/>
      <c r="X182" s="3328"/>
      <c r="Y182" s="3328"/>
      <c r="Z182" s="3328"/>
      <c r="AA182" s="3328"/>
      <c r="AB182" s="3328"/>
      <c r="AC182" s="3328"/>
    </row>
    <row r="183" spans="1:29">
      <c r="A183" s="3328"/>
      <c r="B183" s="3328"/>
      <c r="C183" s="3328"/>
      <c r="D183" s="3328"/>
      <c r="E183" s="3328"/>
      <c r="F183" s="3328"/>
      <c r="G183" s="3328"/>
      <c r="H183" s="3328"/>
      <c r="I183" s="3328"/>
      <c r="J183" s="3328"/>
      <c r="K183" s="3329"/>
      <c r="L183" s="3330"/>
      <c r="M183" s="3328"/>
      <c r="N183" s="3328"/>
      <c r="O183" s="3328"/>
      <c r="P183" s="3328"/>
      <c r="Q183" s="3328"/>
      <c r="R183" s="3328"/>
      <c r="S183" s="3328"/>
      <c r="T183" s="3328"/>
      <c r="U183" s="3328"/>
      <c r="V183" s="3328"/>
      <c r="W183" s="3328"/>
      <c r="X183" s="3328"/>
      <c r="Y183" s="3328"/>
      <c r="Z183" s="3328"/>
      <c r="AA183" s="3328"/>
      <c r="AB183" s="3328"/>
      <c r="AC183" s="3328"/>
    </row>
    <row r="184" spans="1:29">
      <c r="A184" s="3328"/>
      <c r="B184" s="3328"/>
      <c r="C184" s="3328"/>
      <c r="D184" s="3328"/>
      <c r="E184" s="3328"/>
      <c r="F184" s="3328"/>
      <c r="G184" s="3328"/>
      <c r="H184" s="3328"/>
      <c r="I184" s="3328"/>
      <c r="J184" s="3328"/>
      <c r="K184" s="3329"/>
      <c r="L184" s="3330"/>
      <c r="M184" s="3328"/>
      <c r="N184" s="3328"/>
      <c r="O184" s="3328"/>
      <c r="P184" s="3328"/>
      <c r="Q184" s="3328"/>
      <c r="R184" s="3328"/>
      <c r="S184" s="3328"/>
      <c r="T184" s="3328"/>
      <c r="U184" s="3328"/>
      <c r="V184" s="3328"/>
      <c r="W184" s="3328"/>
      <c r="X184" s="3328"/>
      <c r="Y184" s="3328"/>
      <c r="Z184" s="3328"/>
      <c r="AA184" s="3328"/>
      <c r="AB184" s="3328"/>
      <c r="AC184" s="3328"/>
    </row>
    <row r="185" spans="1:29">
      <c r="A185" s="3328"/>
      <c r="B185" s="3328"/>
      <c r="C185" s="3328"/>
      <c r="D185" s="3328"/>
      <c r="E185" s="3328"/>
      <c r="F185" s="3328"/>
      <c r="G185" s="3328"/>
      <c r="H185" s="3328"/>
      <c r="I185" s="3328"/>
      <c r="J185" s="3328"/>
      <c r="K185" s="3329"/>
      <c r="L185" s="3330"/>
      <c r="M185" s="3328"/>
      <c r="N185" s="3328"/>
      <c r="O185" s="3328"/>
      <c r="P185" s="3328"/>
      <c r="Q185" s="3328"/>
      <c r="R185" s="3328"/>
      <c r="S185" s="3328"/>
      <c r="T185" s="3328"/>
      <c r="U185" s="3328"/>
      <c r="V185" s="3328"/>
      <c r="W185" s="3328"/>
      <c r="X185" s="3328"/>
      <c r="Y185" s="3328"/>
      <c r="Z185" s="3328"/>
      <c r="AA185" s="3328"/>
      <c r="AB185" s="3328"/>
      <c r="AC185" s="3328"/>
    </row>
    <row r="186" spans="1:29">
      <c r="A186" s="3328"/>
      <c r="B186" s="3328"/>
      <c r="C186" s="3328"/>
      <c r="D186" s="3328"/>
      <c r="E186" s="3328"/>
      <c r="F186" s="3328"/>
      <c r="G186" s="3328"/>
      <c r="H186" s="3328"/>
      <c r="I186" s="3328"/>
      <c r="J186" s="3328"/>
      <c r="K186" s="3329"/>
      <c r="L186" s="3330"/>
      <c r="M186" s="3328"/>
      <c r="N186" s="3328"/>
      <c r="O186" s="3328"/>
      <c r="P186" s="3328"/>
      <c r="Q186" s="3328"/>
      <c r="R186" s="3328"/>
      <c r="S186" s="3328"/>
      <c r="T186" s="3328"/>
      <c r="U186" s="3328"/>
      <c r="V186" s="3328"/>
      <c r="W186" s="3328"/>
      <c r="X186" s="3328"/>
      <c r="Y186" s="3328"/>
      <c r="Z186" s="3328"/>
      <c r="AA186" s="3328"/>
      <c r="AB186" s="3328"/>
      <c r="AC186" s="3328"/>
    </row>
    <row r="187" spans="1:29">
      <c r="A187" s="3328"/>
      <c r="B187" s="3328"/>
      <c r="C187" s="3328"/>
      <c r="D187" s="3328"/>
      <c r="E187" s="3328"/>
      <c r="F187" s="3328"/>
      <c r="G187" s="3328"/>
      <c r="H187" s="3328"/>
      <c r="I187" s="3328"/>
      <c r="J187" s="3328"/>
      <c r="K187" s="3329"/>
      <c r="L187" s="3330"/>
      <c r="M187" s="3328"/>
      <c r="N187" s="3328"/>
      <c r="O187" s="3328"/>
      <c r="P187" s="3328"/>
      <c r="Q187" s="3328"/>
      <c r="R187" s="3328"/>
      <c r="S187" s="3328"/>
      <c r="T187" s="3328"/>
      <c r="U187" s="3328"/>
      <c r="V187" s="3328"/>
      <c r="W187" s="3328"/>
      <c r="X187" s="3328"/>
      <c r="Y187" s="3328"/>
      <c r="Z187" s="3328"/>
      <c r="AA187" s="3328"/>
      <c r="AB187" s="3328"/>
      <c r="AC187" s="3328"/>
    </row>
    <row r="188" spans="1:29">
      <c r="A188" s="3328"/>
      <c r="B188" s="3328"/>
      <c r="C188" s="3328"/>
      <c r="D188" s="3328"/>
      <c r="E188" s="3328"/>
      <c r="F188" s="3328"/>
      <c r="G188" s="3328"/>
      <c r="H188" s="3328"/>
      <c r="I188" s="3328"/>
      <c r="J188" s="3328"/>
      <c r="K188" s="3329"/>
      <c r="L188" s="3330"/>
      <c r="M188" s="3328"/>
      <c r="N188" s="3328"/>
      <c r="O188" s="3328"/>
      <c r="P188" s="3328"/>
      <c r="Q188" s="3328"/>
      <c r="R188" s="3328"/>
      <c r="S188" s="3328"/>
      <c r="T188" s="3328"/>
      <c r="U188" s="3328"/>
      <c r="V188" s="3328"/>
      <c r="W188" s="3328"/>
      <c r="X188" s="3328"/>
      <c r="Y188" s="3328"/>
      <c r="Z188" s="3328"/>
      <c r="AA188" s="3328"/>
      <c r="AB188" s="3328"/>
      <c r="AC188" s="3328"/>
    </row>
    <row r="189" spans="1:29">
      <c r="A189" s="3328"/>
      <c r="B189" s="3328"/>
      <c r="C189" s="3328"/>
      <c r="D189" s="3328"/>
      <c r="E189" s="3328"/>
      <c r="F189" s="3328"/>
      <c r="G189" s="3328"/>
      <c r="H189" s="3328"/>
      <c r="I189" s="3328"/>
      <c r="J189" s="3328"/>
      <c r="K189" s="3329"/>
      <c r="L189" s="3330"/>
      <c r="M189" s="3328"/>
      <c r="N189" s="3328"/>
      <c r="O189" s="3328"/>
      <c r="P189" s="3328"/>
      <c r="Q189" s="3328"/>
      <c r="R189" s="3328"/>
      <c r="S189" s="3328"/>
      <c r="T189" s="3328"/>
      <c r="U189" s="3328"/>
      <c r="V189" s="3328"/>
      <c r="W189" s="3328"/>
      <c r="X189" s="3328"/>
      <c r="Y189" s="3328"/>
      <c r="Z189" s="3328"/>
      <c r="AA189" s="3328"/>
      <c r="AB189" s="3328"/>
      <c r="AC189" s="3328"/>
    </row>
    <row r="190" spans="1:29">
      <c r="A190" s="3328"/>
      <c r="B190" s="3328"/>
      <c r="C190" s="3328"/>
      <c r="D190" s="3328"/>
      <c r="E190" s="3328"/>
      <c r="F190" s="3328"/>
      <c r="G190" s="3328"/>
      <c r="H190" s="3328"/>
      <c r="I190" s="3328"/>
      <c r="J190" s="3328"/>
      <c r="K190" s="3329"/>
      <c r="L190" s="3330"/>
      <c r="M190" s="3328"/>
      <c r="N190" s="3328"/>
      <c r="O190" s="3328"/>
      <c r="P190" s="3328"/>
      <c r="Q190" s="3328"/>
      <c r="R190" s="3328"/>
      <c r="S190" s="3328"/>
      <c r="T190" s="3328"/>
      <c r="U190" s="3328"/>
      <c r="V190" s="3328"/>
      <c r="W190" s="3328"/>
      <c r="X190" s="3328"/>
      <c r="Y190" s="3328"/>
      <c r="Z190" s="3328"/>
      <c r="AA190" s="3328"/>
      <c r="AB190" s="3328"/>
      <c r="AC190" s="3328"/>
    </row>
    <row r="191" spans="1:29">
      <c r="A191" s="3328"/>
      <c r="B191" s="3328"/>
      <c r="C191" s="3328"/>
      <c r="D191" s="3328"/>
      <c r="E191" s="3328"/>
      <c r="F191" s="3328"/>
      <c r="G191" s="3328"/>
      <c r="H191" s="3328"/>
      <c r="I191" s="3328"/>
      <c r="J191" s="3328"/>
      <c r="K191" s="3329"/>
      <c r="L191" s="3330"/>
      <c r="M191" s="3328"/>
      <c r="N191" s="3328"/>
      <c r="O191" s="3328"/>
      <c r="P191" s="3328"/>
      <c r="Q191" s="3328"/>
      <c r="R191" s="3328"/>
      <c r="S191" s="3328"/>
      <c r="T191" s="3328"/>
      <c r="U191" s="3328"/>
      <c r="V191" s="3328"/>
      <c r="W191" s="3328"/>
      <c r="X191" s="3328"/>
      <c r="Y191" s="3328"/>
      <c r="Z191" s="3328"/>
      <c r="AA191" s="3328"/>
      <c r="AB191" s="3328"/>
      <c r="AC191" s="3328"/>
    </row>
    <row r="192" spans="1:29">
      <c r="A192" s="3328"/>
      <c r="B192" s="3328"/>
      <c r="C192" s="3328"/>
      <c r="D192" s="3328"/>
      <c r="E192" s="3328"/>
      <c r="F192" s="3328"/>
      <c r="G192" s="3328"/>
      <c r="H192" s="3328"/>
      <c r="I192" s="3328"/>
      <c r="J192" s="3328"/>
      <c r="K192" s="3329"/>
      <c r="L192" s="3330"/>
      <c r="M192" s="3328"/>
      <c r="N192" s="3328"/>
      <c r="O192" s="3328"/>
      <c r="P192" s="3328"/>
      <c r="Q192" s="3328"/>
      <c r="R192" s="3328"/>
      <c r="S192" s="3328"/>
      <c r="T192" s="3328"/>
      <c r="U192" s="3328"/>
      <c r="V192" s="3328"/>
      <c r="W192" s="3328"/>
      <c r="X192" s="3328"/>
      <c r="Y192" s="3328"/>
      <c r="Z192" s="3328"/>
      <c r="AA192" s="3328"/>
      <c r="AB192" s="3328"/>
      <c r="AC192" s="3328"/>
    </row>
    <row r="193" spans="1:29">
      <c r="A193" s="3328"/>
      <c r="B193" s="3328"/>
      <c r="C193" s="3328"/>
      <c r="D193" s="3328"/>
      <c r="E193" s="3328"/>
      <c r="F193" s="3328"/>
      <c r="G193" s="3328"/>
      <c r="H193" s="3328"/>
      <c r="I193" s="3328"/>
      <c r="J193" s="3328"/>
      <c r="K193" s="3329"/>
      <c r="L193" s="3330"/>
      <c r="M193" s="3328"/>
      <c r="N193" s="3328"/>
      <c r="O193" s="3328"/>
      <c r="P193" s="3328"/>
      <c r="Q193" s="3328"/>
      <c r="R193" s="3328"/>
      <c r="S193" s="3328"/>
      <c r="T193" s="3328"/>
      <c r="U193" s="3328"/>
      <c r="V193" s="3328"/>
      <c r="W193" s="3328"/>
      <c r="X193" s="3328"/>
      <c r="Y193" s="3328"/>
      <c r="Z193" s="3328"/>
      <c r="AA193" s="3328"/>
      <c r="AB193" s="3328"/>
      <c r="AC193" s="3328"/>
    </row>
    <row r="194" spans="1:29">
      <c r="A194" s="3328"/>
      <c r="B194" s="3328"/>
      <c r="C194" s="3328"/>
      <c r="D194" s="3328"/>
      <c r="E194" s="3328"/>
      <c r="F194" s="3328"/>
      <c r="G194" s="3328"/>
      <c r="H194" s="3328"/>
      <c r="I194" s="3328"/>
      <c r="J194" s="3328"/>
      <c r="K194" s="3329"/>
      <c r="L194" s="3330"/>
      <c r="M194" s="3328"/>
      <c r="N194" s="3328"/>
      <c r="O194" s="3328"/>
      <c r="P194" s="3328"/>
      <c r="Q194" s="3328"/>
      <c r="R194" s="3328"/>
      <c r="S194" s="3328"/>
      <c r="T194" s="3328"/>
      <c r="U194" s="3328"/>
      <c r="V194" s="3328"/>
      <c r="W194" s="3328"/>
      <c r="X194" s="3328"/>
      <c r="Y194" s="3328"/>
      <c r="Z194" s="3328"/>
      <c r="AA194" s="3328"/>
      <c r="AB194" s="3328"/>
      <c r="AC194" s="3328"/>
    </row>
    <row r="195" spans="1:29">
      <c r="A195" s="3328"/>
      <c r="B195" s="3328"/>
      <c r="C195" s="3328"/>
      <c r="D195" s="3328"/>
      <c r="E195" s="3328"/>
      <c r="F195" s="3328"/>
      <c r="G195" s="3328"/>
      <c r="H195" s="3328"/>
      <c r="I195" s="3328"/>
      <c r="J195" s="3328"/>
      <c r="K195" s="3329"/>
      <c r="L195" s="3330"/>
      <c r="M195" s="3328"/>
      <c r="N195" s="3328"/>
      <c r="O195" s="3328"/>
      <c r="P195" s="3328"/>
      <c r="Q195" s="3328"/>
      <c r="R195" s="3328"/>
      <c r="S195" s="3328"/>
      <c r="T195" s="3328"/>
      <c r="U195" s="3328"/>
      <c r="V195" s="3328"/>
      <c r="W195" s="3328"/>
      <c r="X195" s="3328"/>
      <c r="Y195" s="3328"/>
      <c r="Z195" s="3328"/>
      <c r="AA195" s="3328"/>
      <c r="AB195" s="3328"/>
      <c r="AC195" s="3328"/>
    </row>
    <row r="196" spans="1:29">
      <c r="A196" s="3328"/>
      <c r="B196" s="3328"/>
      <c r="C196" s="3328"/>
      <c r="D196" s="3328"/>
      <c r="E196" s="3328"/>
      <c r="F196" s="3328"/>
      <c r="G196" s="3328"/>
      <c r="H196" s="3328"/>
      <c r="I196" s="3328"/>
      <c r="J196" s="3328"/>
      <c r="K196" s="3329"/>
      <c r="L196" s="3330"/>
      <c r="M196" s="3328"/>
      <c r="N196" s="3328"/>
      <c r="O196" s="3328"/>
      <c r="P196" s="3328"/>
      <c r="Q196" s="3328"/>
      <c r="R196" s="3328"/>
      <c r="S196" s="3328"/>
      <c r="T196" s="3328"/>
      <c r="U196" s="3328"/>
      <c r="V196" s="3328"/>
      <c r="W196" s="3328"/>
      <c r="X196" s="3328"/>
      <c r="Y196" s="3328"/>
      <c r="Z196" s="3328"/>
      <c r="AA196" s="3328"/>
      <c r="AB196" s="3328"/>
      <c r="AC196" s="3328"/>
    </row>
    <row r="197" spans="1:29">
      <c r="A197" s="3328"/>
      <c r="B197" s="3328"/>
      <c r="C197" s="3328"/>
      <c r="D197" s="3328"/>
      <c r="E197" s="3328"/>
      <c r="F197" s="3328"/>
      <c r="G197" s="3328"/>
      <c r="H197" s="3328"/>
      <c r="I197" s="3328"/>
      <c r="J197" s="3328"/>
      <c r="K197" s="3329"/>
      <c r="L197" s="3330"/>
      <c r="M197" s="3328"/>
      <c r="N197" s="3328"/>
      <c r="O197" s="3328"/>
      <c r="P197" s="3328"/>
      <c r="Q197" s="3328"/>
      <c r="R197" s="3328"/>
      <c r="S197" s="3328"/>
      <c r="T197" s="3328"/>
      <c r="U197" s="3328"/>
      <c r="V197" s="3328"/>
      <c r="W197" s="3328"/>
      <c r="X197" s="3328"/>
      <c r="Y197" s="3328"/>
      <c r="Z197" s="3328"/>
      <c r="AA197" s="3328"/>
      <c r="AB197" s="3328"/>
      <c r="AC197" s="3328"/>
    </row>
    <row r="198" spans="1:29">
      <c r="A198" s="3328"/>
      <c r="B198" s="3328"/>
      <c r="C198" s="3328"/>
      <c r="D198" s="3328"/>
      <c r="E198" s="3328"/>
      <c r="F198" s="3328"/>
      <c r="G198" s="3328"/>
      <c r="H198" s="3328"/>
      <c r="I198" s="3328"/>
      <c r="J198" s="3328"/>
      <c r="K198" s="3329"/>
      <c r="L198" s="3330"/>
      <c r="M198" s="3328"/>
      <c r="N198" s="3328"/>
      <c r="O198" s="3328"/>
      <c r="P198" s="3328"/>
      <c r="Q198" s="3328"/>
      <c r="R198" s="3328"/>
      <c r="S198" s="3328"/>
      <c r="T198" s="3328"/>
      <c r="U198" s="3328"/>
      <c r="V198" s="3328"/>
      <c r="W198" s="3328"/>
      <c r="X198" s="3328"/>
      <c r="Y198" s="3328"/>
      <c r="Z198" s="3328"/>
      <c r="AA198" s="3328"/>
      <c r="AB198" s="3328"/>
      <c r="AC198" s="3328"/>
    </row>
    <row r="199" spans="1:29">
      <c r="A199" s="3328"/>
      <c r="B199" s="3328"/>
      <c r="C199" s="3328"/>
      <c r="D199" s="3328"/>
      <c r="E199" s="3328"/>
      <c r="F199" s="3328"/>
      <c r="G199" s="3328"/>
      <c r="H199" s="3328"/>
      <c r="I199" s="3328"/>
      <c r="J199" s="3328"/>
      <c r="K199" s="3329"/>
      <c r="L199" s="3330"/>
      <c r="M199" s="3328"/>
      <c r="N199" s="3328"/>
      <c r="O199" s="3328"/>
      <c r="P199" s="3328"/>
      <c r="Q199" s="3328"/>
      <c r="R199" s="3328"/>
      <c r="S199" s="3328"/>
      <c r="T199" s="3328"/>
      <c r="U199" s="3328"/>
      <c r="V199" s="3328"/>
      <c r="W199" s="3328"/>
      <c r="X199" s="3328"/>
      <c r="Y199" s="3328"/>
      <c r="Z199" s="3328"/>
      <c r="AA199" s="3328"/>
      <c r="AB199" s="3328"/>
      <c r="AC199" s="3328"/>
    </row>
    <row r="200" spans="1:29">
      <c r="A200" s="3328"/>
      <c r="B200" s="3328"/>
      <c r="C200" s="3328"/>
      <c r="D200" s="3328"/>
      <c r="E200" s="3328"/>
      <c r="F200" s="3328"/>
      <c r="G200" s="3328"/>
      <c r="H200" s="3328"/>
      <c r="I200" s="3328"/>
      <c r="J200" s="3328"/>
      <c r="K200" s="3329"/>
      <c r="L200" s="3330"/>
      <c r="M200" s="3328"/>
      <c r="N200" s="3328"/>
      <c r="O200" s="3328"/>
      <c r="P200" s="3328"/>
      <c r="Q200" s="3328"/>
      <c r="R200" s="3328"/>
      <c r="S200" s="3328"/>
      <c r="T200" s="3328"/>
      <c r="U200" s="3328"/>
      <c r="V200" s="3328"/>
      <c r="W200" s="3328"/>
      <c r="X200" s="3328"/>
      <c r="Y200" s="3328"/>
      <c r="Z200" s="3328"/>
      <c r="AA200" s="3328"/>
      <c r="AB200" s="3328"/>
      <c r="AC200" s="3328"/>
    </row>
    <row r="201" spans="1:29">
      <c r="A201" s="3328"/>
      <c r="B201" s="3328"/>
      <c r="C201" s="3328"/>
      <c r="D201" s="3328"/>
      <c r="E201" s="3328"/>
      <c r="F201" s="3328"/>
      <c r="G201" s="3328"/>
      <c r="H201" s="3328"/>
      <c r="I201" s="3328"/>
      <c r="J201" s="3328"/>
      <c r="K201" s="3329"/>
      <c r="L201" s="3330"/>
      <c r="M201" s="3328"/>
      <c r="N201" s="3328"/>
      <c r="O201" s="3328"/>
      <c r="P201" s="3328"/>
      <c r="Q201" s="3328"/>
      <c r="R201" s="3328"/>
      <c r="S201" s="3328"/>
      <c r="T201" s="3328"/>
      <c r="U201" s="3328"/>
      <c r="V201" s="3328"/>
      <c r="W201" s="3328"/>
      <c r="X201" s="3328"/>
      <c r="Y201" s="3328"/>
      <c r="Z201" s="3328"/>
      <c r="AA201" s="3328"/>
      <c r="AB201" s="3328"/>
      <c r="AC201" s="3328"/>
    </row>
    <row r="202" spans="1:29">
      <c r="A202" s="3328"/>
      <c r="B202" s="3328"/>
      <c r="C202" s="3328"/>
      <c r="D202" s="3328"/>
      <c r="E202" s="3328"/>
      <c r="F202" s="3328"/>
      <c r="G202" s="3328"/>
      <c r="H202" s="3328"/>
      <c r="I202" s="3328"/>
      <c r="J202" s="3328"/>
      <c r="K202" s="3329"/>
      <c r="L202" s="3330"/>
      <c r="M202" s="3328"/>
      <c r="N202" s="3328"/>
      <c r="O202" s="3328"/>
      <c r="P202" s="3328"/>
      <c r="Q202" s="3328"/>
      <c r="R202" s="3328"/>
      <c r="S202" s="3328"/>
      <c r="T202" s="3328"/>
      <c r="U202" s="3328"/>
      <c r="V202" s="3328"/>
      <c r="W202" s="3328"/>
      <c r="X202" s="3328"/>
      <c r="Y202" s="3328"/>
      <c r="Z202" s="3328"/>
      <c r="AA202" s="3328"/>
      <c r="AB202" s="3328"/>
      <c r="AC202" s="3328"/>
    </row>
    <row r="203" spans="1:29">
      <c r="A203" s="3328"/>
      <c r="B203" s="3328"/>
      <c r="C203" s="3328"/>
      <c r="D203" s="3328"/>
      <c r="E203" s="3328"/>
      <c r="F203" s="3328"/>
      <c r="G203" s="3328"/>
      <c r="H203" s="3328"/>
      <c r="I203" s="3328"/>
      <c r="J203" s="3328"/>
      <c r="K203" s="3329"/>
      <c r="L203" s="3330"/>
      <c r="M203" s="3328"/>
      <c r="N203" s="3328"/>
      <c r="O203" s="3328"/>
      <c r="P203" s="3328"/>
      <c r="Q203" s="3328"/>
      <c r="R203" s="3328"/>
      <c r="S203" s="3328"/>
      <c r="T203" s="3328"/>
      <c r="U203" s="3328"/>
      <c r="V203" s="3328"/>
      <c r="W203" s="3328"/>
      <c r="X203" s="3328"/>
      <c r="Y203" s="3328"/>
      <c r="Z203" s="3328"/>
      <c r="AA203" s="3328"/>
      <c r="AB203" s="3328"/>
      <c r="AC203" s="3328"/>
    </row>
    <row r="204" spans="1:29">
      <c r="A204" s="3328"/>
      <c r="B204" s="3328"/>
      <c r="C204" s="3328"/>
      <c r="D204" s="3328"/>
      <c r="E204" s="3328"/>
      <c r="F204" s="3328"/>
      <c r="G204" s="3328"/>
      <c r="H204" s="3328"/>
      <c r="I204" s="3328"/>
      <c r="J204" s="3328"/>
      <c r="K204" s="3329"/>
      <c r="L204" s="3330"/>
      <c r="M204" s="3328"/>
      <c r="N204" s="3328"/>
      <c r="O204" s="3328"/>
      <c r="P204" s="3328"/>
      <c r="Q204" s="3328"/>
      <c r="R204" s="3328"/>
      <c r="S204" s="3328"/>
      <c r="T204" s="3328"/>
      <c r="U204" s="3328"/>
      <c r="V204" s="3328"/>
      <c r="W204" s="3328"/>
      <c r="X204" s="3328"/>
      <c r="Y204" s="3328"/>
      <c r="Z204" s="3328"/>
      <c r="AA204" s="3328"/>
      <c r="AB204" s="3328"/>
      <c r="AC204" s="3328"/>
    </row>
    <row r="205" spans="1:29">
      <c r="A205" s="3328"/>
      <c r="B205" s="3328"/>
      <c r="C205" s="3328"/>
      <c r="D205" s="3328"/>
      <c r="E205" s="3328"/>
      <c r="F205" s="3328"/>
      <c r="G205" s="3328"/>
      <c r="H205" s="3328"/>
      <c r="I205" s="3328"/>
      <c r="J205" s="3328"/>
      <c r="K205" s="3329"/>
      <c r="L205" s="3330"/>
      <c r="M205" s="3328"/>
      <c r="N205" s="3328"/>
      <c r="O205" s="3328"/>
      <c r="P205" s="3328"/>
      <c r="Q205" s="3328"/>
      <c r="R205" s="3328"/>
      <c r="S205" s="3328"/>
      <c r="T205" s="3328"/>
      <c r="U205" s="3328"/>
      <c r="V205" s="3328"/>
      <c r="W205" s="3328"/>
      <c r="X205" s="3328"/>
      <c r="Y205" s="3328"/>
      <c r="Z205" s="3328"/>
      <c r="AA205" s="3328"/>
      <c r="AB205" s="3328"/>
      <c r="AC205" s="3328"/>
    </row>
    <row r="206" spans="1:29">
      <c r="A206" s="3328"/>
      <c r="B206" s="3328"/>
      <c r="C206" s="3328"/>
      <c r="D206" s="3328"/>
      <c r="E206" s="3328"/>
      <c r="F206" s="3328"/>
      <c r="G206" s="3328"/>
      <c r="H206" s="3328"/>
      <c r="I206" s="3328"/>
      <c r="J206" s="3328"/>
      <c r="K206" s="3329"/>
      <c r="L206" s="3330"/>
      <c r="M206" s="3328"/>
      <c r="N206" s="3328"/>
      <c r="O206" s="3328"/>
      <c r="P206" s="3328"/>
      <c r="Q206" s="3328"/>
      <c r="R206" s="3328"/>
      <c r="S206" s="3328"/>
      <c r="T206" s="3328"/>
      <c r="U206" s="3328"/>
      <c r="V206" s="3328"/>
      <c r="W206" s="3328"/>
      <c r="X206" s="3328"/>
      <c r="Y206" s="3328"/>
      <c r="Z206" s="3328"/>
      <c r="AA206" s="3328"/>
      <c r="AB206" s="3328"/>
      <c r="AC206" s="3328"/>
    </row>
    <row r="207" spans="1:29">
      <c r="A207" s="3328"/>
      <c r="B207" s="3328"/>
      <c r="C207" s="3328"/>
      <c r="D207" s="3328"/>
      <c r="E207" s="3328"/>
      <c r="F207" s="3328"/>
      <c r="G207" s="3328"/>
      <c r="H207" s="3328"/>
      <c r="I207" s="3328"/>
      <c r="J207" s="3328"/>
      <c r="K207" s="3329"/>
      <c r="L207" s="3330"/>
      <c r="M207" s="3328"/>
      <c r="N207" s="3328"/>
      <c r="O207" s="3328"/>
      <c r="P207" s="3328"/>
      <c r="Q207" s="3328"/>
      <c r="R207" s="3328"/>
      <c r="S207" s="3328"/>
      <c r="T207" s="3328"/>
      <c r="U207" s="3328"/>
      <c r="V207" s="3328"/>
      <c r="W207" s="3328"/>
      <c r="X207" s="3328"/>
      <c r="Y207" s="3328"/>
      <c r="Z207" s="3328"/>
      <c r="AA207" s="3328"/>
      <c r="AB207" s="3328"/>
      <c r="AC207" s="3328"/>
    </row>
    <row r="208" spans="1:29">
      <c r="A208" s="3328"/>
      <c r="B208" s="3328"/>
      <c r="C208" s="3328"/>
      <c r="D208" s="3328"/>
      <c r="E208" s="3328"/>
      <c r="F208" s="3328"/>
      <c r="G208" s="3328"/>
      <c r="H208" s="3328"/>
      <c r="I208" s="3328"/>
      <c r="J208" s="3328"/>
      <c r="K208" s="3329"/>
      <c r="L208" s="3330"/>
      <c r="M208" s="3328"/>
      <c r="N208" s="3328"/>
      <c r="O208" s="3328"/>
      <c r="P208" s="3328"/>
      <c r="Q208" s="3328"/>
      <c r="R208" s="3328"/>
      <c r="S208" s="3328"/>
      <c r="T208" s="3328"/>
      <c r="U208" s="3328"/>
      <c r="V208" s="3328"/>
      <c r="W208" s="3328"/>
      <c r="X208" s="3328"/>
      <c r="Y208" s="3328"/>
      <c r="Z208" s="3328"/>
      <c r="AA208" s="3328"/>
      <c r="AB208" s="3328"/>
      <c r="AC208" s="3328"/>
    </row>
    <row r="209" spans="1:29">
      <c r="A209" s="3328"/>
      <c r="B209" s="3328"/>
      <c r="C209" s="3328"/>
      <c r="D209" s="3328"/>
      <c r="E209" s="3328"/>
      <c r="F209" s="3328"/>
      <c r="G209" s="3328"/>
      <c r="H209" s="3328"/>
      <c r="I209" s="3328"/>
      <c r="J209" s="3328"/>
      <c r="K209" s="3329"/>
      <c r="L209" s="3330"/>
      <c r="M209" s="3328"/>
      <c r="N209" s="3328"/>
      <c r="O209" s="3328"/>
      <c r="P209" s="3328"/>
      <c r="Q209" s="3328"/>
      <c r="R209" s="3328"/>
      <c r="S209" s="3328"/>
      <c r="T209" s="3328"/>
      <c r="U209" s="3328"/>
      <c r="V209" s="3328"/>
      <c r="W209" s="3328"/>
      <c r="X209" s="3328"/>
      <c r="Y209" s="3328"/>
      <c r="Z209" s="3328"/>
      <c r="AA209" s="3328"/>
      <c r="AB209" s="3328"/>
      <c r="AC209" s="3328"/>
    </row>
    <row r="210" spans="1:29">
      <c r="A210" s="3328"/>
      <c r="B210" s="3328"/>
      <c r="C210" s="3328"/>
      <c r="D210" s="3328"/>
      <c r="E210" s="3328"/>
      <c r="F210" s="3328"/>
      <c r="G210" s="3328"/>
      <c r="H210" s="3328"/>
      <c r="I210" s="3328"/>
      <c r="J210" s="3328"/>
      <c r="K210" s="3329"/>
      <c r="L210" s="3330"/>
      <c r="M210" s="3328"/>
      <c r="N210" s="3328"/>
      <c r="O210" s="3328"/>
      <c r="P210" s="3328"/>
      <c r="Q210" s="3328"/>
      <c r="R210" s="3328"/>
      <c r="S210" s="3328"/>
      <c r="T210" s="3328"/>
      <c r="U210" s="3328"/>
      <c r="V210" s="3328"/>
      <c r="W210" s="3328"/>
      <c r="X210" s="3328"/>
      <c r="Y210" s="3328"/>
      <c r="Z210" s="3328"/>
      <c r="AA210" s="3328"/>
      <c r="AB210" s="3328"/>
      <c r="AC210" s="3328"/>
    </row>
    <row r="211" spans="1:29">
      <c r="A211" s="3328"/>
      <c r="B211" s="3328"/>
      <c r="C211" s="3328"/>
      <c r="D211" s="3328"/>
      <c r="E211" s="3328"/>
      <c r="F211" s="3328"/>
      <c r="G211" s="3328"/>
      <c r="H211" s="3328"/>
      <c r="I211" s="3328"/>
      <c r="J211" s="3328"/>
      <c r="K211" s="3329"/>
      <c r="L211" s="3330"/>
      <c r="M211" s="3328"/>
      <c r="N211" s="3328"/>
      <c r="O211" s="3328"/>
      <c r="P211" s="3328"/>
      <c r="Q211" s="3328"/>
      <c r="R211" s="3328"/>
      <c r="S211" s="3328"/>
      <c r="T211" s="3328"/>
      <c r="U211" s="3328"/>
      <c r="V211" s="3328"/>
      <c r="W211" s="3328"/>
      <c r="X211" s="3328"/>
      <c r="Y211" s="3328"/>
      <c r="Z211" s="3328"/>
      <c r="AA211" s="3328"/>
      <c r="AB211" s="3328"/>
      <c r="AC211" s="3328"/>
    </row>
    <row r="212" spans="1:29">
      <c r="A212" s="3328"/>
      <c r="B212" s="3328"/>
      <c r="C212" s="3328"/>
      <c r="D212" s="3328"/>
      <c r="E212" s="3328"/>
      <c r="F212" s="3328"/>
      <c r="G212" s="3328"/>
      <c r="H212" s="3328"/>
      <c r="I212" s="3328"/>
      <c r="J212" s="3328"/>
      <c r="K212" s="3329"/>
      <c r="L212" s="3330"/>
      <c r="M212" s="3328"/>
      <c r="N212" s="3328"/>
      <c r="O212" s="3328"/>
      <c r="P212" s="3328"/>
      <c r="Q212" s="3328"/>
      <c r="R212" s="3328"/>
      <c r="S212" s="3328"/>
      <c r="T212" s="3328"/>
      <c r="U212" s="3328"/>
      <c r="V212" s="3328"/>
      <c r="W212" s="3328"/>
      <c r="X212" s="3328"/>
      <c r="Y212" s="3328"/>
      <c r="Z212" s="3328"/>
      <c r="AA212" s="3328"/>
      <c r="AB212" s="3328"/>
      <c r="AC212" s="3328"/>
    </row>
    <row r="213" spans="1:29">
      <c r="A213" s="3328"/>
      <c r="B213" s="3328"/>
      <c r="C213" s="3328"/>
      <c r="D213" s="3328"/>
      <c r="E213" s="3328"/>
      <c r="F213" s="3328"/>
      <c r="G213" s="3328"/>
      <c r="H213" s="3328"/>
      <c r="I213" s="3328"/>
      <c r="J213" s="3328"/>
      <c r="K213" s="3329"/>
      <c r="L213" s="3330"/>
      <c r="M213" s="3328"/>
      <c r="N213" s="3328"/>
      <c r="O213" s="3328"/>
      <c r="P213" s="3328"/>
      <c r="Q213" s="3328"/>
      <c r="R213" s="3328"/>
      <c r="S213" s="3328"/>
      <c r="T213" s="3328"/>
      <c r="U213" s="3328"/>
      <c r="V213" s="3328"/>
      <c r="W213" s="3328"/>
      <c r="X213" s="3328"/>
      <c r="Y213" s="3328"/>
      <c r="Z213" s="3328"/>
      <c r="AA213" s="3328"/>
      <c r="AB213" s="3328"/>
      <c r="AC213" s="3328"/>
    </row>
    <row r="214" spans="1:29">
      <c r="A214" s="3328"/>
      <c r="B214" s="3328"/>
      <c r="C214" s="3328"/>
      <c r="D214" s="3328"/>
      <c r="E214" s="3328"/>
      <c r="F214" s="3328"/>
      <c r="G214" s="3328"/>
      <c r="H214" s="3328"/>
      <c r="I214" s="3328"/>
      <c r="J214" s="3328"/>
      <c r="K214" s="3329"/>
      <c r="L214" s="3330"/>
      <c r="M214" s="3328"/>
      <c r="N214" s="3328"/>
      <c r="O214" s="3328"/>
      <c r="P214" s="3328"/>
      <c r="Q214" s="3328"/>
      <c r="R214" s="3328"/>
      <c r="S214" s="3328"/>
      <c r="T214" s="3328"/>
      <c r="U214" s="3328"/>
      <c r="V214" s="3328"/>
      <c r="W214" s="3328"/>
      <c r="X214" s="3328"/>
      <c r="Y214" s="3328"/>
      <c r="Z214" s="3328"/>
      <c r="AA214" s="3328"/>
      <c r="AB214" s="3328"/>
      <c r="AC214" s="3328"/>
    </row>
    <row r="215" spans="1:29">
      <c r="A215" s="3328"/>
      <c r="B215" s="3328"/>
      <c r="C215" s="3328"/>
      <c r="D215" s="3328"/>
      <c r="E215" s="3328"/>
      <c r="F215" s="3328"/>
      <c r="G215" s="3328"/>
      <c r="H215" s="3328"/>
      <c r="I215" s="3328"/>
      <c r="J215" s="3328"/>
      <c r="K215" s="3329"/>
      <c r="L215" s="3330"/>
      <c r="M215" s="3328"/>
      <c r="N215" s="3328"/>
      <c r="O215" s="3328"/>
      <c r="P215" s="3328"/>
      <c r="Q215" s="3328"/>
      <c r="R215" s="3328"/>
      <c r="S215" s="3328"/>
      <c r="T215" s="3328"/>
      <c r="U215" s="3328"/>
      <c r="V215" s="3328"/>
      <c r="W215" s="3328"/>
      <c r="X215" s="3328"/>
      <c r="Y215" s="3328"/>
      <c r="Z215" s="3328"/>
      <c r="AA215" s="3328"/>
      <c r="AB215" s="3328"/>
      <c r="AC215" s="3328"/>
    </row>
    <row r="216" spans="1:29">
      <c r="A216" s="3328"/>
      <c r="B216" s="3328"/>
      <c r="C216" s="3328"/>
      <c r="D216" s="3328"/>
      <c r="E216" s="3328"/>
      <c r="F216" s="3328"/>
      <c r="G216" s="3328"/>
      <c r="H216" s="3328"/>
      <c r="I216" s="3328"/>
      <c r="J216" s="3328"/>
      <c r="K216" s="3329"/>
      <c r="L216" s="3330"/>
      <c r="M216" s="3328"/>
      <c r="N216" s="3328"/>
      <c r="O216" s="3328"/>
      <c r="P216" s="3328"/>
      <c r="Q216" s="3328"/>
      <c r="R216" s="3328"/>
      <c r="S216" s="3328"/>
      <c r="T216" s="3328"/>
      <c r="U216" s="3328"/>
      <c r="V216" s="3328"/>
      <c r="W216" s="3328"/>
      <c r="X216" s="3328"/>
      <c r="Y216" s="3328"/>
      <c r="Z216" s="3328"/>
      <c r="AA216" s="3328"/>
      <c r="AB216" s="3328"/>
      <c r="AC216" s="3328"/>
    </row>
    <row r="217" spans="1:29">
      <c r="A217" s="3328"/>
      <c r="B217" s="3328"/>
      <c r="C217" s="3328"/>
      <c r="D217" s="3328"/>
      <c r="E217" s="3328"/>
      <c r="F217" s="3328"/>
      <c r="G217" s="3328"/>
      <c r="H217" s="3328"/>
      <c r="I217" s="3328"/>
      <c r="J217" s="3328"/>
      <c r="K217" s="3329"/>
      <c r="L217" s="3330"/>
      <c r="M217" s="3328"/>
      <c r="N217" s="3328"/>
      <c r="O217" s="3328"/>
      <c r="P217" s="3328"/>
      <c r="Q217" s="3328"/>
      <c r="R217" s="3328"/>
      <c r="S217" s="3328"/>
      <c r="T217" s="3328"/>
      <c r="U217" s="3328"/>
      <c r="V217" s="3328"/>
      <c r="W217" s="3328"/>
      <c r="X217" s="3328"/>
      <c r="Y217" s="3328"/>
      <c r="Z217" s="3328"/>
      <c r="AA217" s="3328"/>
      <c r="AB217" s="3328"/>
      <c r="AC217" s="3328"/>
    </row>
    <row r="218" spans="1:29">
      <c r="A218" s="3328"/>
      <c r="B218" s="3328"/>
      <c r="C218" s="3328"/>
      <c r="D218" s="3328"/>
      <c r="E218" s="3328"/>
      <c r="F218" s="3328"/>
      <c r="G218" s="3328"/>
      <c r="H218" s="3328"/>
      <c r="I218" s="3328"/>
      <c r="J218" s="3328"/>
      <c r="K218" s="3329"/>
      <c r="L218" s="3330"/>
      <c r="M218" s="3328"/>
      <c r="N218" s="3328"/>
      <c r="O218" s="3328"/>
      <c r="P218" s="3328"/>
      <c r="Q218" s="3328"/>
      <c r="R218" s="3328"/>
      <c r="S218" s="3328"/>
      <c r="T218" s="3328"/>
      <c r="U218" s="3328"/>
      <c r="V218" s="3328"/>
      <c r="W218" s="3328"/>
      <c r="X218" s="3328"/>
      <c r="Y218" s="3328"/>
      <c r="Z218" s="3328"/>
      <c r="AA218" s="3328"/>
      <c r="AB218" s="3328"/>
      <c r="AC218" s="3328"/>
    </row>
    <row r="219" spans="1:29">
      <c r="A219" s="3328"/>
      <c r="B219" s="3328"/>
      <c r="C219" s="3328"/>
      <c r="D219" s="3328"/>
      <c r="E219" s="3328"/>
      <c r="F219" s="3328"/>
      <c r="G219" s="3328"/>
      <c r="H219" s="3328"/>
      <c r="I219" s="3328"/>
      <c r="J219" s="3328"/>
      <c r="K219" s="3329"/>
      <c r="L219" s="3330"/>
      <c r="M219" s="3328"/>
      <c r="N219" s="3328"/>
      <c r="O219" s="3328"/>
      <c r="P219" s="3328"/>
      <c r="Q219" s="3328"/>
      <c r="R219" s="3328"/>
      <c r="S219" s="3328"/>
      <c r="T219" s="3328"/>
      <c r="U219" s="3328"/>
      <c r="V219" s="3328"/>
      <c r="W219" s="3328"/>
      <c r="X219" s="3328"/>
      <c r="Y219" s="3328"/>
      <c r="Z219" s="3328"/>
      <c r="AA219" s="3328"/>
      <c r="AB219" s="3328"/>
      <c r="AC219" s="3328"/>
    </row>
    <row r="220" spans="1:29">
      <c r="A220" s="3328"/>
      <c r="B220" s="3328"/>
      <c r="C220" s="3328"/>
      <c r="D220" s="3328"/>
      <c r="E220" s="3328"/>
      <c r="F220" s="3328"/>
      <c r="G220" s="3328"/>
      <c r="H220" s="3328"/>
      <c r="I220" s="3328"/>
      <c r="J220" s="3328"/>
      <c r="K220" s="3329"/>
      <c r="L220" s="3330"/>
      <c r="M220" s="3328"/>
      <c r="N220" s="3328"/>
      <c r="O220" s="3328"/>
      <c r="P220" s="3328"/>
      <c r="Q220" s="3328"/>
      <c r="R220" s="3328"/>
      <c r="S220" s="3328"/>
      <c r="T220" s="3328"/>
      <c r="U220" s="3328"/>
      <c r="V220" s="3328"/>
      <c r="W220" s="3328"/>
      <c r="X220" s="3328"/>
      <c r="Y220" s="3328"/>
      <c r="Z220" s="3328"/>
      <c r="AA220" s="3328"/>
      <c r="AB220" s="3328"/>
      <c r="AC220" s="3328"/>
    </row>
    <row r="221" spans="1:29">
      <c r="A221" s="3328"/>
      <c r="B221" s="3328"/>
      <c r="C221" s="3328"/>
      <c r="D221" s="3328"/>
      <c r="E221" s="3328"/>
      <c r="F221" s="3328"/>
      <c r="G221" s="3328"/>
      <c r="H221" s="3328"/>
      <c r="I221" s="3328"/>
      <c r="J221" s="3328"/>
      <c r="K221" s="3329"/>
      <c r="L221" s="3330"/>
      <c r="M221" s="3328"/>
      <c r="N221" s="3328"/>
      <c r="O221" s="3328"/>
      <c r="P221" s="3328"/>
      <c r="Q221" s="3328"/>
      <c r="R221" s="3328"/>
      <c r="S221" s="3328"/>
      <c r="T221" s="3328"/>
      <c r="U221" s="3328"/>
      <c r="V221" s="3328"/>
      <c r="W221" s="3328"/>
      <c r="X221" s="3328"/>
      <c r="Y221" s="3328"/>
      <c r="Z221" s="3328"/>
      <c r="AA221" s="3328"/>
      <c r="AB221" s="3328"/>
      <c r="AC221" s="3328"/>
    </row>
    <row r="222" spans="1:29">
      <c r="A222" s="3328"/>
      <c r="B222" s="3328"/>
      <c r="C222" s="3328"/>
      <c r="D222" s="3328"/>
      <c r="E222" s="3328"/>
      <c r="F222" s="3328"/>
      <c r="G222" s="3328"/>
      <c r="H222" s="3328"/>
      <c r="I222" s="3328"/>
      <c r="J222" s="3328"/>
      <c r="K222" s="3329"/>
      <c r="L222" s="3330"/>
      <c r="M222" s="3328"/>
      <c r="N222" s="3328"/>
      <c r="O222" s="3328"/>
      <c r="P222" s="3328"/>
      <c r="Q222" s="3328"/>
      <c r="R222" s="3328"/>
      <c r="S222" s="3328"/>
      <c r="T222" s="3328"/>
      <c r="U222" s="3328"/>
      <c r="V222" s="3328"/>
      <c r="W222" s="3328"/>
      <c r="X222" s="3328"/>
      <c r="Y222" s="3328"/>
      <c r="Z222" s="3328"/>
      <c r="AA222" s="3328"/>
      <c r="AB222" s="3328"/>
      <c r="AC222" s="3328"/>
    </row>
    <row r="223" spans="1:29">
      <c r="A223" s="3328"/>
      <c r="B223" s="3328"/>
      <c r="C223" s="3328"/>
      <c r="D223" s="3328"/>
      <c r="E223" s="3328"/>
      <c r="F223" s="3328"/>
      <c r="G223" s="3328"/>
      <c r="H223" s="3328"/>
      <c r="I223" s="3328"/>
      <c r="J223" s="3328"/>
      <c r="K223" s="3329"/>
      <c r="L223" s="3330"/>
      <c r="M223" s="3328"/>
      <c r="N223" s="3328"/>
      <c r="O223" s="3328"/>
      <c r="P223" s="3328"/>
      <c r="Q223" s="3328"/>
      <c r="R223" s="3328"/>
      <c r="S223" s="3328"/>
      <c r="T223" s="3328"/>
      <c r="U223" s="3328"/>
      <c r="V223" s="3328"/>
      <c r="W223" s="3328"/>
      <c r="X223" s="3328"/>
      <c r="Y223" s="3328"/>
      <c r="Z223" s="3328"/>
      <c r="AA223" s="3328"/>
      <c r="AB223" s="3328"/>
      <c r="AC223" s="3328"/>
    </row>
    <row r="224" spans="1:29">
      <c r="A224" s="3328"/>
      <c r="B224" s="3328"/>
      <c r="C224" s="3328"/>
      <c r="D224" s="3328"/>
      <c r="E224" s="3328"/>
      <c r="F224" s="3328"/>
      <c r="G224" s="3328"/>
      <c r="H224" s="3328"/>
      <c r="I224" s="3328"/>
      <c r="J224" s="3328"/>
      <c r="K224" s="3329"/>
      <c r="L224" s="3330"/>
      <c r="M224" s="3328"/>
      <c r="N224" s="3328"/>
      <c r="O224" s="3328"/>
      <c r="P224" s="3328"/>
      <c r="Q224" s="3328"/>
      <c r="R224" s="3328"/>
      <c r="S224" s="3328"/>
      <c r="T224" s="3328"/>
      <c r="U224" s="3328"/>
      <c r="V224" s="3328"/>
      <c r="W224" s="3328"/>
      <c r="X224" s="3328"/>
      <c r="Y224" s="3328"/>
      <c r="Z224" s="3328"/>
      <c r="AA224" s="3328"/>
      <c r="AB224" s="3328"/>
      <c r="AC224" s="3328"/>
    </row>
    <row r="225" spans="1:29">
      <c r="A225" s="3328"/>
      <c r="B225" s="3328"/>
      <c r="C225" s="3328"/>
      <c r="D225" s="3328"/>
      <c r="E225" s="3328"/>
      <c r="F225" s="3328"/>
      <c r="G225" s="3328"/>
      <c r="H225" s="3328"/>
      <c r="I225" s="3328"/>
      <c r="J225" s="3328"/>
      <c r="K225" s="3329"/>
      <c r="L225" s="3330"/>
      <c r="M225" s="3328"/>
      <c r="N225" s="3328"/>
      <c r="O225" s="3328"/>
      <c r="P225" s="3328"/>
      <c r="Q225" s="3328"/>
      <c r="R225" s="3328"/>
      <c r="S225" s="3328"/>
      <c r="T225" s="3328"/>
      <c r="U225" s="3328"/>
      <c r="V225" s="3328"/>
      <c r="W225" s="3328"/>
      <c r="X225" s="3328"/>
      <c r="Y225" s="3328"/>
      <c r="Z225" s="3328"/>
      <c r="AA225" s="3328"/>
      <c r="AB225" s="3328"/>
      <c r="AC225" s="3328"/>
    </row>
    <row r="226" spans="1:29">
      <c r="A226" s="3328"/>
      <c r="B226" s="3328"/>
      <c r="C226" s="3328"/>
      <c r="D226" s="3328"/>
      <c r="E226" s="3328"/>
      <c r="F226" s="3328"/>
      <c r="G226" s="3328"/>
      <c r="H226" s="3328"/>
      <c r="I226" s="3328"/>
      <c r="J226" s="3328"/>
      <c r="K226" s="3329"/>
      <c r="L226" s="3330"/>
      <c r="M226" s="3328"/>
      <c r="N226" s="3328"/>
      <c r="O226" s="3328"/>
      <c r="P226" s="3328"/>
      <c r="Q226" s="3328"/>
      <c r="R226" s="3328"/>
      <c r="S226" s="3328"/>
      <c r="T226" s="3328"/>
      <c r="U226" s="3328"/>
      <c r="V226" s="3328"/>
      <c r="W226" s="3328"/>
      <c r="X226" s="3328"/>
      <c r="Y226" s="3328"/>
      <c r="Z226" s="3328"/>
      <c r="AA226" s="3328"/>
      <c r="AB226" s="3328"/>
      <c r="AC226" s="3328"/>
    </row>
    <row r="227" spans="1:29">
      <c r="A227" s="3328"/>
      <c r="B227" s="3328"/>
      <c r="C227" s="3328"/>
      <c r="D227" s="3328"/>
      <c r="E227" s="3328"/>
      <c r="F227" s="3328"/>
      <c r="G227" s="3328"/>
      <c r="H227" s="3328"/>
      <c r="I227" s="3328"/>
      <c r="J227" s="3328"/>
      <c r="K227" s="3329"/>
      <c r="L227" s="3330"/>
      <c r="M227" s="3328"/>
      <c r="N227" s="3328"/>
      <c r="O227" s="3328"/>
      <c r="P227" s="3328"/>
      <c r="Q227" s="3328"/>
      <c r="R227" s="3328"/>
      <c r="S227" s="3328"/>
      <c r="T227" s="3328"/>
      <c r="U227" s="3328"/>
      <c r="V227" s="3328"/>
      <c r="W227" s="3328"/>
      <c r="X227" s="3328"/>
      <c r="Y227" s="3328"/>
      <c r="Z227" s="3328"/>
      <c r="AA227" s="3328"/>
      <c r="AB227" s="3328"/>
      <c r="AC227" s="3328"/>
    </row>
    <row r="228" spans="1:29">
      <c r="A228" s="3328"/>
      <c r="B228" s="3328"/>
      <c r="C228" s="3328"/>
      <c r="D228" s="3328"/>
      <c r="E228" s="3328"/>
      <c r="F228" s="3328"/>
      <c r="G228" s="3328"/>
      <c r="H228" s="3328"/>
      <c r="I228" s="3328"/>
      <c r="J228" s="3328"/>
      <c r="K228" s="3329"/>
      <c r="L228" s="3330"/>
      <c r="M228" s="3328"/>
      <c r="N228" s="3328"/>
      <c r="O228" s="3328"/>
      <c r="P228" s="3328"/>
      <c r="Q228" s="3328"/>
      <c r="R228" s="3328"/>
      <c r="S228" s="3328"/>
      <c r="T228" s="3328"/>
      <c r="U228" s="3328"/>
      <c r="V228" s="3328"/>
      <c r="W228" s="3328"/>
      <c r="X228" s="3328"/>
      <c r="Y228" s="3328"/>
      <c r="Z228" s="3328"/>
      <c r="AA228" s="3328"/>
      <c r="AB228" s="3328"/>
      <c r="AC228" s="3328"/>
    </row>
    <row r="229" spans="1:29">
      <c r="A229" s="3328"/>
      <c r="B229" s="3328"/>
      <c r="C229" s="3328"/>
      <c r="D229" s="3328"/>
      <c r="E229" s="3328"/>
      <c r="F229" s="3328"/>
      <c r="G229" s="3328"/>
      <c r="H229" s="3328"/>
      <c r="I229" s="3328"/>
      <c r="J229" s="3328"/>
      <c r="K229" s="3329"/>
      <c r="L229" s="3330"/>
      <c r="M229" s="3328"/>
      <c r="N229" s="3328"/>
      <c r="O229" s="3328"/>
      <c r="P229" s="3328"/>
      <c r="Q229" s="3328"/>
      <c r="R229" s="3328"/>
      <c r="S229" s="3328"/>
      <c r="T229" s="3328"/>
      <c r="U229" s="3328"/>
      <c r="V229" s="3328"/>
      <c r="W229" s="3328"/>
      <c r="X229" s="3328"/>
      <c r="Y229" s="3328"/>
      <c r="Z229" s="3328"/>
      <c r="AA229" s="3328"/>
      <c r="AB229" s="3328"/>
      <c r="AC229" s="3328"/>
    </row>
    <row r="230" spans="1:29">
      <c r="A230" s="3328"/>
      <c r="B230" s="3328"/>
      <c r="C230" s="3328"/>
      <c r="D230" s="3328"/>
      <c r="E230" s="3328"/>
      <c r="F230" s="3328"/>
      <c r="G230" s="3328"/>
      <c r="H230" s="3328"/>
      <c r="I230" s="3328"/>
      <c r="J230" s="3328"/>
      <c r="K230" s="3329"/>
      <c r="L230" s="3330"/>
      <c r="M230" s="3328"/>
      <c r="N230" s="3328"/>
      <c r="O230" s="3328"/>
      <c r="P230" s="3328"/>
      <c r="Q230" s="3328"/>
      <c r="R230" s="3328"/>
      <c r="S230" s="3328"/>
      <c r="T230" s="3328"/>
      <c r="U230" s="3328"/>
      <c r="V230" s="3328"/>
      <c r="W230" s="3328"/>
      <c r="X230" s="3328"/>
      <c r="Y230" s="3328"/>
      <c r="Z230" s="3328"/>
      <c r="AA230" s="3328"/>
      <c r="AB230" s="3328"/>
      <c r="AC230" s="3328"/>
    </row>
    <row r="231" spans="1:29">
      <c r="A231" s="3328"/>
      <c r="B231" s="3328"/>
      <c r="C231" s="3328"/>
      <c r="D231" s="3328"/>
      <c r="E231" s="3328"/>
      <c r="F231" s="3328"/>
      <c r="G231" s="3328"/>
      <c r="H231" s="3328"/>
      <c r="I231" s="3328"/>
      <c r="J231" s="3328"/>
      <c r="K231" s="3329"/>
      <c r="L231" s="3330"/>
      <c r="M231" s="3328"/>
      <c r="N231" s="3328"/>
      <c r="O231" s="3328"/>
      <c r="P231" s="3328"/>
      <c r="Q231" s="3328"/>
      <c r="R231" s="3328"/>
      <c r="S231" s="3328"/>
      <c r="T231" s="3328"/>
      <c r="U231" s="3328"/>
      <c r="V231" s="3328"/>
      <c r="W231" s="3328"/>
      <c r="X231" s="3328"/>
      <c r="Y231" s="3328"/>
      <c r="Z231" s="3328"/>
      <c r="AA231" s="3328"/>
      <c r="AB231" s="3328"/>
      <c r="AC231" s="3328"/>
    </row>
    <row r="232" spans="1:29">
      <c r="A232" s="3328"/>
      <c r="B232" s="3328"/>
      <c r="C232" s="3328"/>
      <c r="D232" s="3328"/>
      <c r="E232" s="3328"/>
      <c r="F232" s="3328"/>
      <c r="G232" s="3328"/>
      <c r="H232" s="3328"/>
      <c r="I232" s="3328"/>
      <c r="J232" s="3328"/>
      <c r="K232" s="3329"/>
      <c r="L232" s="3330"/>
      <c r="M232" s="3328"/>
      <c r="N232" s="3328"/>
      <c r="O232" s="3328"/>
      <c r="P232" s="3328"/>
      <c r="Q232" s="3328"/>
      <c r="R232" s="3328"/>
      <c r="S232" s="3328"/>
      <c r="T232" s="3328"/>
      <c r="U232" s="3328"/>
      <c r="V232" s="3328"/>
      <c r="W232" s="3328"/>
      <c r="X232" s="3328"/>
      <c r="Y232" s="3328"/>
      <c r="Z232" s="3328"/>
      <c r="AA232" s="3328"/>
      <c r="AB232" s="3328"/>
      <c r="AC232" s="3328"/>
    </row>
    <row r="233" spans="1:29">
      <c r="A233" s="3328"/>
      <c r="B233" s="3328"/>
      <c r="C233" s="3328"/>
      <c r="D233" s="3328"/>
      <c r="E233" s="3328"/>
      <c r="F233" s="3328"/>
      <c r="G233" s="3328"/>
      <c r="H233" s="3328"/>
      <c r="I233" s="3328"/>
      <c r="J233" s="3328"/>
      <c r="K233" s="3329"/>
      <c r="L233" s="3330"/>
      <c r="M233" s="3328"/>
      <c r="N233" s="3328"/>
      <c r="O233" s="3328"/>
      <c r="P233" s="3328"/>
      <c r="Q233" s="3328"/>
      <c r="R233" s="3328"/>
      <c r="S233" s="3328"/>
      <c r="T233" s="3328"/>
      <c r="U233" s="3328"/>
      <c r="V233" s="3328"/>
      <c r="W233" s="3328"/>
      <c r="X233" s="3328"/>
      <c r="Y233" s="3328"/>
      <c r="Z233" s="3328"/>
      <c r="AA233" s="3328"/>
      <c r="AB233" s="3328"/>
      <c r="AC233" s="3328"/>
    </row>
    <row r="234" spans="1:29">
      <c r="A234" s="3328"/>
      <c r="B234" s="3328"/>
      <c r="C234" s="3328"/>
      <c r="D234" s="3328"/>
      <c r="E234" s="3328"/>
      <c r="F234" s="3328"/>
      <c r="G234" s="3328"/>
      <c r="H234" s="3328"/>
      <c r="I234" s="3328"/>
      <c r="J234" s="3328"/>
      <c r="K234" s="3329"/>
      <c r="L234" s="3330"/>
      <c r="M234" s="3328"/>
      <c r="N234" s="3328"/>
      <c r="O234" s="3328"/>
      <c r="P234" s="3328"/>
      <c r="Q234" s="3328"/>
      <c r="R234" s="3328"/>
      <c r="S234" s="3328"/>
      <c r="T234" s="3328"/>
      <c r="U234" s="3328"/>
      <c r="V234" s="3328"/>
      <c r="W234" s="3328"/>
      <c r="X234" s="3328"/>
      <c r="Y234" s="3328"/>
      <c r="Z234" s="3328"/>
      <c r="AA234" s="3328"/>
      <c r="AB234" s="3328"/>
      <c r="AC234" s="3328"/>
    </row>
    <row r="235" spans="1:29">
      <c r="A235" s="3328"/>
      <c r="B235" s="3328"/>
      <c r="C235" s="3328"/>
      <c r="D235" s="3328"/>
      <c r="E235" s="3328"/>
      <c r="F235" s="3328"/>
      <c r="G235" s="3328"/>
      <c r="H235" s="3328"/>
      <c r="I235" s="3328"/>
      <c r="J235" s="3328"/>
      <c r="K235" s="3329"/>
      <c r="L235" s="3330"/>
      <c r="M235" s="3328"/>
      <c r="N235" s="3328"/>
      <c r="O235" s="3328"/>
      <c r="P235" s="3328"/>
      <c r="Q235" s="3328"/>
      <c r="R235" s="3328"/>
      <c r="S235" s="3328"/>
      <c r="T235" s="3328"/>
      <c r="U235" s="3328"/>
      <c r="V235" s="3328"/>
      <c r="W235" s="3328"/>
      <c r="X235" s="3328"/>
      <c r="Y235" s="3328"/>
      <c r="Z235" s="3328"/>
      <c r="AA235" s="3328"/>
      <c r="AB235" s="3328"/>
      <c r="AC235" s="3328"/>
    </row>
    <row r="236" spans="1:29">
      <c r="A236" s="3328"/>
      <c r="B236" s="3328"/>
      <c r="C236" s="3328"/>
      <c r="D236" s="3328"/>
      <c r="E236" s="3328"/>
      <c r="F236" s="3328"/>
      <c r="G236" s="3328"/>
      <c r="H236" s="3328"/>
      <c r="I236" s="3328"/>
      <c r="J236" s="3328"/>
      <c r="K236" s="3329"/>
      <c r="L236" s="3330"/>
      <c r="M236" s="3328"/>
      <c r="N236" s="3328"/>
      <c r="O236" s="3328"/>
      <c r="P236" s="3328"/>
      <c r="Q236" s="3328"/>
      <c r="R236" s="3328"/>
      <c r="S236" s="3328"/>
      <c r="T236" s="3328"/>
      <c r="U236" s="3328"/>
      <c r="V236" s="3328"/>
      <c r="W236" s="3328"/>
      <c r="X236" s="3328"/>
      <c r="Y236" s="3328"/>
      <c r="Z236" s="3328"/>
      <c r="AA236" s="3328"/>
      <c r="AB236" s="3328"/>
      <c r="AC236" s="3328"/>
    </row>
    <row r="237" spans="1:29">
      <c r="A237" s="3328"/>
      <c r="B237" s="3328"/>
      <c r="C237" s="3328"/>
      <c r="D237" s="3328"/>
      <c r="E237" s="3328"/>
      <c r="F237" s="3328"/>
      <c r="G237" s="3328"/>
      <c r="H237" s="3328"/>
      <c r="I237" s="3328"/>
      <c r="J237" s="3328"/>
      <c r="K237" s="3329"/>
      <c r="L237" s="3330"/>
      <c r="M237" s="3328"/>
      <c r="N237" s="3328"/>
      <c r="O237" s="3328"/>
      <c r="P237" s="3328"/>
      <c r="Q237" s="3328"/>
      <c r="R237" s="3328"/>
      <c r="S237" s="3328"/>
      <c r="T237" s="3328"/>
      <c r="U237" s="3328"/>
      <c r="V237" s="3328"/>
      <c r="W237" s="3328"/>
      <c r="X237" s="3328"/>
      <c r="Y237" s="3328"/>
      <c r="Z237" s="3328"/>
      <c r="AA237" s="3328"/>
      <c r="AB237" s="3328"/>
      <c r="AC237" s="3328"/>
    </row>
    <row r="238" spans="1:29">
      <c r="A238" s="3328"/>
      <c r="B238" s="3328"/>
      <c r="C238" s="3328"/>
      <c r="D238" s="3328"/>
      <c r="E238" s="3328"/>
      <c r="F238" s="3328"/>
      <c r="G238" s="3328"/>
      <c r="H238" s="3328"/>
      <c r="I238" s="3328"/>
      <c r="J238" s="3328"/>
      <c r="K238" s="3329"/>
      <c r="L238" s="3330"/>
      <c r="M238" s="3328"/>
      <c r="N238" s="3328"/>
      <c r="O238" s="3328"/>
      <c r="P238" s="3328"/>
      <c r="Q238" s="3328"/>
      <c r="R238" s="3328"/>
      <c r="S238" s="3328"/>
      <c r="T238" s="3328"/>
      <c r="U238" s="3328"/>
      <c r="V238" s="3328"/>
      <c r="W238" s="3328"/>
      <c r="X238" s="3328"/>
      <c r="Y238" s="3328"/>
      <c r="Z238" s="3328"/>
      <c r="AA238" s="3328"/>
      <c r="AB238" s="3328"/>
      <c r="AC238" s="3328"/>
    </row>
    <row r="239" spans="1:29">
      <c r="A239" s="3328"/>
      <c r="B239" s="3328"/>
      <c r="C239" s="3328"/>
      <c r="D239" s="3328"/>
      <c r="E239" s="3328"/>
      <c r="F239" s="3328"/>
      <c r="G239" s="3328"/>
      <c r="H239" s="3328"/>
      <c r="I239" s="3328"/>
      <c r="J239" s="3328"/>
      <c r="K239" s="3329"/>
      <c r="L239" s="3330"/>
      <c r="M239" s="3328"/>
      <c r="N239" s="3328"/>
      <c r="O239" s="3328"/>
      <c r="P239" s="3328"/>
      <c r="Q239" s="3328"/>
      <c r="R239" s="3328"/>
      <c r="S239" s="3328"/>
      <c r="T239" s="3328"/>
      <c r="U239" s="3328"/>
      <c r="V239" s="3328"/>
      <c r="W239" s="3328"/>
      <c r="X239" s="3328"/>
      <c r="Y239" s="3328"/>
      <c r="Z239" s="3328"/>
      <c r="AA239" s="3328"/>
      <c r="AB239" s="3328"/>
      <c r="AC239" s="3328"/>
    </row>
    <row r="240" spans="1:29">
      <c r="A240" s="3328"/>
      <c r="B240" s="3328"/>
      <c r="C240" s="3328"/>
      <c r="D240" s="3328"/>
      <c r="E240" s="3328"/>
      <c r="F240" s="3328"/>
      <c r="G240" s="3328"/>
      <c r="H240" s="3328"/>
      <c r="I240" s="3328"/>
      <c r="J240" s="3328"/>
      <c r="K240" s="3329"/>
      <c r="L240" s="3330"/>
      <c r="M240" s="3328"/>
      <c r="N240" s="3328"/>
      <c r="O240" s="3328"/>
      <c r="P240" s="3328"/>
      <c r="Q240" s="3328"/>
      <c r="R240" s="3328"/>
      <c r="S240" s="3328"/>
      <c r="T240" s="3328"/>
      <c r="U240" s="3328"/>
      <c r="V240" s="3328"/>
      <c r="W240" s="3328"/>
      <c r="X240" s="3328"/>
      <c r="Y240" s="3328"/>
      <c r="Z240" s="3328"/>
      <c r="AA240" s="3328"/>
      <c r="AB240" s="3328"/>
      <c r="AC240" s="3328"/>
    </row>
    <row r="241" spans="1:29">
      <c r="A241" s="3328"/>
      <c r="B241" s="3328"/>
      <c r="C241" s="3328"/>
      <c r="D241" s="3328"/>
      <c r="E241" s="3328"/>
      <c r="F241" s="3328"/>
      <c r="G241" s="3328"/>
      <c r="H241" s="3328"/>
      <c r="I241" s="3328"/>
      <c r="J241" s="3328"/>
      <c r="K241" s="3329"/>
      <c r="L241" s="3330"/>
      <c r="M241" s="3328"/>
      <c r="N241" s="3328"/>
      <c r="O241" s="3328"/>
      <c r="P241" s="3328"/>
      <c r="Q241" s="3328"/>
      <c r="R241" s="3328"/>
      <c r="S241" s="3328"/>
      <c r="T241" s="3328"/>
      <c r="U241" s="3328"/>
      <c r="V241" s="3328"/>
      <c r="W241" s="3328"/>
      <c r="X241" s="3328"/>
      <c r="Y241" s="3328"/>
      <c r="Z241" s="3328"/>
      <c r="AA241" s="3328"/>
      <c r="AB241" s="3328"/>
      <c r="AC241" s="3328"/>
    </row>
    <row r="242" spans="1:29">
      <c r="A242" s="3328"/>
      <c r="B242" s="3328"/>
      <c r="C242" s="3328"/>
      <c r="D242" s="3328"/>
      <c r="E242" s="3328"/>
      <c r="F242" s="3328"/>
      <c r="G242" s="3328"/>
      <c r="H242" s="3328"/>
      <c r="I242" s="3328"/>
      <c r="J242" s="3328"/>
      <c r="K242" s="3329"/>
      <c r="L242" s="3330"/>
      <c r="M242" s="3328"/>
      <c r="N242" s="3328"/>
      <c r="O242" s="3328"/>
      <c r="P242" s="3328"/>
      <c r="Q242" s="3328"/>
      <c r="R242" s="3328"/>
      <c r="S242" s="3328"/>
      <c r="T242" s="3328"/>
      <c r="U242" s="3328"/>
      <c r="V242" s="3328"/>
      <c r="W242" s="3328"/>
      <c r="X242" s="3328"/>
      <c r="Y242" s="3328"/>
      <c r="Z242" s="3328"/>
      <c r="AA242" s="3328"/>
      <c r="AB242" s="3328"/>
      <c r="AC242" s="3328"/>
    </row>
    <row r="243" spans="1:29">
      <c r="A243" s="3328"/>
      <c r="B243" s="3328"/>
      <c r="C243" s="3328"/>
      <c r="D243" s="3328"/>
      <c r="E243" s="3328"/>
      <c r="F243" s="3328"/>
      <c r="G243" s="3328"/>
      <c r="H243" s="3328"/>
      <c r="I243" s="3328"/>
      <c r="J243" s="3328"/>
      <c r="K243" s="3329"/>
      <c r="L243" s="3330"/>
      <c r="M243" s="3328"/>
      <c r="N243" s="3328"/>
      <c r="O243" s="3328"/>
      <c r="P243" s="3328"/>
      <c r="Q243" s="3328"/>
      <c r="R243" s="3328"/>
      <c r="S243" s="3328"/>
      <c r="T243" s="3328"/>
      <c r="U243" s="3328"/>
      <c r="V243" s="3328"/>
      <c r="W243" s="3328"/>
      <c r="X243" s="3328"/>
      <c r="Y243" s="3328"/>
      <c r="Z243" s="3328"/>
      <c r="AA243" s="3328"/>
      <c r="AB243" s="3328"/>
      <c r="AC243" s="3328"/>
    </row>
    <row r="244" spans="1:29">
      <c r="A244" s="3328"/>
      <c r="B244" s="3328"/>
      <c r="C244" s="3328"/>
      <c r="D244" s="3328"/>
      <c r="E244" s="3328"/>
      <c r="F244" s="3328"/>
      <c r="G244" s="3328"/>
      <c r="H244" s="3328"/>
      <c r="I244" s="3328"/>
      <c r="J244" s="3328"/>
      <c r="K244" s="3329"/>
      <c r="L244" s="3330"/>
      <c r="M244" s="3328"/>
      <c r="N244" s="3328"/>
      <c r="O244" s="3328"/>
      <c r="P244" s="3328"/>
      <c r="Q244" s="3328"/>
      <c r="R244" s="3328"/>
      <c r="S244" s="3328"/>
      <c r="T244" s="3328"/>
      <c r="U244" s="3328"/>
      <c r="V244" s="3328"/>
      <c r="W244" s="3328"/>
      <c r="X244" s="3328"/>
      <c r="Y244" s="3328"/>
      <c r="Z244" s="3328"/>
      <c r="AA244" s="3328"/>
      <c r="AB244" s="3328"/>
      <c r="AC244" s="3328"/>
    </row>
    <row r="245" spans="1:29">
      <c r="A245" s="3328"/>
      <c r="B245" s="3328"/>
      <c r="C245" s="3328"/>
      <c r="D245" s="3328"/>
      <c r="E245" s="3328"/>
      <c r="F245" s="3328"/>
      <c r="G245" s="3328"/>
      <c r="H245" s="3328"/>
      <c r="I245" s="3328"/>
      <c r="J245" s="3328"/>
      <c r="K245" s="3329"/>
      <c r="L245" s="3330"/>
      <c r="M245" s="3328"/>
      <c r="N245" s="3328"/>
      <c r="O245" s="3328"/>
      <c r="P245" s="3328"/>
      <c r="Q245" s="3328"/>
      <c r="R245" s="3328"/>
      <c r="S245" s="3328"/>
      <c r="T245" s="3328"/>
      <c r="U245" s="3328"/>
      <c r="V245" s="3328"/>
      <c r="W245" s="3328"/>
      <c r="X245" s="3328"/>
      <c r="Y245" s="3328"/>
      <c r="Z245" s="3328"/>
      <c r="AA245" s="3328"/>
      <c r="AB245" s="3328"/>
      <c r="AC245" s="3328"/>
    </row>
    <row r="246" spans="1:29">
      <c r="A246" s="3328"/>
      <c r="B246" s="3328"/>
      <c r="C246" s="3328"/>
      <c r="D246" s="3328"/>
      <c r="E246" s="3328"/>
      <c r="F246" s="3328"/>
      <c r="G246" s="3328"/>
      <c r="H246" s="3328"/>
      <c r="I246" s="3328"/>
      <c r="J246" s="3328"/>
      <c r="K246" s="3329"/>
      <c r="L246" s="3330"/>
      <c r="M246" s="3328"/>
      <c r="N246" s="3328"/>
      <c r="O246" s="3328"/>
      <c r="P246" s="3328"/>
      <c r="Q246" s="3328"/>
      <c r="R246" s="3328"/>
      <c r="S246" s="3328"/>
      <c r="T246" s="3328"/>
      <c r="U246" s="3328"/>
      <c r="V246" s="3328"/>
      <c r="W246" s="3328"/>
      <c r="X246" s="3328"/>
      <c r="Y246" s="3328"/>
      <c r="Z246" s="3328"/>
      <c r="AA246" s="3328"/>
      <c r="AB246" s="3328"/>
      <c r="AC246" s="3328"/>
    </row>
    <row r="247" spans="1:29">
      <c r="A247" s="3328"/>
      <c r="B247" s="3328"/>
      <c r="C247" s="3328"/>
      <c r="D247" s="3328"/>
      <c r="E247" s="3328"/>
      <c r="F247" s="3328"/>
      <c r="G247" s="3328"/>
      <c r="H247" s="3328"/>
      <c r="I247" s="3328"/>
      <c r="J247" s="3328"/>
      <c r="K247" s="3329"/>
      <c r="L247" s="3330"/>
      <c r="M247" s="3328"/>
      <c r="N247" s="3328"/>
      <c r="O247" s="3328"/>
      <c r="P247" s="3328"/>
      <c r="Q247" s="3328"/>
      <c r="R247" s="3328"/>
      <c r="S247" s="3328"/>
      <c r="T247" s="3328"/>
      <c r="U247" s="3328"/>
      <c r="V247" s="3328"/>
      <c r="W247" s="3328"/>
      <c r="X247" s="3328"/>
      <c r="Y247" s="3328"/>
      <c r="Z247" s="3328"/>
      <c r="AA247" s="3328"/>
      <c r="AB247" s="3328"/>
      <c r="AC247" s="3328"/>
    </row>
    <row r="248" spans="1:29">
      <c r="A248" s="3328"/>
      <c r="B248" s="3328"/>
      <c r="C248" s="3328"/>
      <c r="D248" s="3328"/>
      <c r="E248" s="3328"/>
      <c r="F248" s="3328"/>
      <c r="G248" s="3328"/>
      <c r="H248" s="3328"/>
      <c r="I248" s="3328"/>
      <c r="J248" s="3328"/>
      <c r="K248" s="3329"/>
      <c r="L248" s="3330"/>
      <c r="M248" s="3328"/>
      <c r="N248" s="3328"/>
      <c r="O248" s="3328"/>
      <c r="P248" s="3328"/>
      <c r="Q248" s="3328"/>
      <c r="R248" s="3328"/>
      <c r="S248" s="3328"/>
      <c r="T248" s="3328"/>
      <c r="U248" s="3328"/>
      <c r="V248" s="3328"/>
      <c r="W248" s="3328"/>
      <c r="X248" s="3328"/>
      <c r="Y248" s="3328"/>
      <c r="Z248" s="3328"/>
      <c r="AA248" s="3328"/>
      <c r="AB248" s="3328"/>
      <c r="AC248" s="3328"/>
    </row>
    <row r="249" spans="1:29">
      <c r="A249" s="3328"/>
      <c r="B249" s="3328"/>
      <c r="C249" s="3328"/>
      <c r="D249" s="3328"/>
      <c r="E249" s="3328"/>
      <c r="F249" s="3328"/>
      <c r="G249" s="3328"/>
      <c r="H249" s="3328"/>
      <c r="I249" s="3328"/>
      <c r="J249" s="3328"/>
      <c r="K249" s="3329"/>
      <c r="L249" s="3330"/>
      <c r="M249" s="3328"/>
      <c r="N249" s="3328"/>
      <c r="O249" s="3328"/>
      <c r="P249" s="3328"/>
      <c r="Q249" s="3328"/>
      <c r="R249" s="3328"/>
      <c r="S249" s="3328"/>
      <c r="T249" s="3328"/>
      <c r="U249" s="3328"/>
      <c r="V249" s="3328"/>
      <c r="W249" s="3328"/>
      <c r="X249" s="3328"/>
      <c r="Y249" s="3328"/>
      <c r="Z249" s="3328"/>
      <c r="AA249" s="3328"/>
      <c r="AB249" s="3328"/>
      <c r="AC249" s="3328"/>
    </row>
    <row r="250" spans="1:29">
      <c r="A250" s="3328"/>
      <c r="B250" s="3328"/>
      <c r="C250" s="3328"/>
      <c r="D250" s="3328"/>
      <c r="E250" s="3328"/>
      <c r="F250" s="3328"/>
      <c r="G250" s="3328"/>
      <c r="H250" s="3328"/>
      <c r="I250" s="3328"/>
      <c r="J250" s="3328"/>
      <c r="K250" s="3329"/>
      <c r="L250" s="3330"/>
      <c r="M250" s="3328"/>
      <c r="N250" s="3328"/>
      <c r="O250" s="3328"/>
      <c r="P250" s="3328"/>
      <c r="Q250" s="3328"/>
      <c r="R250" s="3328"/>
      <c r="S250" s="3328"/>
      <c r="T250" s="3328"/>
      <c r="U250" s="3328"/>
      <c r="V250" s="3328"/>
      <c r="W250" s="3328"/>
      <c r="X250" s="3328"/>
      <c r="Y250" s="3328"/>
      <c r="Z250" s="3328"/>
      <c r="AA250" s="3328"/>
      <c r="AB250" s="3328"/>
      <c r="AC250" s="3328"/>
    </row>
    <row r="251" spans="1:29">
      <c r="A251" s="3328"/>
      <c r="B251" s="3328"/>
      <c r="C251" s="3328"/>
      <c r="D251" s="3328"/>
      <c r="E251" s="3328"/>
      <c r="F251" s="3328"/>
      <c r="G251" s="3328"/>
      <c r="H251" s="3328"/>
      <c r="I251" s="3328"/>
      <c r="J251" s="3328"/>
      <c r="K251" s="3329"/>
      <c r="L251" s="3330"/>
      <c r="M251" s="3328"/>
      <c r="N251" s="3328"/>
      <c r="O251" s="3328"/>
      <c r="P251" s="3328"/>
      <c r="Q251" s="3328"/>
      <c r="R251" s="3328"/>
      <c r="S251" s="3328"/>
      <c r="T251" s="3328"/>
      <c r="U251" s="3328"/>
      <c r="V251" s="3328"/>
      <c r="W251" s="3328"/>
      <c r="X251" s="3328"/>
      <c r="Y251" s="3328"/>
      <c r="Z251" s="3328"/>
      <c r="AA251" s="3328"/>
      <c r="AB251" s="3328"/>
      <c r="AC251" s="3328"/>
    </row>
    <row r="252" spans="1:29">
      <c r="A252" s="3328"/>
      <c r="B252" s="3328"/>
      <c r="C252" s="3328"/>
      <c r="D252" s="3328"/>
      <c r="E252" s="3328"/>
      <c r="F252" s="3328"/>
      <c r="G252" s="3328"/>
      <c r="H252" s="3328"/>
      <c r="I252" s="3328"/>
      <c r="J252" s="3328"/>
      <c r="K252" s="3329"/>
      <c r="L252" s="3330"/>
      <c r="M252" s="3328"/>
      <c r="N252" s="3328"/>
      <c r="O252" s="3328"/>
      <c r="P252" s="3328"/>
      <c r="Q252" s="3328"/>
      <c r="R252" s="3328"/>
      <c r="S252" s="3328"/>
      <c r="T252" s="3328"/>
      <c r="U252" s="3328"/>
      <c r="V252" s="3328"/>
      <c r="W252" s="3328"/>
      <c r="X252" s="3328"/>
      <c r="Y252" s="3328"/>
      <c r="Z252" s="3328"/>
      <c r="AA252" s="3328"/>
      <c r="AB252" s="3328"/>
      <c r="AC252" s="3328"/>
    </row>
    <row r="253" spans="1:29">
      <c r="A253" s="3328"/>
      <c r="B253" s="3328"/>
      <c r="C253" s="3328"/>
      <c r="D253" s="3328"/>
      <c r="E253" s="3328"/>
      <c r="F253" s="3328"/>
      <c r="G253" s="3328"/>
      <c r="H253" s="3328"/>
      <c r="I253" s="3328"/>
      <c r="J253" s="3328"/>
      <c r="K253" s="3329"/>
      <c r="L253" s="3330"/>
      <c r="M253" s="3328"/>
      <c r="N253" s="3328"/>
      <c r="O253" s="3328"/>
      <c r="P253" s="3328"/>
      <c r="Q253" s="3328"/>
      <c r="R253" s="3328"/>
      <c r="S253" s="3328"/>
      <c r="T253" s="3328"/>
      <c r="U253" s="3328"/>
      <c r="V253" s="3328"/>
      <c r="W253" s="3328"/>
      <c r="X253" s="3328"/>
      <c r="Y253" s="3328"/>
      <c r="Z253" s="3328"/>
      <c r="AA253" s="3328"/>
      <c r="AB253" s="3328"/>
      <c r="AC253" s="3328"/>
    </row>
    <row r="254" spans="1:29">
      <c r="A254" s="3328"/>
      <c r="B254" s="3328"/>
      <c r="C254" s="3328"/>
      <c r="D254" s="3328"/>
      <c r="E254" s="3328"/>
      <c r="F254" s="3328"/>
      <c r="G254" s="3328"/>
      <c r="H254" s="3328"/>
      <c r="I254" s="3328"/>
      <c r="J254" s="3328"/>
      <c r="K254" s="3329"/>
      <c r="L254" s="3330"/>
      <c r="M254" s="3328"/>
      <c r="N254" s="3328"/>
      <c r="O254" s="3328"/>
      <c r="P254" s="3328"/>
      <c r="Q254" s="3328"/>
      <c r="R254" s="3328"/>
      <c r="S254" s="3328"/>
      <c r="T254" s="3328"/>
      <c r="U254" s="3328"/>
      <c r="V254" s="3328"/>
      <c r="W254" s="3328"/>
      <c r="X254" s="3328"/>
      <c r="Y254" s="3328"/>
      <c r="Z254" s="3328"/>
      <c r="AA254" s="3328"/>
      <c r="AB254" s="3328"/>
      <c r="AC254" s="3328"/>
    </row>
    <row r="255" spans="1:29">
      <c r="A255" s="3328"/>
      <c r="B255" s="3328"/>
      <c r="C255" s="3328"/>
      <c r="D255" s="3328"/>
      <c r="E255" s="3328"/>
      <c r="F255" s="3328"/>
      <c r="G255" s="3328"/>
      <c r="H255" s="3328"/>
      <c r="I255" s="3328"/>
      <c r="J255" s="3328"/>
      <c r="K255" s="3329"/>
      <c r="L255" s="3330"/>
      <c r="M255" s="3328"/>
      <c r="N255" s="3328"/>
      <c r="O255" s="3328"/>
      <c r="P255" s="3328"/>
      <c r="Q255" s="3328"/>
      <c r="R255" s="3328"/>
      <c r="S255" s="3328"/>
      <c r="T255" s="3328"/>
      <c r="U255" s="3328"/>
      <c r="V255" s="3328"/>
      <c r="W255" s="3328"/>
      <c r="X255" s="3328"/>
      <c r="Y255" s="3328"/>
      <c r="Z255" s="3328"/>
      <c r="AA255" s="3328"/>
      <c r="AB255" s="3328"/>
      <c r="AC255" s="3328"/>
    </row>
    <row r="256" spans="1:29">
      <c r="A256" s="3328"/>
      <c r="B256" s="3328"/>
      <c r="C256" s="3328"/>
      <c r="D256" s="3328"/>
      <c r="E256" s="3328"/>
      <c r="F256" s="3328"/>
      <c r="G256" s="3328"/>
      <c r="H256" s="3328"/>
      <c r="I256" s="3328"/>
      <c r="J256" s="3328"/>
      <c r="K256" s="3329"/>
      <c r="L256" s="3330"/>
      <c r="M256" s="3328"/>
      <c r="N256" s="3328"/>
      <c r="O256" s="3328"/>
      <c r="P256" s="3328"/>
      <c r="Q256" s="3328"/>
      <c r="R256" s="3328"/>
      <c r="S256" s="3328"/>
      <c r="T256" s="3328"/>
      <c r="U256" s="3328"/>
      <c r="V256" s="3328"/>
      <c r="W256" s="3328"/>
      <c r="X256" s="3328"/>
      <c r="Y256" s="3328"/>
      <c r="Z256" s="3328"/>
      <c r="AA256" s="3328"/>
      <c r="AB256" s="3328"/>
      <c r="AC256" s="3328"/>
    </row>
    <row r="257" spans="1:29">
      <c r="A257" s="3328"/>
      <c r="B257" s="3328"/>
      <c r="C257" s="3328"/>
      <c r="D257" s="3328"/>
      <c r="E257" s="3328"/>
      <c r="F257" s="3328"/>
      <c r="G257" s="3328"/>
      <c r="H257" s="3328"/>
      <c r="I257" s="3328"/>
      <c r="J257" s="3328"/>
      <c r="K257" s="3329"/>
      <c r="L257" s="3330"/>
      <c r="M257" s="3328"/>
      <c r="N257" s="3328"/>
      <c r="O257" s="3328"/>
      <c r="P257" s="3328"/>
      <c r="Q257" s="3328"/>
      <c r="R257" s="3328"/>
      <c r="S257" s="3328"/>
      <c r="T257" s="3328"/>
      <c r="U257" s="3328"/>
      <c r="V257" s="3328"/>
      <c r="W257" s="3328"/>
      <c r="X257" s="3328"/>
      <c r="Y257" s="3328"/>
      <c r="Z257" s="3328"/>
      <c r="AA257" s="3328"/>
      <c r="AB257" s="3328"/>
      <c r="AC257" s="3328"/>
    </row>
    <row r="258" spans="1:29">
      <c r="A258" s="3328"/>
      <c r="B258" s="3328"/>
      <c r="C258" s="3328"/>
      <c r="D258" s="3328"/>
      <c r="E258" s="3328"/>
      <c r="F258" s="3328"/>
      <c r="G258" s="3328"/>
      <c r="H258" s="3328"/>
      <c r="I258" s="3328"/>
      <c r="J258" s="3328"/>
      <c r="K258" s="3329"/>
      <c r="L258" s="3330"/>
      <c r="M258" s="3328"/>
      <c r="N258" s="3328"/>
      <c r="O258" s="3328"/>
      <c r="P258" s="3328"/>
      <c r="Q258" s="3328"/>
      <c r="R258" s="3328"/>
      <c r="S258" s="3328"/>
      <c r="T258" s="3328"/>
      <c r="U258" s="3328"/>
      <c r="V258" s="3328"/>
      <c r="W258" s="3328"/>
      <c r="X258" s="3328"/>
      <c r="Y258" s="3328"/>
      <c r="Z258" s="3328"/>
      <c r="AA258" s="3328"/>
      <c r="AB258" s="3328"/>
      <c r="AC258" s="3328"/>
    </row>
    <row r="259" spans="1:29">
      <c r="A259" s="3328"/>
      <c r="B259" s="3328"/>
      <c r="C259" s="3328"/>
      <c r="D259" s="3328"/>
      <c r="E259" s="3328"/>
      <c r="F259" s="3328"/>
      <c r="G259" s="3328"/>
      <c r="H259" s="3328"/>
      <c r="I259" s="3328"/>
      <c r="J259" s="3328"/>
      <c r="K259" s="3329"/>
      <c r="L259" s="3330"/>
      <c r="M259" s="3328"/>
      <c r="N259" s="3328"/>
      <c r="O259" s="3328"/>
      <c r="P259" s="3328"/>
      <c r="Q259" s="3328"/>
      <c r="R259" s="3328"/>
      <c r="S259" s="3328"/>
      <c r="T259" s="3328"/>
      <c r="U259" s="3328"/>
      <c r="V259" s="3328"/>
      <c r="W259" s="3328"/>
      <c r="X259" s="3328"/>
      <c r="Y259" s="3328"/>
      <c r="Z259" s="3328"/>
      <c r="AA259" s="3328"/>
      <c r="AB259" s="3328"/>
      <c r="AC259" s="3328"/>
    </row>
    <row r="260" spans="1:29">
      <c r="A260" s="3328"/>
      <c r="B260" s="3328"/>
      <c r="C260" s="3328"/>
      <c r="D260" s="3328"/>
      <c r="E260" s="3328"/>
      <c r="F260" s="3328"/>
      <c r="G260" s="3328"/>
      <c r="H260" s="3328"/>
      <c r="I260" s="3328"/>
      <c r="J260" s="3328"/>
      <c r="K260" s="3329"/>
      <c r="L260" s="3330"/>
      <c r="M260" s="3328"/>
      <c r="N260" s="3328"/>
      <c r="O260" s="3328"/>
      <c r="P260" s="3328"/>
      <c r="Q260" s="3328"/>
      <c r="R260" s="3328"/>
      <c r="S260" s="3328"/>
      <c r="T260" s="3328"/>
      <c r="U260" s="3328"/>
      <c r="V260" s="3328"/>
      <c r="W260" s="3328"/>
      <c r="X260" s="3328"/>
      <c r="Y260" s="3328"/>
      <c r="Z260" s="3328"/>
      <c r="AA260" s="3328"/>
      <c r="AB260" s="3328"/>
      <c r="AC260" s="3328"/>
    </row>
    <row r="261" spans="1:29">
      <c r="A261" s="3328"/>
      <c r="B261" s="3328"/>
      <c r="C261" s="3328"/>
      <c r="D261" s="3328"/>
      <c r="E261" s="3328"/>
      <c r="F261" s="3328"/>
      <c r="G261" s="3328"/>
      <c r="H261" s="3328"/>
      <c r="I261" s="3328"/>
      <c r="J261" s="3328"/>
      <c r="K261" s="3329"/>
      <c r="L261" s="3330"/>
      <c r="M261" s="3328"/>
      <c r="N261" s="3328"/>
      <c r="O261" s="3328"/>
      <c r="P261" s="3328"/>
      <c r="Q261" s="3328"/>
      <c r="R261" s="3328"/>
      <c r="S261" s="3328"/>
      <c r="T261" s="3328"/>
      <c r="U261" s="3328"/>
      <c r="V261" s="3328"/>
      <c r="W261" s="3328"/>
      <c r="X261" s="3328"/>
      <c r="Y261" s="3328"/>
      <c r="Z261" s="3328"/>
      <c r="AA261" s="3328"/>
      <c r="AB261" s="3328"/>
      <c r="AC261" s="3328"/>
    </row>
    <row r="262" spans="1:29">
      <c r="A262" s="3328"/>
      <c r="B262" s="3328"/>
      <c r="C262" s="3328"/>
      <c r="D262" s="3328"/>
      <c r="E262" s="3328"/>
      <c r="F262" s="3328"/>
      <c r="G262" s="3328"/>
      <c r="H262" s="3328"/>
      <c r="I262" s="3328"/>
      <c r="J262" s="3328"/>
      <c r="K262" s="3329"/>
      <c r="L262" s="3330"/>
      <c r="M262" s="3328"/>
      <c r="N262" s="3328"/>
      <c r="O262" s="3328"/>
      <c r="P262" s="3328"/>
      <c r="Q262" s="3328"/>
      <c r="R262" s="3328"/>
      <c r="S262" s="3328"/>
      <c r="T262" s="3328"/>
      <c r="U262" s="3328"/>
      <c r="V262" s="3328"/>
      <c r="W262" s="3328"/>
      <c r="X262" s="3328"/>
      <c r="Y262" s="3328"/>
      <c r="Z262" s="3328"/>
      <c r="AA262" s="3328"/>
      <c r="AB262" s="3328"/>
      <c r="AC262" s="3328"/>
    </row>
  </sheetData>
  <sheetProtection password="C66D" sheet="1" objects="1" scenarios="1"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3" type="noConversion"/>
  <conditionalFormatting sqref="F48 H48 J48">
    <cfRule type="containsText" dxfId="126" priority="13" stopIfTrue="1" operator="containsText" text="超过">
      <formula>NOT(ISERROR(SEARCH("超过",F48)))</formula>
    </cfRule>
  </conditionalFormatting>
  <conditionalFormatting sqref="J50">
    <cfRule type="containsText" dxfId="125" priority="12" stopIfTrue="1" operator="containsText" text="超过">
      <formula>NOT(ISERROR(SEARCH("超过",J50)))</formula>
    </cfRule>
  </conditionalFormatting>
  <conditionalFormatting sqref="H50">
    <cfRule type="containsText" dxfId="124" priority="11" stopIfTrue="1" operator="containsText" text="超过">
      <formula>NOT(ISERROR(SEARCH("超过",H50)))</formula>
    </cfRule>
  </conditionalFormatting>
  <conditionalFormatting sqref="F50">
    <cfRule type="containsText" dxfId="123" priority="10" stopIfTrue="1" operator="containsText" text="超过">
      <formula>NOT(ISERROR(SEARCH("超过",F50)))</formula>
    </cfRule>
  </conditionalFormatting>
  <conditionalFormatting sqref="F49 H49 J49">
    <cfRule type="containsText" dxfId="122" priority="9" stopIfTrue="1" operator="containsText" text="超过">
      <formula>NOT(ISERROR(SEARCH("超过",F49)))</formula>
    </cfRule>
  </conditionalFormatting>
  <conditionalFormatting sqref="E48">
    <cfRule type="expression" dxfId="121" priority="8" stopIfTrue="1">
      <formula>$F$48="超过30%"</formula>
    </cfRule>
  </conditionalFormatting>
  <conditionalFormatting sqref="G50">
    <cfRule type="expression" dxfId="120" priority="7"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14" stopIfTrue="1">
      <formula>#REF!+$F$49="超过20%"</formula>
    </cfRule>
  </conditionalFormatting>
  <dataValidations count="19">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22" sqref="R22"/>
    </sheetView>
  </sheetViews>
  <sheetFormatPr defaultColWidth="12" defaultRowHeight="13.2"/>
  <cols>
    <col min="1" max="1" width="9.77734375" style="2794" customWidth="1"/>
    <col min="2" max="2" width="19.21875" style="2900" customWidth="1"/>
    <col min="3" max="4" width="12" style="2718"/>
    <col min="5" max="5" width="14.6640625" style="2718" customWidth="1"/>
    <col min="6" max="8" width="12" style="2718"/>
    <col min="9" max="9" width="12.21875" style="2718" bestFit="1" customWidth="1"/>
    <col min="10" max="10" width="12" style="2718"/>
    <col min="11" max="11" width="8.109375" style="2786" customWidth="1"/>
    <col min="12" max="12" width="12" style="2718"/>
    <col min="13" max="13" width="8.44140625" style="2718" customWidth="1"/>
    <col min="14" max="14" width="9.77734375" style="2718" customWidth="1"/>
    <col min="15" max="25" width="12" style="2718"/>
    <col min="26" max="26" width="9.33203125" style="2794" customWidth="1"/>
    <col min="27" max="32" width="9.33203125" style="1371" customWidth="1"/>
    <col min="33" max="36" width="9.33203125" style="2794" customWidth="1"/>
    <col min="37" max="38" width="9.33203125" style="2718" customWidth="1"/>
    <col min="39" max="16384" width="12" style="2718"/>
  </cols>
  <sheetData>
    <row r="1" spans="1:36" ht="31.2">
      <c r="A1" s="238" t="s">
        <v>2802</v>
      </c>
      <c r="B1" s="239"/>
      <c r="C1" s="243" t="s">
        <v>2803</v>
      </c>
      <c r="D1" s="386">
        <f>SUM(D29:D30,D33:D39)</f>
        <v>96744.28</v>
      </c>
      <c r="E1" s="2715"/>
      <c r="F1" s="2715"/>
      <c r="G1" s="2715"/>
      <c r="H1" s="2715"/>
      <c r="I1" s="2715"/>
      <c r="J1" s="2715"/>
      <c r="K1" s="1369"/>
      <c r="L1" s="2716" t="s">
        <v>2804</v>
      </c>
      <c r="M1" s="1079">
        <f>SUMPRODUCT((区片价!B5:B9=I2)*(区片价!C3:F3=E2)*(区片价!C5:F9))</f>
        <v>0</v>
      </c>
      <c r="N1" s="1082">
        <f>SUMPRODUCT((因素修正幅度!B5:B9=I2)*(因素修正幅度!C3:F3=E2)*(因素修正幅度!C5:F9))</f>
        <v>0</v>
      </c>
      <c r="O1" s="2717"/>
      <c r="P1" s="2717"/>
      <c r="Q1" s="1369"/>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6">
      <c r="A2" s="243" t="s">
        <v>2810</v>
      </c>
      <c r="B2" s="246">
        <f ca="1">C26</f>
        <v>0</v>
      </c>
      <c r="C2" s="2719" t="s">
        <v>2811</v>
      </c>
      <c r="D2" s="2720" t="s">
        <v>2812</v>
      </c>
      <c r="E2" s="2721" t="s">
        <v>6</v>
      </c>
      <c r="F2" s="2720" t="s">
        <v>2813</v>
      </c>
      <c r="G2" s="2722" t="str">
        <f>IF(E2="商业",项目基本情况!B37,IF(E2="办公",项目基本情况!C37,IF(E2="住宅",项目基本情况!D37,项目基本情况!E37)))</f>
        <v>十级</v>
      </c>
      <c r="H2" s="2720" t="s">
        <v>2814</v>
      </c>
      <c r="I2" s="2722" t="str">
        <f>IF(E2="商业",项目基本情况!B38,IF(E2="办公",项目基本情况!C38,IF(E2="住宅",项目基本情况!D38,项目基本情况!E38)))</f>
        <v>Ⅹ-房2</v>
      </c>
      <c r="J2" s="2723"/>
      <c r="K2" s="1369"/>
      <c r="L2" s="2724" t="s">
        <v>2815</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6">
      <c r="A3" s="245" t="s">
        <v>2816</v>
      </c>
      <c r="B3" s="246">
        <f ca="1">ROUND(B2*10000/D1,0)</f>
        <v>0</v>
      </c>
      <c r="C3" s="2719" t="s">
        <v>2817</v>
      </c>
      <c r="D3" s="2720" t="s">
        <v>2818</v>
      </c>
      <c r="E3" s="2725" t="s">
        <v>3108</v>
      </c>
      <c r="F3" s="2726" t="s">
        <v>2819</v>
      </c>
      <c r="G3" s="912">
        <f>IF(F3="宗地容积率",'数据-汇总表'!I4,IF(F3="估价对象容积率",'数据-汇总表'!I6,'数据-汇总表'!I7))</f>
        <v>1.5</v>
      </c>
      <c r="H3" s="196" t="s">
        <v>2820</v>
      </c>
      <c r="I3" s="943"/>
      <c r="J3" s="2723" t="s">
        <v>2821</v>
      </c>
      <c r="K3" s="1369"/>
      <c r="L3" s="2724" t="s">
        <v>2822</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638"/>
      <c r="B4" s="3639"/>
      <c r="C4" s="3639"/>
      <c r="D4" s="3640"/>
      <c r="E4" s="3640"/>
      <c r="F4" s="3640"/>
      <c r="G4" s="3640"/>
      <c r="H4" s="3640"/>
      <c r="I4" s="3640"/>
      <c r="J4" s="3641"/>
      <c r="K4" s="1369"/>
      <c r="L4" s="2724" t="s">
        <v>2823</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2824</v>
      </c>
      <c r="C5" s="913">
        <f>ROUND(IF(E2="商业",IF(F16="增加",C6*C7+C16,C6*C7-C16),IF(E2="住宅",IF(F16="增加",C6*C12+C16,C6*C12-C16),IF(F16="增加",C6+C16,C6-C16))),0)</f>
        <v>495</v>
      </c>
      <c r="D5" s="1786">
        <f>ROUND(IF(E2="商业",IF(F16="增加",C6+C16,C6-C16)),0)</f>
        <v>0</v>
      </c>
      <c r="E5" s="2729"/>
      <c r="F5" s="2729"/>
      <c r="G5" s="2730"/>
      <c r="H5" s="2730"/>
      <c r="I5" s="2730"/>
      <c r="J5" s="2731"/>
      <c r="K5" s="2732"/>
      <c r="L5" s="2724" t="s">
        <v>2825</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0</v>
      </c>
      <c r="U5" s="1602"/>
      <c r="V5" s="1601">
        <f t="shared" ca="1" si="1"/>
        <v>0</v>
      </c>
      <c r="W5" s="1605"/>
      <c r="X5" s="1605"/>
      <c r="Y5" s="1605"/>
      <c r="Z5" s="1605"/>
      <c r="AA5" s="1605"/>
      <c r="AB5" s="1605"/>
      <c r="AC5" s="2733"/>
      <c r="AD5" s="2734"/>
      <c r="AE5" s="2734"/>
      <c r="AF5" s="2734"/>
      <c r="AG5" s="2734"/>
      <c r="AH5" s="2734"/>
      <c r="AI5" s="2734"/>
      <c r="AJ5" s="2735"/>
    </row>
    <row r="6" spans="1:36" ht="15.6" thickBot="1">
      <c r="A6" s="2737" t="s">
        <v>2826</v>
      </c>
      <c r="B6" s="2738" t="s">
        <v>2827</v>
      </c>
      <c r="C6" s="914">
        <f>SUMIF(L1:L12,G2,M1:M12)</f>
        <v>530</v>
      </c>
      <c r="D6" s="2739" t="s">
        <v>2828</v>
      </c>
      <c r="E6" s="2740"/>
      <c r="F6" s="2740"/>
      <c r="G6" s="2741"/>
      <c r="H6" s="2741"/>
      <c r="I6" s="2741"/>
      <c r="J6" s="2742"/>
      <c r="K6" s="1841"/>
      <c r="L6" s="2724" t="s">
        <v>2829</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0</v>
      </c>
      <c r="U6" s="1602"/>
      <c r="V6" s="1601">
        <f t="shared" ca="1" si="1"/>
        <v>0</v>
      </c>
      <c r="W6" s="1605"/>
      <c r="X6" s="1605"/>
      <c r="Y6" s="1605"/>
      <c r="Z6" s="1605"/>
      <c r="AA6" s="1605"/>
      <c r="AB6" s="1605"/>
      <c r="AC6" s="2733"/>
      <c r="AD6" s="2734"/>
      <c r="AE6" s="2734"/>
      <c r="AF6" s="2734"/>
      <c r="AG6" s="2734"/>
      <c r="AH6" s="2734"/>
      <c r="AI6" s="2734"/>
      <c r="AJ6" s="2735"/>
    </row>
    <row r="7" spans="1:36" ht="24">
      <c r="A7" s="3642" t="str">
        <f>IF(E2="商业",IF(C8="不临58条商业街","",2),"")</f>
        <v/>
      </c>
      <c r="B7" s="2743" t="s">
        <v>2830</v>
      </c>
      <c r="C7" s="915">
        <f>IF(C8="不临58条商业街",1,ROUND(1+(1.6*E8+1.2*E9+0.8*E10+0.4*E11)*C9,4))</f>
        <v>1</v>
      </c>
      <c r="D7" s="2744" t="s">
        <v>2831</v>
      </c>
      <c r="E7" s="944"/>
      <c r="F7" s="2745"/>
      <c r="G7" s="2746"/>
      <c r="H7" s="2746"/>
      <c r="I7" s="2746"/>
      <c r="J7" s="2747"/>
      <c r="K7" s="1841"/>
      <c r="L7" s="2724" t="s">
        <v>2832</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0</v>
      </c>
      <c r="U7" s="1602"/>
      <c r="V7" s="1601">
        <f t="shared" ca="1" si="1"/>
        <v>0</v>
      </c>
      <c r="W7" s="1815" t="s">
        <v>2833</v>
      </c>
      <c r="X7" s="1603" t="str">
        <f>G2</f>
        <v>十级</v>
      </c>
      <c r="Y7" s="1603" t="s">
        <v>2834</v>
      </c>
      <c r="Z7" s="1604">
        <f>G3</f>
        <v>1.5</v>
      </c>
      <c r="AA7" s="1605"/>
      <c r="AB7" s="1605"/>
      <c r="AC7" s="1606"/>
      <c r="AD7" s="1607"/>
      <c r="AE7" s="1607"/>
      <c r="AF7" s="1607"/>
      <c r="AG7" s="1607"/>
      <c r="AH7" s="1607"/>
      <c r="AI7" s="1607"/>
      <c r="AJ7" s="1608"/>
    </row>
    <row r="8" spans="1:36" ht="26.4">
      <c r="A8" s="3643"/>
      <c r="B8" s="196" t="s">
        <v>2835</v>
      </c>
      <c r="C8" s="2748" t="s">
        <v>3109</v>
      </c>
      <c r="D8" s="916" t="s">
        <v>139</v>
      </c>
      <c r="E8" s="917" t="e">
        <f>ROUND(C11/E7,4)</f>
        <v>#DIV/0!</v>
      </c>
      <c r="F8" s="2749" t="s">
        <v>2836</v>
      </c>
      <c r="G8" s="2750"/>
      <c r="H8" s="2750"/>
      <c r="I8" s="2750"/>
      <c r="J8" s="2751"/>
      <c r="K8" s="1369"/>
      <c r="L8" s="2724" t="s">
        <v>2837</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635" t="s">
        <v>2838</v>
      </c>
      <c r="X8" s="3636"/>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643"/>
      <c r="B9" s="196" t="s">
        <v>2851</v>
      </c>
      <c r="C9" s="918">
        <f>SUMIF(修正!C59:C119,C8,修正!E59:E119)</f>
        <v>0</v>
      </c>
      <c r="D9" s="198" t="s">
        <v>140</v>
      </c>
      <c r="E9" s="198" t="e">
        <f>ROUND(C11/E7,4)</f>
        <v>#DIV/0!</v>
      </c>
      <c r="F9" s="2749" t="s">
        <v>2852</v>
      </c>
      <c r="G9" s="2750"/>
      <c r="H9" s="2750"/>
      <c r="I9" s="2750"/>
      <c r="J9" s="2751"/>
      <c r="K9" s="1369"/>
      <c r="L9" s="2724" t="s">
        <v>2853</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637"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643"/>
      <c r="B10" s="196" t="s">
        <v>2856</v>
      </c>
      <c r="C10" s="198">
        <f>SUMIF(修正!C59:C119,C8,修正!F59:F119)</f>
        <v>0</v>
      </c>
      <c r="D10" s="198" t="s">
        <v>141</v>
      </c>
      <c r="E10" s="198" t="e">
        <f>ROUND(C11/E7,4)</f>
        <v>#DIV/0!</v>
      </c>
      <c r="F10" s="2749" t="s">
        <v>2857</v>
      </c>
      <c r="G10" s="2750"/>
      <c r="H10" s="2750"/>
      <c r="I10" s="2750"/>
      <c r="J10" s="2751"/>
      <c r="K10" s="1369"/>
      <c r="L10" s="2724" t="s">
        <v>2858</v>
      </c>
      <c r="M10" s="1080">
        <f>SUMPRODUCT((区片价!B290:B316=I2)*(区片价!C3:F3=E2)*(区片价!C290:F316))</f>
        <v>530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63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643"/>
      <c r="B11" s="2752" t="s">
        <v>2859</v>
      </c>
      <c r="C11" s="919">
        <f>C10/4</f>
        <v>0</v>
      </c>
      <c r="D11" s="919" t="s">
        <v>142</v>
      </c>
      <c r="E11" s="919" t="e">
        <f>ROUND(C11/E7,4)</f>
        <v>#DIV/0!</v>
      </c>
      <c r="F11" s="2753" t="s">
        <v>2860</v>
      </c>
      <c r="G11" s="2754"/>
      <c r="H11" s="2754"/>
      <c r="I11" s="2754"/>
      <c r="J11" s="2755"/>
      <c r="K11" s="1369"/>
      <c r="L11" s="2724" t="s">
        <v>2861</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637" t="s">
        <v>2862</v>
      </c>
      <c r="X11" s="1613" t="s">
        <v>2863</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8" thickBot="1">
      <c r="A12" s="3642" t="s">
        <v>2864</v>
      </c>
      <c r="B12" s="2756" t="s">
        <v>2865</v>
      </c>
      <c r="C12" s="915">
        <f>ROUND(C15*D15*E15*F15*G15*H15*I15*J15,4)</f>
        <v>1</v>
      </c>
      <c r="D12" s="2757" t="s">
        <v>2866</v>
      </c>
      <c r="E12" s="2758"/>
      <c r="F12" s="2758"/>
      <c r="G12" s="2759"/>
      <c r="H12" s="2759"/>
      <c r="I12" s="2759"/>
      <c r="J12" s="2760"/>
      <c r="K12" s="1369"/>
      <c r="L12" s="2761" t="s">
        <v>2867</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637"/>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644"/>
      <c r="B13" s="2762" t="s">
        <v>2869</v>
      </c>
      <c r="C13" s="2763" t="s">
        <v>2870</v>
      </c>
      <c r="D13" s="1807" t="s">
        <v>2871</v>
      </c>
      <c r="E13" s="1807" t="s">
        <v>2872</v>
      </c>
      <c r="F13" s="29" t="s">
        <v>2873</v>
      </c>
      <c r="G13" s="2764" t="s">
        <v>2874</v>
      </c>
      <c r="H13" s="2764" t="s">
        <v>2874</v>
      </c>
      <c r="I13" s="2764" t="s">
        <v>2874</v>
      </c>
      <c r="J13" s="2765" t="s">
        <v>2874</v>
      </c>
      <c r="K13" s="1369"/>
      <c r="L13" s="1369"/>
      <c r="M13" s="1369"/>
      <c r="N13" s="1369"/>
      <c r="O13" s="1369"/>
      <c r="P13" s="1369"/>
      <c r="Q13" s="1369"/>
      <c r="R13" s="1601">
        <v>12</v>
      </c>
      <c r="S13" s="1602"/>
      <c r="T13" s="1601">
        <f t="shared" ca="1" si="0"/>
        <v>0</v>
      </c>
      <c r="U13" s="1602"/>
      <c r="V13" s="1601">
        <f t="shared" ca="1" si="1"/>
        <v>0</v>
      </c>
      <c r="W13" s="3637"/>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644"/>
      <c r="B14" s="2766"/>
      <c r="C14" s="2767" t="s">
        <v>3110</v>
      </c>
      <c r="D14" s="2768" t="s">
        <v>3110</v>
      </c>
      <c r="E14" s="2768" t="s">
        <v>3110</v>
      </c>
      <c r="F14" s="2769" t="s">
        <v>3111</v>
      </c>
      <c r="G14" s="2770" t="s">
        <v>2875</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645"/>
      <c r="B15" s="2774" t="s">
        <v>2876</v>
      </c>
      <c r="C15" s="227">
        <f>IF(C14="有",1.1,1)</f>
        <v>1</v>
      </c>
      <c r="D15" s="227">
        <f>IF(D14="有",1.1,1)</f>
        <v>1</v>
      </c>
      <c r="E15" s="227">
        <f>IF(E14="有",1.1,1)</f>
        <v>1</v>
      </c>
      <c r="F15" s="227">
        <f>IF(F14="500米范围内",1.2,IF(F14="500-1000米",1.1,1))</f>
        <v>1</v>
      </c>
      <c r="G15" s="945">
        <v>1</v>
      </c>
      <c r="H15" s="945">
        <v>1</v>
      </c>
      <c r="I15" s="945">
        <v>1</v>
      </c>
      <c r="J15" s="946">
        <v>1</v>
      </c>
      <c r="K15" s="1369"/>
      <c r="L15" s="2775" t="s">
        <v>2812</v>
      </c>
      <c r="M15" s="916" t="s">
        <v>2877</v>
      </c>
      <c r="N15" s="916" t="s">
        <v>2878</v>
      </c>
      <c r="O15" s="916" t="s">
        <v>2879</v>
      </c>
      <c r="P15" s="2776" t="s">
        <v>2880</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642" t="s">
        <v>2881</v>
      </c>
      <c r="B16" s="2743" t="s">
        <v>2882</v>
      </c>
      <c r="C16" s="1800">
        <f>ROUND(SUM(G17:J17)/C17,0)</f>
        <v>35</v>
      </c>
      <c r="D16" s="2777" t="s">
        <v>2883</v>
      </c>
      <c r="E16" s="2778" t="s">
        <v>3158</v>
      </c>
      <c r="F16" s="2779" t="s">
        <v>3159</v>
      </c>
      <c r="G16" s="2780" t="s">
        <v>3115</v>
      </c>
      <c r="H16" s="2780" t="s">
        <v>3117</v>
      </c>
      <c r="I16" s="2780"/>
      <c r="J16" s="2781"/>
      <c r="K16" s="1369"/>
      <c r="L16" s="2782" t="s">
        <v>2884</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4.6" thickBot="1">
      <c r="A17" s="3643"/>
      <c r="B17" s="2783" t="s">
        <v>2885</v>
      </c>
      <c r="C17" s="920">
        <f>SUMPRODUCT((修正!A2:A5=E2)*(修正!B1:M1=G2)*(修正!B2:M5))</f>
        <v>1</v>
      </c>
      <c r="D17" s="2784" t="s">
        <v>2886</v>
      </c>
      <c r="E17" s="919" t="str">
        <f>IF(OR(G2="八级",G2="九级",G2="十级",G2="十一级",G2="十二级"),"五通一平","七通一平")</f>
        <v>五通一平</v>
      </c>
      <c r="F17" s="920" t="s">
        <v>2887</v>
      </c>
      <c r="G17" s="920">
        <f>SUMPRODUCT((七通一平=G16)*(修正!B1:M1=G2)*(修正!B6:M14))</f>
        <v>10</v>
      </c>
      <c r="H17" s="920">
        <f>SUMPRODUCT((七通一平=H16)*(修正!B1:M1=G2)*(修正!B6:M14))</f>
        <v>25</v>
      </c>
      <c r="I17" s="920">
        <f>SUMPRODUCT((七通一平=I16)*(修正!B1:M1=G2)*(修正!B6:M14))</f>
        <v>0</v>
      </c>
      <c r="J17" s="921">
        <f>SUMPRODUCT((七通一平=J16)*(修正!B1:M1=G2)*(修正!B6:M14))</f>
        <v>0</v>
      </c>
      <c r="K17" s="1369"/>
      <c r="L17" s="2785" t="s">
        <v>2888</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 thickBot="1">
      <c r="A18" s="2787" t="s">
        <v>808</v>
      </c>
      <c r="B18" s="2788" t="s">
        <v>2889</v>
      </c>
      <c r="C18" s="922">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4" thickBot="1">
      <c r="A19" s="2787" t="s">
        <v>809</v>
      </c>
      <c r="B19" s="2788" t="s">
        <v>2890</v>
      </c>
      <c r="C19" s="923">
        <f>ROUND(IF(H19="按公示增长率计算",SUMPRODUCT((地价!A3:A22=YEAR(G19)&amp;"-"&amp;ROUNDUP(MONTH(G19)/3,0))*(地价!X2:AB2=E2)*(地价!X3:AB22)),IF(H19="地价指数",M20/M19,(1+I19)^O19)),4)</f>
        <v>0</v>
      </c>
      <c r="D19" s="2795" t="s">
        <v>2891</v>
      </c>
      <c r="E19" s="924">
        <v>41640</v>
      </c>
      <c r="F19" s="2795" t="s">
        <v>2892</v>
      </c>
      <c r="G19" s="925">
        <f>'数据-取费表'!B2</f>
        <v>43424</v>
      </c>
      <c r="H19" s="2796" t="s">
        <v>2893</v>
      </c>
      <c r="I19" s="926" t="str">
        <f>IF(H19="季度增幅（自定义）",SUMIF(N21:N24,E2,O21:O24),"")</f>
        <v/>
      </c>
      <c r="J19" s="2793"/>
      <c r="K19" s="1376"/>
      <c r="L19" s="2797" t="s">
        <v>2894</v>
      </c>
      <c r="M19" s="1733">
        <f>ROUND(SUMIF(地价!B2:F2,E2,地价!B22:F22),0)</f>
        <v>230</v>
      </c>
      <c r="N19" s="2798" t="s">
        <v>2895</v>
      </c>
      <c r="O19" s="927">
        <f>ROUNDDOWN(DATEDIF(E19,G19,"M")/3,0)</f>
        <v>19</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9.4" thickBot="1">
      <c r="A20" s="2802" t="s">
        <v>810</v>
      </c>
      <c r="B20" s="2803" t="s">
        <v>2896</v>
      </c>
      <c r="C20" s="928">
        <f ca="1">ROUND(POWER(1+G20,J20-I20)*(POWER(1+G20,I20)-1)/(POWER(1+G20,J20)-1),4)</f>
        <v>0.97330000000000005</v>
      </c>
      <c r="D20" s="2804" t="s">
        <v>2897</v>
      </c>
      <c r="E20" s="1767">
        <f ca="1">存贷款利率!D4/100</f>
        <v>4.3499999999999997E-2</v>
      </c>
      <c r="F20" s="2804" t="s">
        <v>2888</v>
      </c>
      <c r="G20" s="933">
        <f ca="1">SUMIF(M15:P15,E2,M17:P17)</f>
        <v>4.8000000000000001E-2</v>
      </c>
      <c r="H20" s="2804" t="s">
        <v>2898</v>
      </c>
      <c r="I20" s="934">
        <f>SUMIF('数据-取费表'!C6:C15,E2,'数据-取费表'!F6:F15)/COUNTIF('数据-取费表'!C6:C15,E2)</f>
        <v>45.21</v>
      </c>
      <c r="J20" s="935">
        <f>IF(E2="住宅",70,IF(E2="商业",40,50))</f>
        <v>50</v>
      </c>
      <c r="K20" s="1376"/>
      <c r="L20" s="2805" t="s">
        <v>2899</v>
      </c>
      <c r="M20" s="1734">
        <f>ROUND(SUMPRODUCT((地价!A4:A22=YEAR(G19)&amp;"-"&amp;ROUNDUP(MONTH(G19)/3,0))*(地价!B2:F2=E2)*(地价!B4:F22)),0)</f>
        <v>0</v>
      </c>
      <c r="N20" s="2806" t="s">
        <v>2900</v>
      </c>
      <c r="O20" s="2807" t="s">
        <v>2901</v>
      </c>
      <c r="P20" s="2808" t="s">
        <v>2902</v>
      </c>
      <c r="R20" s="1375"/>
      <c r="S20" s="1375"/>
      <c r="T20" s="1370"/>
      <c r="U20" s="1370"/>
      <c r="V20" s="1370"/>
      <c r="W20" s="1369"/>
      <c r="X20" s="1369"/>
      <c r="Y20" s="1369"/>
      <c r="Z20" s="1376"/>
      <c r="AA20" s="1377"/>
      <c r="AB20" s="1377"/>
      <c r="AC20" s="1377"/>
      <c r="AD20" s="1377"/>
      <c r="AE20" s="1377"/>
      <c r="AF20" s="1377"/>
    </row>
    <row r="21" spans="1:37" s="2736" customFormat="1" ht="14.4">
      <c r="A21" s="2809" t="s">
        <v>811</v>
      </c>
      <c r="B21" s="2810" t="s">
        <v>3112</v>
      </c>
      <c r="C21" s="936">
        <f>IF(B21="容积率修正",IF(G3&lt;=10,D22,J22),C23)</f>
        <v>0.80110000000000003</v>
      </c>
      <c r="D21" s="2811"/>
      <c r="E21" s="2811"/>
      <c r="F21" s="2811"/>
      <c r="G21" s="2811"/>
      <c r="H21" s="2811"/>
      <c r="I21" s="2811"/>
      <c r="J21" s="2812"/>
      <c r="K21" s="1376"/>
      <c r="N21" s="2813" t="s">
        <v>2903</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4">
      <c r="A22" s="2662" t="s">
        <v>2904</v>
      </c>
      <c r="B22" s="2814" t="s">
        <v>2905</v>
      </c>
      <c r="C22" s="1809" t="s">
        <v>2906</v>
      </c>
      <c r="D22" s="1809">
        <f>IF(E22=G22,F22,IF(G3&lt;=10,ROUND(F22+(H22-F22)*(G3-E22)/(G22-E22),4),"——"))</f>
        <v>0.80110000000000003</v>
      </c>
      <c r="E22" s="912">
        <f>ROUNDDOWN(G3,1)</f>
        <v>1.5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912">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7" t="str">
        <f>IF(G3&gt;10,D113,"——")</f>
        <v>——</v>
      </c>
      <c r="K22" s="1376"/>
      <c r="N22" s="2813" t="s">
        <v>2907</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9.4" thickBot="1">
      <c r="A23" s="2662" t="s">
        <v>2908</v>
      </c>
      <c r="B23" s="2815" t="s">
        <v>2909</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2910</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 thickBot="1">
      <c r="A24" s="2802" t="s">
        <v>812</v>
      </c>
      <c r="B24" s="2788" t="s">
        <v>2911</v>
      </c>
      <c r="C24" s="923">
        <f>SUMIF(A45:A88,E2,B45:B88)</f>
        <v>1.0298</v>
      </c>
      <c r="D24" s="2791"/>
      <c r="E24" s="2821"/>
      <c r="F24" s="2821"/>
      <c r="G24" s="2821"/>
      <c r="H24" s="2821"/>
      <c r="I24" s="2821"/>
      <c r="J24" s="2822"/>
      <c r="K24" s="1376"/>
      <c r="N24" s="2823" t="s">
        <v>2912</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 thickBot="1">
      <c r="A25" s="2802" t="s">
        <v>813</v>
      </c>
      <c r="B25" s="2824" t="s">
        <v>2913</v>
      </c>
      <c r="C25" s="929"/>
      <c r="D25" s="2746"/>
      <c r="E25" s="2746"/>
      <c r="F25" s="2825"/>
      <c r="G25" s="2746"/>
      <c r="H25" s="2746"/>
      <c r="I25" s="2746"/>
      <c r="J25" s="2747"/>
      <c r="K25" s="1369"/>
      <c r="N25" s="2826" t="s">
        <v>2914</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4.4">
      <c r="A26" s="2827"/>
      <c r="B26" s="2814" t="s">
        <v>2915</v>
      </c>
      <c r="C26" s="204">
        <f ca="1">E29+SUM(E33:E39)</f>
        <v>0</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 thickBot="1">
      <c r="A27" s="2827"/>
      <c r="B27" s="2831" t="s">
        <v>2916</v>
      </c>
      <c r="C27" s="930"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4.4">
      <c r="A28" s="2836"/>
      <c r="B28" s="2837" t="s">
        <v>2917</v>
      </c>
      <c r="C28" s="2838" t="s">
        <v>2918</v>
      </c>
      <c r="D28" s="2838" t="s">
        <v>2919</v>
      </c>
      <c r="E28" s="2839" t="s">
        <v>2920</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2921</v>
      </c>
      <c r="C29" s="204">
        <f ca="1">ROUND(C5*C18*C19*C20*C21*C24,0)</f>
        <v>0</v>
      </c>
      <c r="D29" s="2843">
        <f>'数据-汇总表'!F19</f>
        <v>75800.5</v>
      </c>
      <c r="E29" s="941">
        <f ca="1">ROUND(C29*D29/10000,0)</f>
        <v>0</v>
      </c>
      <c r="F29" s="2844" t="s">
        <v>2922</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8" thickBot="1">
      <c r="A30" s="2847"/>
      <c r="B30" s="2848" t="s">
        <v>2923</v>
      </c>
      <c r="C30" s="227">
        <f ca="1">ROUND(IF(E2="工业",C29*M39,C29*M38),0)</f>
        <v>0</v>
      </c>
      <c r="D30" s="2849"/>
      <c r="E30" s="941">
        <f ca="1">ROUND(C30*D30/10000,0)</f>
        <v>0</v>
      </c>
      <c r="F30" s="2850" t="s">
        <v>2924</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3.8">
      <c r="A31" s="2853"/>
      <c r="B31" s="2854" t="s">
        <v>2925</v>
      </c>
      <c r="C31" s="2855" t="s">
        <v>2926</v>
      </c>
      <c r="D31" s="2759"/>
      <c r="E31" s="2855"/>
      <c r="F31" s="2855"/>
      <c r="G31" s="2757" t="s">
        <v>2927</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36">
      <c r="A32" s="2841"/>
      <c r="B32" s="2857"/>
      <c r="C32" s="499" t="s">
        <v>2918</v>
      </c>
      <c r="D32" s="496" t="s">
        <v>2919</v>
      </c>
      <c r="E32" s="496" t="s">
        <v>2920</v>
      </c>
      <c r="F32" s="386" t="s">
        <v>2928</v>
      </c>
      <c r="G32" s="2858" t="s">
        <v>2918</v>
      </c>
      <c r="H32" s="2858" t="s">
        <v>2919</v>
      </c>
      <c r="I32" s="2858" t="s">
        <v>2920</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652" t="s">
        <v>2929</v>
      </c>
      <c r="B33" s="2859" t="s">
        <v>2930</v>
      </c>
      <c r="C33" s="204">
        <f ca="1">ROUND(D5*C19*C20*C24*F33,0)</f>
        <v>0</v>
      </c>
      <c r="D33" s="2843"/>
      <c r="E33" s="198">
        <f ca="1">ROUND(C33*D33/10000,0)</f>
        <v>0</v>
      </c>
      <c r="F33" s="198">
        <f>SUMIF(修正!A45:A56,G2,修正!B45:B56)</f>
        <v>0.6</v>
      </c>
      <c r="G33" s="198">
        <f t="shared" ref="G33:G39" ca="1" si="6">ROUND(IF(E2="工业",C33*$M$39,C33*$M$38),0)</f>
        <v>0</v>
      </c>
      <c r="H33" s="198">
        <f>D33</f>
        <v>0</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653"/>
      <c r="B34" s="2763" t="s">
        <v>2931</v>
      </c>
      <c r="C34" s="204">
        <f ca="1">ROUND(D5*C19*C20*C24*F34,0)</f>
        <v>0</v>
      </c>
      <c r="D34" s="2843"/>
      <c r="E34" s="198">
        <f t="shared" ref="E34:E39" ca="1" si="7">ROUND(C34*D34/10000,0)</f>
        <v>0</v>
      </c>
      <c r="F34" s="198">
        <f>SUMIF(修正!A45:A56,G2,修正!C45:C56)</f>
        <v>0.3</v>
      </c>
      <c r="G34" s="198">
        <f t="shared" ca="1" si="6"/>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653"/>
      <c r="B35" s="2763" t="s">
        <v>2932</v>
      </c>
      <c r="C35" s="204">
        <f ca="1">ROUND(D5*C19*C20*C24*F35,0)</f>
        <v>0</v>
      </c>
      <c r="D35" s="2843"/>
      <c r="E35" s="198">
        <f t="shared" ca="1" si="7"/>
        <v>0</v>
      </c>
      <c r="F35" s="198">
        <f>SUMIF(修正!A45:A56,G2,修正!D45:D56)</f>
        <v>0.2</v>
      </c>
      <c r="G35" s="198">
        <f t="shared" ca="1" si="6"/>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8" thickBot="1">
      <c r="A36" s="3654"/>
      <c r="B36" s="2763" t="s">
        <v>2933</v>
      </c>
      <c r="C36" s="204">
        <f ca="1">ROUND(D5*C19*C20*C24*F36,0)</f>
        <v>0</v>
      </c>
      <c r="D36" s="2843"/>
      <c r="E36" s="198">
        <f t="shared" ca="1" si="7"/>
        <v>0</v>
      </c>
      <c r="F36" s="198">
        <f>SUMIF(修正!A45:A56,G2,修正!E45:E56)</f>
        <v>0.2</v>
      </c>
      <c r="G36" s="198">
        <f t="shared" ca="1" si="6"/>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2934</v>
      </c>
      <c r="C37" s="198">
        <f ca="1">ROUND(C5*C19*C20*C24*F37,0)</f>
        <v>0</v>
      </c>
      <c r="D37" s="2843"/>
      <c r="E37" s="198">
        <f t="shared" ca="1" si="7"/>
        <v>0</v>
      </c>
      <c r="F37" s="204">
        <f>SUMIF(修正!A45:A56,G2,修正!F45:F56)</f>
        <v>0.2</v>
      </c>
      <c r="G37" s="198">
        <f t="shared" ca="1" si="6"/>
        <v>0</v>
      </c>
      <c r="H37" s="198">
        <f t="shared" si="8"/>
        <v>0</v>
      </c>
      <c r="I37" s="198">
        <f t="shared" ca="1" si="9"/>
        <v>0</v>
      </c>
      <c r="J37" s="2860"/>
      <c r="K37" s="1369"/>
      <c r="L37" s="2862" t="s">
        <v>2935</v>
      </c>
      <c r="M37" s="2863"/>
      <c r="N37" s="1369"/>
      <c r="O37" s="1369"/>
      <c r="P37" s="1369"/>
      <c r="Q37" s="1369"/>
      <c r="R37" s="1369"/>
      <c r="S37" s="1369"/>
      <c r="T37" s="1369"/>
      <c r="U37" s="1369"/>
      <c r="V37" s="1369"/>
      <c r="W37" s="1369"/>
      <c r="X37" s="1369"/>
      <c r="Y37" s="1369"/>
      <c r="Z37" s="1370"/>
    </row>
    <row r="38" spans="1:37">
      <c r="A38" s="2861"/>
      <c r="B38" s="2763" t="s">
        <v>2936</v>
      </c>
      <c r="C38" s="198">
        <f ca="1">ROUND(C5*C19*C20*C24*F38,0)</f>
        <v>0</v>
      </c>
      <c r="D38" s="2966">
        <f>'数据-汇总表'!G20</f>
        <v>8295.2800000000007</v>
      </c>
      <c r="E38" s="198">
        <f t="shared" ca="1" si="7"/>
        <v>0</v>
      </c>
      <c r="F38" s="204">
        <f>SUMIF(修正!A45:A56,G2,修正!G45:G56)</f>
        <v>0.2</v>
      </c>
      <c r="G38" s="198">
        <f t="shared" ca="1" si="6"/>
        <v>0</v>
      </c>
      <c r="H38" s="198">
        <f t="shared" si="8"/>
        <v>8295.2800000000007</v>
      </c>
      <c r="I38" s="198">
        <f t="shared" ca="1" si="9"/>
        <v>0</v>
      </c>
      <c r="J38" s="2860"/>
      <c r="K38" s="1369"/>
      <c r="L38" s="1886" t="s">
        <v>2937</v>
      </c>
      <c r="M38" s="2864">
        <v>0.25</v>
      </c>
      <c r="N38" s="1369"/>
      <c r="O38" s="1369"/>
      <c r="P38" s="1369"/>
      <c r="Q38" s="1369"/>
      <c r="R38" s="1369"/>
      <c r="S38" s="1369"/>
      <c r="T38" s="1369"/>
      <c r="U38" s="1369"/>
      <c r="V38" s="1369"/>
      <c r="W38" s="1369"/>
      <c r="X38" s="1369"/>
      <c r="Y38" s="1369"/>
      <c r="Z38" s="1370"/>
    </row>
    <row r="39" spans="1:37" ht="13.8" thickBot="1">
      <c r="A39" s="2847"/>
      <c r="B39" s="2865" t="s">
        <v>2938</v>
      </c>
      <c r="C39" s="227">
        <f ca="1">ROUND(C5*C19*C20*C24*F39,0)</f>
        <v>0</v>
      </c>
      <c r="D39" s="2849">
        <f>'数据-汇总表'!G21</f>
        <v>12648.5</v>
      </c>
      <c r="E39" s="227">
        <f t="shared" ca="1" si="7"/>
        <v>0</v>
      </c>
      <c r="F39" s="931">
        <f>SUMIF(修正!A45:A56,G2,修正!H45:H56)</f>
        <v>0.15</v>
      </c>
      <c r="G39" s="227" t="e">
        <f t="shared" si="6"/>
        <v>#DIV/0!</v>
      </c>
      <c r="H39" s="227">
        <f t="shared" si="8"/>
        <v>12648.5</v>
      </c>
      <c r="I39" s="227" t="e">
        <f t="shared" si="9"/>
        <v>#DIV/0!</v>
      </c>
      <c r="J39" s="2866"/>
      <c r="K39" s="1369"/>
      <c r="L39" s="2867" t="s">
        <v>2880</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 thickBot="1">
      <c r="A45" s="2870" t="s">
        <v>2939</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4.4">
      <c r="A46" s="2872" t="s">
        <v>2940</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5.2">
      <c r="A47" s="2876" t="s">
        <v>2941</v>
      </c>
      <c r="B47" s="1808" t="s">
        <v>2942</v>
      </c>
      <c r="C47" s="1808" t="s">
        <v>2943</v>
      </c>
      <c r="D47" s="1808" t="s">
        <v>2944</v>
      </c>
      <c r="E47" s="815" t="s">
        <v>2945</v>
      </c>
      <c r="F47" s="2877" t="s">
        <v>2946</v>
      </c>
      <c r="G47" s="1808" t="s">
        <v>754</v>
      </c>
      <c r="H47" s="2878" t="s">
        <v>2947</v>
      </c>
      <c r="I47" s="1808" t="s">
        <v>2948</v>
      </c>
      <c r="J47" s="601" t="s">
        <v>2596</v>
      </c>
      <c r="K47" s="601" t="s">
        <v>2597</v>
      </c>
      <c r="L47" s="601" t="s">
        <v>2598</v>
      </c>
      <c r="M47" s="601" t="s">
        <v>2599</v>
      </c>
      <c r="N47" s="601" t="s">
        <v>2600</v>
      </c>
      <c r="AA47" s="1370"/>
      <c r="AB47" s="1370"/>
      <c r="AC47" s="1370"/>
      <c r="AD47" s="1370"/>
      <c r="AE47" s="1370"/>
      <c r="AF47" s="1370"/>
      <c r="AG47" s="1370"/>
      <c r="AH47" s="1370"/>
      <c r="AI47" s="1370"/>
      <c r="AJ47" s="1370"/>
      <c r="AK47" s="1370"/>
    </row>
    <row r="48" spans="1:37" s="1369" customFormat="1" ht="52.8">
      <c r="A48" s="2876" t="s">
        <v>2949</v>
      </c>
      <c r="B48" s="2879" t="str">
        <f>估价对象房地状况!C4</f>
        <v>估价对象位于XX商圈，周边商业氛围成熟，人流量大，商业繁华度好</v>
      </c>
      <c r="C48" s="2768"/>
      <c r="D48" s="1285">
        <f t="shared" ref="D48:D56" si="10">SUMIF($J$47:$N$47,C48,J48:N48)</f>
        <v>0</v>
      </c>
      <c r="E48" s="817">
        <f>ROUND(SUM(D48:D56),4)</f>
        <v>0</v>
      </c>
      <c r="F48" s="2499"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6" t="s">
        <v>2950</v>
      </c>
      <c r="B49" s="2880" t="str">
        <f>估价对象房地状况!C18</f>
        <v>估价对象周边道路状况、公共交通通达情况、停车便捷程度，综合评价交通便捷度较好</v>
      </c>
      <c r="C49" s="2768"/>
      <c r="D49" s="1285">
        <f t="shared" si="10"/>
        <v>0</v>
      </c>
      <c r="E49" s="818"/>
      <c r="F49" s="2499"/>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2951</v>
      </c>
      <c r="B50" s="2880">
        <f>估价对象房地状况!C19</f>
        <v>0</v>
      </c>
      <c r="C50" s="2768"/>
      <c r="D50" s="1285">
        <f t="shared" si="10"/>
        <v>0</v>
      </c>
      <c r="E50" s="818"/>
      <c r="F50" s="2499"/>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6" t="s">
        <v>2952</v>
      </c>
      <c r="B51" s="2881" t="s">
        <v>2953</v>
      </c>
      <c r="C51" s="2768"/>
      <c r="D51" s="1285">
        <f t="shared" si="10"/>
        <v>0</v>
      </c>
      <c r="E51" s="818"/>
      <c r="F51" s="2499"/>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2954</v>
      </c>
      <c r="B52" s="2880">
        <f>估价对象房地状况!C24</f>
        <v>0</v>
      </c>
      <c r="C52" s="2768"/>
      <c r="D52" s="1285">
        <f t="shared" si="10"/>
        <v>0</v>
      </c>
      <c r="E52" s="818"/>
      <c r="F52" s="2499"/>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6" t="s">
        <v>2955</v>
      </c>
      <c r="B53" s="2882" t="s">
        <v>2956</v>
      </c>
      <c r="C53" s="2768"/>
      <c r="D53" s="1285">
        <f t="shared" si="10"/>
        <v>0</v>
      </c>
      <c r="E53" s="818"/>
      <c r="F53" s="2499"/>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83" t="s">
        <v>2957</v>
      </c>
      <c r="B54" s="1724" t="str">
        <f>估价对象房地状况!C21</f>
        <v>估价对象所在区域公共配套设施齐备情况</v>
      </c>
      <c r="C54" s="2768"/>
      <c r="D54" s="1285">
        <f t="shared" si="10"/>
        <v>0</v>
      </c>
      <c r="E54" s="818"/>
      <c r="F54" s="2499"/>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83" t="s">
        <v>2958</v>
      </c>
      <c r="B55" s="2880" t="str">
        <f>估价对象房地状况!C22</f>
        <v>估价对象所在区域基础设施水平</v>
      </c>
      <c r="C55" s="2768"/>
      <c r="D55" s="1285">
        <f t="shared" si="10"/>
        <v>0</v>
      </c>
      <c r="E55" s="818"/>
      <c r="F55" s="2499"/>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4" t="s">
        <v>2959</v>
      </c>
      <c r="B56" s="2885" t="str">
        <f>估价对象房地状况!C20</f>
        <v>区域自然环境：；人文环境；综合评价环境状况一般</v>
      </c>
      <c r="C56" s="2768"/>
      <c r="D56" s="1285">
        <f t="shared" si="10"/>
        <v>0</v>
      </c>
      <c r="E56" s="821"/>
      <c r="F56" s="2499"/>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72" t="s">
        <v>2960</v>
      </c>
      <c r="B57" s="2873">
        <f>1+E59</f>
        <v>1</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6" t="s">
        <v>2941</v>
      </c>
      <c r="B58" s="1808"/>
      <c r="C58" s="1808" t="s">
        <v>2943</v>
      </c>
      <c r="D58" s="1808" t="s">
        <v>2944</v>
      </c>
      <c r="E58" s="815" t="s">
        <v>2945</v>
      </c>
      <c r="F58" s="2877" t="s">
        <v>2961</v>
      </c>
      <c r="G58" s="1808" t="s">
        <v>754</v>
      </c>
      <c r="H58" s="2878" t="s">
        <v>2947</v>
      </c>
      <c r="I58" s="1808" t="s">
        <v>2948</v>
      </c>
      <c r="J58" s="601" t="s">
        <v>2596</v>
      </c>
      <c r="K58" s="601" t="s">
        <v>2597</v>
      </c>
      <c r="L58" s="601" t="s">
        <v>2598</v>
      </c>
      <c r="M58" s="601" t="s">
        <v>2599</v>
      </c>
      <c r="N58" s="601" t="s">
        <v>2600</v>
      </c>
      <c r="AA58" s="1370"/>
      <c r="AB58" s="1370"/>
      <c r="AC58" s="1370"/>
      <c r="AD58" s="1370"/>
      <c r="AE58" s="1370"/>
      <c r="AF58" s="1370"/>
      <c r="AG58" s="1370"/>
      <c r="AH58" s="1370"/>
      <c r="AI58" s="1370"/>
      <c r="AJ58" s="1370"/>
      <c r="AK58" s="1370"/>
    </row>
    <row r="59" spans="1:37" s="1369" customFormat="1" ht="52.8">
      <c r="A59" s="2876" t="s">
        <v>2962</v>
      </c>
      <c r="B59" s="2879" t="str">
        <f>估价对象房地状况!C17</f>
        <v>估价对象位于XX商圈，周边办公楼项目较多，入驻率高，办公集聚程度较好</v>
      </c>
      <c r="C59" s="2768"/>
      <c r="D59" s="1285">
        <f t="shared" ref="D59:D67" si="15">SUMIF($J$58:$N$58,C59,J59:N59)</f>
        <v>0</v>
      </c>
      <c r="E59" s="817">
        <f>ROUND(SUM(D59:D67),4)</f>
        <v>0</v>
      </c>
      <c r="F59" s="2499" t="str">
        <f>IF(E2="办公",SUMIF(L1:L12,G2,N1:N12),"——")</f>
        <v>——</v>
      </c>
      <c r="G59" s="1283"/>
      <c r="H59" s="1287" t="str">
        <f t="shared" ref="H59:H67" si="16">IFERROR(ROUNDDOWN($F$59*I59/2,4),"——")</f>
        <v>——</v>
      </c>
      <c r="I59" s="816">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6" t="s">
        <v>2950</v>
      </c>
      <c r="B60" s="2880" t="str">
        <f>估价对象房地状况!C18</f>
        <v>估价对象周边道路状况、公共交通通达情况、停车便捷程度，综合评价交通便捷度较好</v>
      </c>
      <c r="C60" s="2768"/>
      <c r="D60" s="1285">
        <f t="shared" si="15"/>
        <v>0</v>
      </c>
      <c r="E60" s="818"/>
      <c r="F60" s="2499"/>
      <c r="G60" s="1283"/>
      <c r="H60" s="1287" t="str">
        <f t="shared" si="16"/>
        <v>——</v>
      </c>
      <c r="I60" s="816">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2951</v>
      </c>
      <c r="B61" s="2880">
        <f>估价对象房地状况!C19</f>
        <v>0</v>
      </c>
      <c r="C61" s="2768"/>
      <c r="D61" s="1285">
        <f t="shared" si="15"/>
        <v>0</v>
      </c>
      <c r="E61" s="818"/>
      <c r="F61" s="2499"/>
      <c r="G61" s="1283"/>
      <c r="H61" s="1287" t="str">
        <f t="shared" si="16"/>
        <v>——</v>
      </c>
      <c r="I61" s="816">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6" t="s">
        <v>2952</v>
      </c>
      <c r="B62" s="2881" t="s">
        <v>2953</v>
      </c>
      <c r="C62" s="2768"/>
      <c r="D62" s="1285">
        <f t="shared" si="15"/>
        <v>0</v>
      </c>
      <c r="E62" s="818"/>
      <c r="F62" s="2499"/>
      <c r="G62" s="1283"/>
      <c r="H62" s="1287" t="str">
        <f t="shared" si="16"/>
        <v>——</v>
      </c>
      <c r="I62" s="816">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2954</v>
      </c>
      <c r="B63" s="2880">
        <f>估价对象房地状况!C24</f>
        <v>0</v>
      </c>
      <c r="C63" s="2768"/>
      <c r="D63" s="1285">
        <f t="shared" si="15"/>
        <v>0</v>
      </c>
      <c r="E63" s="818"/>
      <c r="F63" s="2499"/>
      <c r="G63" s="1283"/>
      <c r="H63" s="1287" t="str">
        <f t="shared" si="16"/>
        <v>——</v>
      </c>
      <c r="I63" s="816">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6" t="s">
        <v>2955</v>
      </c>
      <c r="B64" s="2882" t="s">
        <v>2956</v>
      </c>
      <c r="C64" s="2768"/>
      <c r="D64" s="1285">
        <f t="shared" si="15"/>
        <v>0</v>
      </c>
      <c r="E64" s="818"/>
      <c r="F64" s="2499"/>
      <c r="G64" s="1283"/>
      <c r="H64" s="1287" t="str">
        <f t="shared" si="16"/>
        <v>——</v>
      </c>
      <c r="I64" s="816">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76" t="s">
        <v>2957</v>
      </c>
      <c r="B65" s="1724" t="str">
        <f>估价对象房地状况!C21</f>
        <v>估价对象所在区域公共配套设施齐备情况</v>
      </c>
      <c r="C65" s="2768"/>
      <c r="D65" s="1285">
        <f t="shared" si="15"/>
        <v>0</v>
      </c>
      <c r="E65" s="818"/>
      <c r="F65" s="2499"/>
      <c r="G65" s="1283"/>
      <c r="H65" s="1287" t="str">
        <f t="shared" si="16"/>
        <v>——</v>
      </c>
      <c r="I65" s="816">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6" t="s">
        <v>2958</v>
      </c>
      <c r="B66" s="1724" t="str">
        <f>估价对象房地状况!C22</f>
        <v>估价对象所在区域基础设施水平</v>
      </c>
      <c r="C66" s="2768"/>
      <c r="D66" s="1285">
        <f t="shared" si="15"/>
        <v>0</v>
      </c>
      <c r="E66" s="818"/>
      <c r="F66" s="2499"/>
      <c r="G66" s="1283"/>
      <c r="H66" s="1287" t="str">
        <f t="shared" si="16"/>
        <v>——</v>
      </c>
      <c r="I66" s="816">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84" t="s">
        <v>2959</v>
      </c>
      <c r="B67" s="2886" t="str">
        <f>估价对象房地状况!C20</f>
        <v>区域自然环境：；人文环境；综合评价环境状况一般</v>
      </c>
      <c r="C67" s="2768"/>
      <c r="D67" s="1285">
        <f t="shared" si="15"/>
        <v>0</v>
      </c>
      <c r="E67" s="821"/>
      <c r="F67" s="2499"/>
      <c r="G67" s="1283"/>
      <c r="H67" s="1287" t="str">
        <f t="shared" si="16"/>
        <v>——</v>
      </c>
      <c r="I67" s="820">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72" t="s">
        <v>2963</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6" t="s">
        <v>2941</v>
      </c>
      <c r="B69" s="1808"/>
      <c r="C69" s="1808" t="s">
        <v>2943</v>
      </c>
      <c r="D69" s="1808" t="s">
        <v>2944</v>
      </c>
      <c r="E69" s="815" t="s">
        <v>2945</v>
      </c>
      <c r="F69" s="2877" t="s">
        <v>2961</v>
      </c>
      <c r="G69" s="1808" t="s">
        <v>754</v>
      </c>
      <c r="H69" s="2878" t="s">
        <v>2947</v>
      </c>
      <c r="I69" s="1808" t="s">
        <v>2948</v>
      </c>
      <c r="J69" s="601" t="s">
        <v>2596</v>
      </c>
      <c r="K69" s="601" t="s">
        <v>2597</v>
      </c>
      <c r="L69" s="601" t="s">
        <v>2598</v>
      </c>
      <c r="M69" s="601" t="s">
        <v>2599</v>
      </c>
      <c r="N69" s="601" t="s">
        <v>2600</v>
      </c>
      <c r="AA69" s="1370"/>
      <c r="AB69" s="1370"/>
      <c r="AC69" s="1370"/>
      <c r="AD69" s="1370"/>
      <c r="AE69" s="1370"/>
      <c r="AF69" s="1370"/>
      <c r="AG69" s="1370"/>
      <c r="AH69" s="1370"/>
      <c r="AI69" s="1370"/>
      <c r="AJ69" s="1370"/>
      <c r="AK69" s="1370"/>
    </row>
    <row r="70" spans="1:37" s="1369" customFormat="1" ht="66">
      <c r="A70" s="2876" t="s">
        <v>2964</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499"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6" t="s">
        <v>2950</v>
      </c>
      <c r="B71" s="2880" t="str">
        <f>估价对象房地状况!C18</f>
        <v>估价对象周边道路状况、公共交通通达情况、停车便捷程度，综合评价交通便捷度较好</v>
      </c>
      <c r="C71" s="2768"/>
      <c r="D71" s="1285">
        <f t="shared" si="20"/>
        <v>0</v>
      </c>
      <c r="E71" s="822"/>
      <c r="F71" s="2499"/>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2951</v>
      </c>
      <c r="B72" s="2880">
        <f>估价对象房地状况!C19</f>
        <v>0</v>
      </c>
      <c r="C72" s="2768"/>
      <c r="D72" s="1285">
        <f t="shared" si="20"/>
        <v>0</v>
      </c>
      <c r="E72" s="822"/>
      <c r="F72" s="2499"/>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6" t="s">
        <v>2965</v>
      </c>
      <c r="B73" s="2880">
        <f>估价对象房地状况!C24</f>
        <v>0</v>
      </c>
      <c r="C73" s="2768"/>
      <c r="D73" s="1285">
        <f t="shared" si="20"/>
        <v>0</v>
      </c>
      <c r="E73" s="822"/>
      <c r="F73" s="2499"/>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6" t="s">
        <v>2957</v>
      </c>
      <c r="B74" s="1724" t="str">
        <f>估价对象房地状况!C21</f>
        <v>估价对象所在区域公共配套设施齐备情况</v>
      </c>
      <c r="C74" s="2768"/>
      <c r="D74" s="1285">
        <f t="shared" si="20"/>
        <v>0</v>
      </c>
      <c r="E74" s="822"/>
      <c r="F74" s="2499"/>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6" t="s">
        <v>2958</v>
      </c>
      <c r="B75" s="1724" t="str">
        <f>估价对象房地状况!C22</f>
        <v>估价对象所在区域基础设施水平</v>
      </c>
      <c r="C75" s="2768"/>
      <c r="D75" s="1285">
        <f t="shared" si="20"/>
        <v>0</v>
      </c>
      <c r="E75" s="822"/>
      <c r="F75" s="2499"/>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36">
      <c r="A76" s="2876" t="s">
        <v>2955</v>
      </c>
      <c r="B76" s="2882" t="s">
        <v>2956</v>
      </c>
      <c r="C76" s="2768"/>
      <c r="D76" s="1285">
        <f t="shared" si="20"/>
        <v>0</v>
      </c>
      <c r="E76" s="822"/>
      <c r="F76" s="2499"/>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9.6">
      <c r="A77" s="2876" t="s">
        <v>2959</v>
      </c>
      <c r="B77" s="2879" t="str">
        <f>估价对象房地状况!C20</f>
        <v>区域自然环境：；人文环境；综合评价环境状况一般</v>
      </c>
      <c r="C77" s="2768"/>
      <c r="D77" s="1285">
        <f t="shared" si="20"/>
        <v>0</v>
      </c>
      <c r="E77" s="822"/>
      <c r="F77" s="2499"/>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36.6" thickBot="1">
      <c r="A78" s="2884" t="s">
        <v>2966</v>
      </c>
      <c r="B78" s="2888"/>
      <c r="C78" s="2768"/>
      <c r="D78" s="1285">
        <f t="shared" si="20"/>
        <v>0</v>
      </c>
      <c r="E78" s="823"/>
      <c r="F78" s="2499"/>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4.4">
      <c r="A79" s="2872" t="s">
        <v>2967</v>
      </c>
      <c r="B79" s="2873">
        <f>1+E81</f>
        <v>1.0298</v>
      </c>
      <c r="C79" s="810"/>
      <c r="D79" s="810"/>
      <c r="E79" s="811"/>
      <c r="F79" s="2875"/>
      <c r="G79" s="6"/>
      <c r="H79" s="6"/>
      <c r="I79" s="6"/>
      <c r="J79" s="7"/>
      <c r="K79" s="7"/>
      <c r="L79" s="7"/>
      <c r="M79" s="7"/>
      <c r="N79" s="7"/>
      <c r="Z79" s="2718"/>
      <c r="AA79" s="2794"/>
      <c r="AG79" s="1371"/>
      <c r="AK79" s="2794"/>
    </row>
    <row r="80" spans="1:37" ht="25.2">
      <c r="A80" s="2876" t="s">
        <v>2941</v>
      </c>
      <c r="B80" s="1808"/>
      <c r="C80" s="1808" t="s">
        <v>2943</v>
      </c>
      <c r="D80" s="1808" t="s">
        <v>2944</v>
      </c>
      <c r="E80" s="815" t="s">
        <v>2945</v>
      </c>
      <c r="F80" s="2877" t="s">
        <v>2961</v>
      </c>
      <c r="G80" s="1808" t="s">
        <v>754</v>
      </c>
      <c r="H80" s="2878" t="s">
        <v>2947</v>
      </c>
      <c r="I80" s="1808" t="s">
        <v>2948</v>
      </c>
      <c r="J80" s="601" t="s">
        <v>2596</v>
      </c>
      <c r="K80" s="601" t="s">
        <v>2597</v>
      </c>
      <c r="L80" s="601" t="s">
        <v>2598</v>
      </c>
      <c r="M80" s="601" t="s">
        <v>2599</v>
      </c>
      <c r="N80" s="601" t="s">
        <v>2600</v>
      </c>
      <c r="Z80" s="2718"/>
      <c r="AA80" s="2794"/>
      <c r="AG80" s="1371"/>
      <c r="AK80" s="2794"/>
    </row>
    <row r="81" spans="1:37" ht="39.6">
      <c r="A81" s="2876" t="s">
        <v>2968</v>
      </c>
      <c r="B81" s="2880" t="str">
        <f>估价对象房地状况!G15</f>
        <v>估价对象位于XX开发区，园区建设成熟度XX，产业集聚程度XX</v>
      </c>
      <c r="C81" s="2768" t="s">
        <v>3138</v>
      </c>
      <c r="D81" s="1285">
        <f t="shared" ref="D81:D88" si="25">SUMIF($J$80:$N$80,C81,J81:N81)</f>
        <v>0</v>
      </c>
      <c r="E81" s="817">
        <f>ROUND(SUM(D81:D88),4)</f>
        <v>2.98E-2</v>
      </c>
      <c r="F81" s="2499">
        <f>IF(E2="工业",SUMIF(L1:L12,G2,N1:N12),"——")</f>
        <v>0.15</v>
      </c>
      <c r="G81" s="1283">
        <v>1.95E-2</v>
      </c>
      <c r="H81" s="1287">
        <f t="shared" ref="H81:H88" si="26">IFERROR(ROUNDDOWN($F$81*I81/2,4),"——")</f>
        <v>1.95E-2</v>
      </c>
      <c r="I81" s="816">
        <v>0.26</v>
      </c>
      <c r="J81" s="1284">
        <f t="shared" ref="J81:J88" si="27">K81+$G81</f>
        <v>3.9E-2</v>
      </c>
      <c r="K81" s="1284">
        <f t="shared" ref="K81:K88" si="28">$L81+$G81</f>
        <v>1.95E-2</v>
      </c>
      <c r="L81" s="1284">
        <v>0</v>
      </c>
      <c r="M81" s="1284">
        <f t="shared" ref="M81:N88" si="29">L81-$G81</f>
        <v>-1.95E-2</v>
      </c>
      <c r="N81" s="1284">
        <f t="shared" si="29"/>
        <v>-3.9E-2</v>
      </c>
      <c r="Z81" s="2718"/>
      <c r="AA81" s="2794"/>
      <c r="AG81" s="1371"/>
      <c r="AK81" s="2794"/>
    </row>
    <row r="82" spans="1:37" ht="66">
      <c r="A82" s="2876" t="s">
        <v>2950</v>
      </c>
      <c r="B82" s="2880" t="str">
        <f>估价对象房地状况!G16</f>
        <v>估价对象周边道路状况、公共交通通达情况、停车便捷程度，综合评价交通便捷度较好</v>
      </c>
      <c r="C82" s="2768" t="s">
        <v>3138</v>
      </c>
      <c r="D82" s="1285">
        <f t="shared" si="25"/>
        <v>0</v>
      </c>
      <c r="E82" s="822"/>
      <c r="F82" s="2499"/>
      <c r="G82" s="1283">
        <v>2.47E-2</v>
      </c>
      <c r="H82" s="1287">
        <f t="shared" si="26"/>
        <v>2.47E-2</v>
      </c>
      <c r="I82" s="816">
        <v>0.33</v>
      </c>
      <c r="J82" s="1284">
        <f t="shared" si="27"/>
        <v>4.9399999999999999E-2</v>
      </c>
      <c r="K82" s="1284">
        <f t="shared" si="28"/>
        <v>2.47E-2</v>
      </c>
      <c r="L82" s="1284">
        <v>0</v>
      </c>
      <c r="M82" s="1284">
        <f t="shared" si="29"/>
        <v>-2.47E-2</v>
      </c>
      <c r="N82" s="1284">
        <f t="shared" si="29"/>
        <v>-4.9399999999999999E-2</v>
      </c>
      <c r="Z82" s="2718"/>
      <c r="AA82" s="2794"/>
      <c r="AG82" s="1371"/>
      <c r="AK82" s="2794"/>
    </row>
    <row r="83" spans="1:37" ht="24">
      <c r="A83" s="2876" t="s">
        <v>2951</v>
      </c>
      <c r="B83" s="2880">
        <f>估价对象房地状况!G17</f>
        <v>0</v>
      </c>
      <c r="C83" s="2768" t="s">
        <v>3139</v>
      </c>
      <c r="D83" s="1285">
        <f t="shared" si="25"/>
        <v>3.7000000000000002E-3</v>
      </c>
      <c r="E83" s="822"/>
      <c r="F83" s="2499"/>
      <c r="G83" s="1283">
        <v>3.7000000000000002E-3</v>
      </c>
      <c r="H83" s="1287">
        <f t="shared" si="26"/>
        <v>3.7000000000000002E-3</v>
      </c>
      <c r="I83" s="816">
        <v>0.05</v>
      </c>
      <c r="J83" s="1284">
        <f t="shared" si="27"/>
        <v>7.4000000000000003E-3</v>
      </c>
      <c r="K83" s="1284">
        <f t="shared" si="28"/>
        <v>3.7000000000000002E-3</v>
      </c>
      <c r="L83" s="1284">
        <v>0</v>
      </c>
      <c r="M83" s="1284">
        <f t="shared" si="29"/>
        <v>-3.7000000000000002E-3</v>
      </c>
      <c r="N83" s="1284">
        <f t="shared" si="29"/>
        <v>-7.4000000000000003E-3</v>
      </c>
      <c r="Z83" s="2718"/>
      <c r="AA83" s="2794"/>
      <c r="AG83" s="1371"/>
      <c r="AK83" s="2794"/>
    </row>
    <row r="84" spans="1:37" ht="13.8">
      <c r="A84" s="2876" t="s">
        <v>2965</v>
      </c>
      <c r="B84" s="2880">
        <f>估价对象房地状况!G22</f>
        <v>0</v>
      </c>
      <c r="C84" s="2768" t="s">
        <v>3138</v>
      </c>
      <c r="D84" s="1285">
        <f t="shared" si="25"/>
        <v>0</v>
      </c>
      <c r="E84" s="822"/>
      <c r="F84" s="2499"/>
      <c r="G84" s="1283">
        <v>3.0000000000000001E-3</v>
      </c>
      <c r="H84" s="1287">
        <f t="shared" si="26"/>
        <v>3.0000000000000001E-3</v>
      </c>
      <c r="I84" s="816">
        <v>0.04</v>
      </c>
      <c r="J84" s="1284">
        <f t="shared" si="27"/>
        <v>6.0000000000000001E-3</v>
      </c>
      <c r="K84" s="1284">
        <f t="shared" si="28"/>
        <v>3.0000000000000001E-3</v>
      </c>
      <c r="L84" s="1284">
        <v>0</v>
      </c>
      <c r="M84" s="1284">
        <f t="shared" si="29"/>
        <v>-3.0000000000000001E-3</v>
      </c>
      <c r="N84" s="1284">
        <f t="shared" si="29"/>
        <v>-6.0000000000000001E-3</v>
      </c>
      <c r="Z84" s="2718"/>
      <c r="AA84" s="2794"/>
      <c r="AG84" s="1371"/>
      <c r="AK84" s="2794"/>
    </row>
    <row r="85" spans="1:37" ht="26.4">
      <c r="A85" s="2876" t="s">
        <v>2957</v>
      </c>
      <c r="B85" s="1724" t="str">
        <f>估价对象房地状况!G19</f>
        <v>估价对象所在区域公共配套设施齐备情况</v>
      </c>
      <c r="C85" s="2768" t="s">
        <v>3138</v>
      </c>
      <c r="D85" s="1285">
        <f t="shared" si="25"/>
        <v>0</v>
      </c>
      <c r="E85" s="822"/>
      <c r="F85" s="2499"/>
      <c r="G85" s="1283">
        <v>4.4999999999999997E-3</v>
      </c>
      <c r="H85" s="1287">
        <f t="shared" si="26"/>
        <v>4.4999999999999997E-3</v>
      </c>
      <c r="I85" s="816">
        <v>0.06</v>
      </c>
      <c r="J85" s="1284">
        <f t="shared" si="27"/>
        <v>8.9999999999999993E-3</v>
      </c>
      <c r="K85" s="1284">
        <f t="shared" si="28"/>
        <v>4.4999999999999997E-3</v>
      </c>
      <c r="L85" s="1284">
        <v>0</v>
      </c>
      <c r="M85" s="1284">
        <f t="shared" si="29"/>
        <v>-4.4999999999999997E-3</v>
      </c>
      <c r="N85" s="1284">
        <f t="shared" si="29"/>
        <v>-8.9999999999999993E-3</v>
      </c>
      <c r="Z85" s="2718"/>
      <c r="AA85" s="2794"/>
      <c r="AG85" s="1371"/>
      <c r="AK85" s="2794"/>
    </row>
    <row r="86" spans="1:37" ht="26.4">
      <c r="A86" s="2876" t="s">
        <v>2958</v>
      </c>
      <c r="B86" s="1724" t="str">
        <f>估价对象房地状况!G20</f>
        <v>估价对象所在区域基础设施水平</v>
      </c>
      <c r="C86" s="2768" t="s">
        <v>3140</v>
      </c>
      <c r="D86" s="1285">
        <f t="shared" si="25"/>
        <v>2.24E-2</v>
      </c>
      <c r="E86" s="822"/>
      <c r="F86" s="2499"/>
      <c r="G86" s="1283">
        <v>1.12E-2</v>
      </c>
      <c r="H86" s="1287">
        <f t="shared" si="26"/>
        <v>1.12E-2</v>
      </c>
      <c r="I86" s="816">
        <v>0.15</v>
      </c>
      <c r="J86" s="1284">
        <f t="shared" si="27"/>
        <v>2.24E-2</v>
      </c>
      <c r="K86" s="1284">
        <f t="shared" si="28"/>
        <v>1.12E-2</v>
      </c>
      <c r="L86" s="1284">
        <v>0</v>
      </c>
      <c r="M86" s="1284">
        <f t="shared" si="29"/>
        <v>-1.12E-2</v>
      </c>
      <c r="N86" s="1284">
        <f t="shared" si="29"/>
        <v>-2.24E-2</v>
      </c>
      <c r="Z86" s="2718"/>
      <c r="AA86" s="2794"/>
      <c r="AG86" s="1371"/>
      <c r="AK86" s="2794"/>
    </row>
    <row r="87" spans="1:37" ht="36">
      <c r="A87" s="2876" t="s">
        <v>2955</v>
      </c>
      <c r="B87" s="2882" t="s">
        <v>2969</v>
      </c>
      <c r="C87" s="2768" t="s">
        <v>3139</v>
      </c>
      <c r="D87" s="1285">
        <f t="shared" si="25"/>
        <v>3.7000000000000002E-3</v>
      </c>
      <c r="E87" s="822"/>
      <c r="F87" s="2499"/>
      <c r="G87" s="1283">
        <v>3.7000000000000002E-3</v>
      </c>
      <c r="H87" s="1287">
        <f t="shared" si="26"/>
        <v>3.7000000000000002E-3</v>
      </c>
      <c r="I87" s="816">
        <v>0.05</v>
      </c>
      <c r="J87" s="1284">
        <f t="shared" si="27"/>
        <v>7.4000000000000003E-3</v>
      </c>
      <c r="K87" s="1284">
        <f t="shared" si="28"/>
        <v>3.7000000000000002E-3</v>
      </c>
      <c r="L87" s="1284">
        <v>0</v>
      </c>
      <c r="M87" s="1284">
        <f t="shared" si="29"/>
        <v>-3.7000000000000002E-3</v>
      </c>
      <c r="N87" s="1284">
        <f t="shared" si="29"/>
        <v>-7.4000000000000003E-3</v>
      </c>
      <c r="Z87" s="2718"/>
      <c r="AA87" s="2794"/>
      <c r="AG87" s="1371"/>
      <c r="AK87" s="2794"/>
    </row>
    <row r="88" spans="1:37" ht="53.4" thickBot="1">
      <c r="A88" s="2884" t="s">
        <v>2970</v>
      </c>
      <c r="B88" s="2889" t="str">
        <f>估价对象房地状况!G18</f>
        <v>该园区内是否有污染型企业，绿化情况，卫生条件，整体环境状况判断</v>
      </c>
      <c r="C88" s="2768" t="s">
        <v>3138</v>
      </c>
      <c r="D88" s="1285">
        <f t="shared" si="25"/>
        <v>0</v>
      </c>
      <c r="E88" s="823"/>
      <c r="F88" s="2499"/>
      <c r="G88" s="1283">
        <v>4.4999999999999997E-3</v>
      </c>
      <c r="H88" s="1287">
        <f t="shared" si="26"/>
        <v>4.4999999999999997E-3</v>
      </c>
      <c r="I88" s="820">
        <v>0.06</v>
      </c>
      <c r="J88" s="1284">
        <f t="shared" si="27"/>
        <v>8.9999999999999993E-3</v>
      </c>
      <c r="K88" s="1284">
        <f t="shared" si="28"/>
        <v>4.4999999999999997E-3</v>
      </c>
      <c r="L88" s="1284">
        <v>0</v>
      </c>
      <c r="M88" s="1284">
        <f t="shared" si="29"/>
        <v>-4.4999999999999997E-3</v>
      </c>
      <c r="N88" s="1284">
        <f t="shared" si="29"/>
        <v>-8.9999999999999993E-3</v>
      </c>
      <c r="Z88" s="2718"/>
      <c r="AA88" s="2794"/>
      <c r="AG88" s="1371"/>
      <c r="AK88" s="2794"/>
    </row>
    <row r="90" spans="1:37">
      <c r="A90" s="3646" t="s">
        <v>2971</v>
      </c>
      <c r="B90" s="3646"/>
      <c r="C90" s="3646"/>
      <c r="D90" s="3646"/>
      <c r="E90" s="3646"/>
      <c r="F90" s="3646"/>
      <c r="G90" s="3646"/>
      <c r="H90" s="3646"/>
      <c r="I90" s="3646"/>
      <c r="J90" s="3646"/>
      <c r="K90" s="2890"/>
      <c r="L90" s="2890"/>
      <c r="M90" s="2890"/>
      <c r="N90" s="2890"/>
    </row>
    <row r="91" spans="1:37">
      <c r="A91" s="3648" t="s">
        <v>2972</v>
      </c>
      <c r="B91" s="3648" t="s">
        <v>2973</v>
      </c>
      <c r="C91" s="2844" t="s">
        <v>2974</v>
      </c>
      <c r="D91" s="2845"/>
      <c r="E91" s="2845"/>
      <c r="F91" s="2845"/>
      <c r="G91" s="2845"/>
      <c r="H91" s="2845"/>
      <c r="I91" s="2845"/>
      <c r="J91" s="2891"/>
      <c r="K91" s="2892"/>
      <c r="L91" s="2892"/>
      <c r="M91" s="2892"/>
      <c r="N91" s="2892"/>
    </row>
    <row r="92" spans="1:37">
      <c r="A92" s="3648"/>
      <c r="B92" s="3648"/>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649"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650"/>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650"/>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650"/>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650"/>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650"/>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650"/>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651"/>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649" t="s">
        <v>2976</v>
      </c>
      <c r="B101" s="2897" t="s">
        <v>2977</v>
      </c>
      <c r="C101" s="2898">
        <f>$G$3</f>
        <v>1.5</v>
      </c>
      <c r="D101" s="2898">
        <f t="shared" ref="D101:N101" si="31">$G$3</f>
        <v>1.5</v>
      </c>
      <c r="E101" s="2898">
        <f t="shared" si="31"/>
        <v>1.5</v>
      </c>
      <c r="F101" s="2898">
        <f t="shared" si="31"/>
        <v>1.5</v>
      </c>
      <c r="G101" s="2898">
        <f t="shared" si="31"/>
        <v>1.5</v>
      </c>
      <c r="H101" s="2898">
        <f t="shared" si="31"/>
        <v>1.5</v>
      </c>
      <c r="I101" s="2898">
        <f t="shared" si="31"/>
        <v>1.5</v>
      </c>
      <c r="J101" s="2898">
        <f t="shared" si="31"/>
        <v>1.5</v>
      </c>
      <c r="K101" s="2898">
        <f t="shared" si="31"/>
        <v>1.5</v>
      </c>
      <c r="L101" s="2898">
        <f t="shared" si="31"/>
        <v>1.5</v>
      </c>
      <c r="M101" s="2898">
        <f t="shared" si="31"/>
        <v>1.5</v>
      </c>
      <c r="N101" s="2898">
        <f t="shared" si="31"/>
        <v>1.5</v>
      </c>
    </row>
    <row r="102" spans="1:14">
      <c r="A102" s="3650"/>
      <c r="B102" s="2893">
        <v>1</v>
      </c>
      <c r="C102" s="2894">
        <f>1.9362/C101</f>
        <v>1.2907999999999999</v>
      </c>
      <c r="D102" s="2894">
        <f>1.9362/D101</f>
        <v>1.2907999999999999</v>
      </c>
      <c r="E102" s="2894">
        <f>1.8629/E101</f>
        <v>1.2419333333333333</v>
      </c>
      <c r="F102" s="2894">
        <f>1.8629/F101</f>
        <v>1.2419333333333333</v>
      </c>
      <c r="G102" s="2894">
        <f>1.8629/G101</f>
        <v>1.2419333333333333</v>
      </c>
      <c r="H102" s="2894">
        <f>1.8629/H101</f>
        <v>1.2419333333333333</v>
      </c>
      <c r="I102" s="2894">
        <f>1.8629/I101</f>
        <v>1.2419333333333333</v>
      </c>
      <c r="J102" s="2894">
        <f>1.942/J101</f>
        <v>1.2946666666666666</v>
      </c>
      <c r="K102" s="2894">
        <f>1.942/K101</f>
        <v>1.2946666666666666</v>
      </c>
      <c r="L102" s="2894">
        <f>1.942/L101</f>
        <v>1.2946666666666666</v>
      </c>
      <c r="M102" s="2894">
        <f>1.942/M101</f>
        <v>1.2946666666666666</v>
      </c>
      <c r="N102" s="2894">
        <f>1.942/N101</f>
        <v>1.2946666666666666</v>
      </c>
    </row>
    <row r="103" spans="1:14">
      <c r="A103" s="3650"/>
      <c r="B103" s="2893">
        <v>2</v>
      </c>
      <c r="C103" s="2894">
        <f>1.4198/C101</f>
        <v>0.94653333333333334</v>
      </c>
      <c r="D103" s="2894">
        <f>1.4198/D101</f>
        <v>0.94653333333333334</v>
      </c>
      <c r="E103" s="2894">
        <f>1.3372/E101</f>
        <v>0.89146666666666663</v>
      </c>
      <c r="F103" s="2894">
        <f>1.3372/F101</f>
        <v>0.89146666666666663</v>
      </c>
      <c r="G103" s="2894">
        <f>1.3372/G101</f>
        <v>0.89146666666666663</v>
      </c>
      <c r="H103" s="2894">
        <f>1.3372/H101</f>
        <v>0.89146666666666663</v>
      </c>
      <c r="I103" s="2894">
        <f>1.3372/I101</f>
        <v>0.89146666666666663</v>
      </c>
      <c r="J103" s="2894">
        <f>1.2799/J101</f>
        <v>0.85326666666666673</v>
      </c>
      <c r="K103" s="2894">
        <f>1.2799/K101</f>
        <v>0.85326666666666673</v>
      </c>
      <c r="L103" s="2894">
        <f>1.2799/L101</f>
        <v>0.85326666666666673</v>
      </c>
      <c r="M103" s="2894">
        <f>1.2799/M101</f>
        <v>0.85326666666666673</v>
      </c>
      <c r="N103" s="2894">
        <f>1.2799/N101</f>
        <v>0.85326666666666673</v>
      </c>
    </row>
    <row r="104" spans="1:14">
      <c r="A104" s="3650"/>
      <c r="B104" s="2893">
        <v>3</v>
      </c>
      <c r="C104" s="2894">
        <f>1.1594/C101</f>
        <v>0.77293333333333336</v>
      </c>
      <c r="D104" s="2894">
        <f>1.1594/D101</f>
        <v>0.77293333333333336</v>
      </c>
      <c r="E104" s="2894">
        <f>1.0788/E101</f>
        <v>0.71919999999999995</v>
      </c>
      <c r="F104" s="2894">
        <f>1.0788/F101</f>
        <v>0.71919999999999995</v>
      </c>
      <c r="G104" s="2894">
        <f>1.0788/G101</f>
        <v>0.71919999999999995</v>
      </c>
      <c r="H104" s="2894">
        <f>1.0788/H101</f>
        <v>0.71919999999999995</v>
      </c>
      <c r="I104" s="2894">
        <f>1.0788/I101</f>
        <v>0.71919999999999995</v>
      </c>
      <c r="J104" s="2894">
        <f>1.0072/J101</f>
        <v>0.67146666666666677</v>
      </c>
      <c r="K104" s="2894">
        <f>1.0072/K101</f>
        <v>0.67146666666666677</v>
      </c>
      <c r="L104" s="2894">
        <f>1.0072/L101</f>
        <v>0.67146666666666677</v>
      </c>
      <c r="M104" s="2894">
        <f>1.0072/M101</f>
        <v>0.67146666666666677</v>
      </c>
      <c r="N104" s="2894">
        <f>1.0072/N101</f>
        <v>0.67146666666666677</v>
      </c>
    </row>
    <row r="105" spans="1:14">
      <c r="A105" s="3650"/>
      <c r="B105" s="2893">
        <v>4</v>
      </c>
      <c r="C105" s="2894">
        <f>0.9622/C101</f>
        <v>0.64146666666666674</v>
      </c>
      <c r="D105" s="2894">
        <f>0.9622/D101</f>
        <v>0.64146666666666674</v>
      </c>
      <c r="E105" s="2894">
        <f>0.8656/E101</f>
        <v>0.57706666666666673</v>
      </c>
      <c r="F105" s="2894">
        <f>0.8656/F101</f>
        <v>0.57706666666666673</v>
      </c>
      <c r="G105" s="2894">
        <f>0.8656/G101</f>
        <v>0.57706666666666673</v>
      </c>
      <c r="H105" s="2894">
        <f>0.8656/H101</f>
        <v>0.57706666666666673</v>
      </c>
      <c r="I105" s="2894">
        <f>0.8656/I101</f>
        <v>0.57706666666666673</v>
      </c>
      <c r="J105" s="2894">
        <f>0.7525/J101</f>
        <v>0.50166666666666659</v>
      </c>
      <c r="K105" s="2894">
        <f>0.7525/K101</f>
        <v>0.50166666666666659</v>
      </c>
      <c r="L105" s="2894">
        <f>0.7525/L101</f>
        <v>0.50166666666666659</v>
      </c>
      <c r="M105" s="2894">
        <f>0.7525/M101</f>
        <v>0.50166666666666659</v>
      </c>
      <c r="N105" s="2894">
        <f>0.7525/N101</f>
        <v>0.50166666666666659</v>
      </c>
    </row>
    <row r="106" spans="1:14">
      <c r="A106" s="3650"/>
      <c r="B106" s="2893">
        <v>5</v>
      </c>
      <c r="C106" s="2894">
        <f>0.8417/C101</f>
        <v>0.56113333333333337</v>
      </c>
      <c r="D106" s="2894">
        <f>0.8417/D101</f>
        <v>0.56113333333333337</v>
      </c>
      <c r="E106" s="2894">
        <f>0.7371/E101</f>
        <v>0.4914</v>
      </c>
      <c r="F106" s="2894">
        <f>0.7371/F101</f>
        <v>0.4914</v>
      </c>
      <c r="G106" s="2894">
        <f>0.7371/G101</f>
        <v>0.4914</v>
      </c>
      <c r="H106" s="2894">
        <f>0.7371/H101</f>
        <v>0.4914</v>
      </c>
      <c r="I106" s="2894">
        <f>0.7371/I101</f>
        <v>0.4914</v>
      </c>
      <c r="J106" s="2894">
        <f>0.5659/J101</f>
        <v>0.37726666666666664</v>
      </c>
      <c r="K106" s="2894">
        <f>0.5659/K101</f>
        <v>0.37726666666666664</v>
      </c>
      <c r="L106" s="2894">
        <f>0.5659/L101</f>
        <v>0.37726666666666664</v>
      </c>
      <c r="M106" s="2894">
        <f>0.5659/M101</f>
        <v>0.37726666666666664</v>
      </c>
      <c r="N106" s="2894">
        <f>0.5659/N101</f>
        <v>0.37726666666666664</v>
      </c>
    </row>
    <row r="107" spans="1:14">
      <c r="A107" s="3650"/>
      <c r="B107" s="2893">
        <v>6</v>
      </c>
      <c r="C107" s="2894">
        <f>0.7608/C101</f>
        <v>0.50719999999999998</v>
      </c>
      <c r="D107" s="2894">
        <f>0.7608/D101</f>
        <v>0.50719999999999998</v>
      </c>
      <c r="E107" s="2894">
        <f>0.6482/E101</f>
        <v>0.43213333333333331</v>
      </c>
      <c r="F107" s="2894">
        <f>0.6482/F101</f>
        <v>0.43213333333333331</v>
      </c>
      <c r="G107" s="2894">
        <f>0.6482/G101</f>
        <v>0.43213333333333331</v>
      </c>
      <c r="H107" s="2894">
        <f>0.6482/H101</f>
        <v>0.43213333333333331</v>
      </c>
      <c r="I107" s="2894">
        <f>0.6482/I101</f>
        <v>0.43213333333333331</v>
      </c>
      <c r="J107" s="2894">
        <f>0.4525/J101</f>
        <v>0.30166666666666669</v>
      </c>
      <c r="K107" s="2894">
        <f>0.4525/K101</f>
        <v>0.30166666666666669</v>
      </c>
      <c r="L107" s="2894">
        <f>0.4525/L101</f>
        <v>0.30166666666666669</v>
      </c>
      <c r="M107" s="2894">
        <f>0.4525/M101</f>
        <v>0.30166666666666669</v>
      </c>
      <c r="N107" s="2894">
        <f>0.4525/N101</f>
        <v>0.30166666666666669</v>
      </c>
    </row>
    <row r="108" spans="1:14">
      <c r="A108" s="3650"/>
      <c r="B108" s="3510"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651"/>
      <c r="B109" s="3511"/>
      <c r="C109" s="2896">
        <f>(-0.163*(C108^2)-0.59*C108+7617)*(10^(-4))/C101</f>
        <v>0.50780000000000003</v>
      </c>
      <c r="D109" s="2896">
        <f>(-0.163*(D108^2)-0.59*D108+7617)*(10^(-4))/D101</f>
        <v>0.50780000000000003</v>
      </c>
      <c r="E109" s="2896">
        <f>(-0.161*(E108^2)-7.509*E108+6533)*(10^(-4))/E101</f>
        <v>0.43553333333333333</v>
      </c>
      <c r="F109" s="2896">
        <f>(-0.161*(F108^2)-7.509*F108+6533)*(10^(-4))/F101</f>
        <v>0.43553333333333333</v>
      </c>
      <c r="G109" s="2896">
        <f>(-0.161*(G108^2)-7.509*G108+6533)*(10^(-4))/G101</f>
        <v>0.43553333333333333</v>
      </c>
      <c r="H109" s="2896">
        <f>(-0.161*(H108^2)-7.509*H108+6533)*(10^(-4))/H101</f>
        <v>0.43553333333333333</v>
      </c>
      <c r="I109" s="2896">
        <f>(-0.161*(I108^2)-7.509*I108+6533)*(10^(-4))/I101</f>
        <v>0.43553333333333333</v>
      </c>
      <c r="J109" s="2896">
        <f>(-0.214*(J108^2)-21.991*J108+4665)*(10^(-4))/J101</f>
        <v>0.311</v>
      </c>
      <c r="K109" s="2896">
        <f>(-0.214*(K108^2)-21.991*K108+4665)*(10^(-4))/K101</f>
        <v>0.311</v>
      </c>
      <c r="L109" s="2896">
        <f>(-0.214*(L108^2)-21.991*L108+4665)*(10^(-4))/L101</f>
        <v>0.311</v>
      </c>
      <c r="M109" s="2896">
        <f>(-0.214*(M108^2)-21.991*M108+4665)*(10^(-4))/M101</f>
        <v>0.311</v>
      </c>
      <c r="N109" s="2896">
        <f>(-0.214*(N108^2)-21.991*N108+4665)*(10^(-4))/N101</f>
        <v>0.311</v>
      </c>
    </row>
    <row r="110" spans="1:14">
      <c r="A110" s="3647" t="s">
        <v>2979</v>
      </c>
      <c r="B110" s="3647"/>
      <c r="C110" s="3647"/>
      <c r="D110" s="3647"/>
      <c r="E110" s="3647"/>
      <c r="F110" s="3647"/>
      <c r="G110" s="3647"/>
      <c r="H110" s="3647"/>
      <c r="I110" s="3647"/>
      <c r="J110" s="3647"/>
      <c r="K110" s="2899"/>
      <c r="L110" s="2899"/>
      <c r="M110" s="2899"/>
      <c r="N110" s="2899"/>
    </row>
    <row r="112" spans="1:14" ht="13.8" thickBot="1"/>
    <row r="113" spans="1:13" ht="25.8" thickBot="1">
      <c r="A113" s="899" t="s">
        <v>2980</v>
      </c>
      <c r="B113" s="1286">
        <f>G3</f>
        <v>1.5</v>
      </c>
      <c r="C113" s="900" t="s">
        <v>2981</v>
      </c>
      <c r="D113" s="901">
        <f>SUMPRODUCT((A115:A118=F113)*(B114:M114=H113)*B115:M118)</f>
        <v>0.54630000000000001</v>
      </c>
      <c r="E113" s="2722" t="s">
        <v>2812</v>
      </c>
      <c r="F113" s="2901" t="str">
        <f>E2</f>
        <v>工业</v>
      </c>
      <c r="G113" s="2722" t="s">
        <v>2813</v>
      </c>
      <c r="H113" s="2901" t="str">
        <f>G2</f>
        <v>十级</v>
      </c>
      <c r="I113" s="2722"/>
      <c r="J113" s="2902"/>
      <c r="K113" s="2902"/>
      <c r="L113" s="2902"/>
      <c r="M113" s="2902"/>
    </row>
    <row r="114" spans="1:13">
      <c r="A114" s="904"/>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5" t="s">
        <v>2877</v>
      </c>
      <c r="B115" s="906">
        <f>ROUND(0.9335-0.0094*B113,4)</f>
        <v>0.9194</v>
      </c>
      <c r="C115" s="906">
        <f>B115</f>
        <v>0.9194</v>
      </c>
      <c r="D115" s="906">
        <f>ROUND(0.8331-0.0109*B113,4)</f>
        <v>0.81679999999999997</v>
      </c>
      <c r="E115" s="906">
        <f>D115</f>
        <v>0.81679999999999997</v>
      </c>
      <c r="F115" s="906">
        <f>E115</f>
        <v>0.81679999999999997</v>
      </c>
      <c r="G115" s="906">
        <f>F115</f>
        <v>0.81679999999999997</v>
      </c>
      <c r="H115" s="906">
        <f>G115</f>
        <v>0.81679999999999997</v>
      </c>
      <c r="I115" s="906">
        <f>ROUND(0.689-0.0155*B113,4)</f>
        <v>0.66579999999999995</v>
      </c>
      <c r="J115" s="906">
        <f t="shared" ref="J115:M118" si="33">I115</f>
        <v>0.66579999999999995</v>
      </c>
      <c r="K115" s="906">
        <f t="shared" si="33"/>
        <v>0.66579999999999995</v>
      </c>
      <c r="L115" s="906">
        <f t="shared" si="33"/>
        <v>0.66579999999999995</v>
      </c>
      <c r="M115" s="907">
        <f t="shared" si="33"/>
        <v>0.66579999999999995</v>
      </c>
    </row>
    <row r="116" spans="1:13">
      <c r="A116" s="905" t="s">
        <v>2878</v>
      </c>
      <c r="B116" s="906">
        <f>ROUND(0.949-0.012*B113,4)</f>
        <v>0.93100000000000005</v>
      </c>
      <c r="C116" s="906">
        <f>B116</f>
        <v>0.93100000000000005</v>
      </c>
      <c r="D116" s="906">
        <f>ROUND(0.8567-0.013*B113,4)</f>
        <v>0.83720000000000006</v>
      </c>
      <c r="E116" s="906">
        <f t="shared" ref="E116:H117" si="34">D116</f>
        <v>0.83720000000000006</v>
      </c>
      <c r="F116" s="906">
        <f t="shared" si="34"/>
        <v>0.83720000000000006</v>
      </c>
      <c r="G116" s="906">
        <f t="shared" si="34"/>
        <v>0.83720000000000006</v>
      </c>
      <c r="H116" s="906">
        <f t="shared" si="34"/>
        <v>0.83720000000000006</v>
      </c>
      <c r="I116" s="906">
        <f>ROUND(0.7694-0.014*B113,4)</f>
        <v>0.74839999999999995</v>
      </c>
      <c r="J116" s="906">
        <f t="shared" si="33"/>
        <v>0.74839999999999995</v>
      </c>
      <c r="K116" s="906">
        <f t="shared" si="33"/>
        <v>0.74839999999999995</v>
      </c>
      <c r="L116" s="906">
        <f t="shared" si="33"/>
        <v>0.74839999999999995</v>
      </c>
      <c r="M116" s="907">
        <f t="shared" si="33"/>
        <v>0.74839999999999995</v>
      </c>
    </row>
    <row r="117" spans="1:13">
      <c r="A117" s="905" t="s">
        <v>2879</v>
      </c>
      <c r="B117" s="906">
        <f>ROUND(0.8808-0.006*B113,4)</f>
        <v>0.87180000000000002</v>
      </c>
      <c r="C117" s="906">
        <f>B117</f>
        <v>0.87180000000000002</v>
      </c>
      <c r="D117" s="906">
        <f>ROUND(0.8748-0.008*B113,4)</f>
        <v>0.86280000000000001</v>
      </c>
      <c r="E117" s="906">
        <f t="shared" si="34"/>
        <v>0.86280000000000001</v>
      </c>
      <c r="F117" s="906">
        <f t="shared" si="34"/>
        <v>0.86280000000000001</v>
      </c>
      <c r="G117" s="906">
        <f t="shared" si="34"/>
        <v>0.86280000000000001</v>
      </c>
      <c r="H117" s="906">
        <f t="shared" si="34"/>
        <v>0.86280000000000001</v>
      </c>
      <c r="I117" s="906">
        <f>ROUND(0.7412-0.0095*B113,4)</f>
        <v>0.72699999999999998</v>
      </c>
      <c r="J117" s="906">
        <f t="shared" si="33"/>
        <v>0.72699999999999998</v>
      </c>
      <c r="K117" s="906">
        <f t="shared" si="33"/>
        <v>0.72699999999999998</v>
      </c>
      <c r="L117" s="906">
        <f t="shared" si="33"/>
        <v>0.72699999999999998</v>
      </c>
      <c r="M117" s="907">
        <f t="shared" si="33"/>
        <v>0.72699999999999998</v>
      </c>
    </row>
    <row r="118" spans="1:13" ht="13.8" thickBot="1">
      <c r="A118" s="712" t="s">
        <v>2880</v>
      </c>
      <c r="B118" s="908">
        <f>ROUND(0.7275-0.01*B113,4)</f>
        <v>0.71250000000000002</v>
      </c>
      <c r="C118" s="908">
        <f>B118</f>
        <v>0.71250000000000002</v>
      </c>
      <c r="D118" s="908">
        <f>ROUND(0.7043-0.012*B113,4)</f>
        <v>0.68630000000000002</v>
      </c>
      <c r="E118" s="908">
        <f>D118</f>
        <v>0.68630000000000002</v>
      </c>
      <c r="F118" s="908">
        <f>E118</f>
        <v>0.68630000000000002</v>
      </c>
      <c r="G118" s="908">
        <f>ROUND(0.6299-0.0122*B113,4)</f>
        <v>0.61160000000000003</v>
      </c>
      <c r="H118" s="908">
        <f>G118</f>
        <v>0.61160000000000003</v>
      </c>
      <c r="I118" s="908">
        <f>ROUND(0.5667-0.0136*B113,4)</f>
        <v>0.54630000000000001</v>
      </c>
      <c r="J118" s="908">
        <f t="shared" si="33"/>
        <v>0.54630000000000001</v>
      </c>
      <c r="K118" s="908">
        <f t="shared" si="33"/>
        <v>0.54630000000000001</v>
      </c>
      <c r="L118" s="908">
        <f t="shared" si="33"/>
        <v>0.54630000000000001</v>
      </c>
      <c r="M118" s="90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0" zoomScaleNormal="80" workbookViewId="0">
      <selection activeCell="C8" sqref="C8"/>
    </sheetView>
  </sheetViews>
  <sheetFormatPr defaultColWidth="6.6640625" defaultRowHeight="13.2"/>
  <cols>
    <col min="1" max="1" width="9.77734375" style="795" customWidth="1"/>
    <col min="2" max="2" width="25.77734375" style="951" customWidth="1"/>
    <col min="3" max="3" width="10.33203125" style="994" customWidth="1"/>
    <col min="4" max="4" width="9.88671875" style="951" customWidth="1"/>
    <col min="5" max="5" width="9.44140625" style="795"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8" t="s">
        <v>2461</v>
      </c>
      <c r="B1" s="1580"/>
      <c r="C1" s="1581"/>
      <c r="D1" s="1579"/>
      <c r="E1" s="318"/>
      <c r="F1" s="318"/>
      <c r="G1" s="1580"/>
      <c r="H1" s="318"/>
      <c r="I1" s="318"/>
      <c r="J1" s="318"/>
      <c r="K1" s="318">
        <f>MATCH(C1,'数据-取费表'!A6:A16,0)+5</f>
        <v>9</v>
      </c>
    </row>
    <row r="2" spans="1:33" ht="18" customHeight="1">
      <c r="A2" s="243" t="s">
        <v>2329</v>
      </c>
      <c r="B2" s="246">
        <f ca="1">C32</f>
        <v>37669</v>
      </c>
      <c r="C2" s="318" t="s">
        <v>2462</v>
      </c>
      <c r="D2" s="318"/>
      <c r="E2" s="318"/>
      <c r="F2" s="318"/>
      <c r="G2" s="318"/>
      <c r="H2" s="318"/>
      <c r="I2" s="318"/>
      <c r="J2" s="318"/>
      <c r="K2" s="318"/>
    </row>
    <row r="3" spans="1:33" ht="18" customHeight="1" thickBot="1">
      <c r="A3" s="245" t="s">
        <v>2331</v>
      </c>
      <c r="B3" s="246">
        <f ca="1">ROUND(B2*10000/IF(C1="",'数据-汇总表'!E3,INDIRECT("'数据-取费表'!K"&amp;$K$1)),0)</f>
        <v>3646</v>
      </c>
      <c r="C3" s="318" t="s">
        <v>2463</v>
      </c>
      <c r="D3" s="318"/>
      <c r="E3" s="318"/>
      <c r="F3" s="318"/>
      <c r="G3" s="318"/>
      <c r="H3" s="318"/>
      <c r="I3" s="318"/>
      <c r="J3" s="318"/>
      <c r="K3" s="318"/>
    </row>
    <row r="4" spans="1:33" s="955" customFormat="1" ht="16.5" customHeight="1">
      <c r="A4" s="952" t="s">
        <v>2464</v>
      </c>
      <c r="B4" s="953"/>
      <c r="C4" s="995">
        <f ca="1">SUM(C8:K8)</f>
        <v>59627</v>
      </c>
      <c r="D4" s="953"/>
      <c r="E4" s="953"/>
      <c r="F4" s="953"/>
      <c r="G4" s="953"/>
      <c r="H4" s="953"/>
      <c r="I4" s="953"/>
      <c r="J4" s="953"/>
      <c r="K4" s="954"/>
    </row>
    <row r="5" spans="1:33" s="959" customFormat="1" ht="14.4">
      <c r="A5" s="956" t="s">
        <v>2465</v>
      </c>
      <c r="B5" s="957" t="s">
        <v>2466</v>
      </c>
      <c r="C5" s="2552" t="s">
        <v>3123</v>
      </c>
      <c r="D5" s="2552" t="s">
        <v>3124</v>
      </c>
      <c r="E5" s="2552" t="s">
        <v>48</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8" t="s">
        <v>2467</v>
      </c>
      <c r="C6" s="961">
        <f ca="1">收益法!B3</f>
        <v>6936</v>
      </c>
      <c r="D6" s="961">
        <f ca="1">收益法地下厂房!B3</f>
        <v>3332</v>
      </c>
      <c r="E6" s="961">
        <f ca="1">收益法地下车库!B3</f>
        <v>3388</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8" t="s">
        <v>2469</v>
      </c>
      <c r="C7" s="319">
        <f>SUMIF('数据-汇总表'!$C19:$C33,假设开发法!C5,'数据-汇总表'!$E19:$E33)</f>
        <v>75800.5</v>
      </c>
      <c r="D7" s="319">
        <f>SUMIF('数据-汇总表'!$C19:$C33,假设开发法!D5,'数据-汇总表'!$E19:$E33)</f>
        <v>8295.2800000000007</v>
      </c>
      <c r="E7" s="319">
        <f>SUMIF('数据-汇总表'!$C19:$C33,假设开发法!E5,'数据-汇总表'!$E19:$E33)</f>
        <v>12648.5</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2470</v>
      </c>
      <c r="B8" s="175" t="s">
        <v>2471</v>
      </c>
      <c r="C8" s="996">
        <f ca="1">收益法!B2</f>
        <v>52578</v>
      </c>
      <c r="D8" s="996">
        <f ca="1">收益法地下厂房!B2</f>
        <v>2764</v>
      </c>
      <c r="E8" s="996">
        <f ca="1">收益法地下车库!B2</f>
        <v>4285</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1334</v>
      </c>
      <c r="B11" s="971" t="s">
        <v>2479</v>
      </c>
      <c r="C11" s="321">
        <f ca="1">IF(C1="",'数据-取费表'!P16,INDIRECT("'数据-取费表'!p"&amp;$K$1)+INDIRECT("'数据-取费表'!ar"&amp;$K$1))</f>
        <v>8763</v>
      </c>
      <c r="D11" s="972"/>
      <c r="E11" s="373"/>
      <c r="F11" s="973">
        <f ca="1">1-IF('数据-取费表'!B24=0,1,IF(C1="",'数据-取费表'!N16,INDIRECT("'数据-取费表'!n"&amp;$K$1)))</f>
        <v>0.35199999999999998</v>
      </c>
      <c r="G11" s="8"/>
      <c r="H11" s="967"/>
      <c r="I11" s="967"/>
      <c r="J11" s="967"/>
      <c r="K11" s="968"/>
    </row>
    <row r="12" spans="1:33" s="974" customFormat="1" ht="13.5" customHeight="1">
      <c r="A12" s="970" t="s">
        <v>1335</v>
      </c>
      <c r="B12" s="971" t="s">
        <v>2480</v>
      </c>
      <c r="C12" s="23">
        <f ca="1">ROUND(C11*F12,0)</f>
        <v>351</v>
      </c>
      <c r="D12" s="972"/>
      <c r="E12" s="373"/>
      <c r="F12" s="975">
        <f>'数据-取费表'!B33</f>
        <v>0.04</v>
      </c>
      <c r="G12" s="8" t="s">
        <v>2481</v>
      </c>
      <c r="H12" s="967"/>
      <c r="I12" s="967"/>
      <c r="J12" s="967"/>
      <c r="K12" s="968"/>
    </row>
    <row r="13" spans="1:33" s="974" customFormat="1" ht="13.5" customHeight="1">
      <c r="A13" s="970" t="s">
        <v>1336</v>
      </c>
      <c r="B13" s="971" t="s">
        <v>2482</v>
      </c>
      <c r="C13" s="23">
        <f ca="1">ROUND(IF(C1="",SUMIF('数据-取费表'!C:C,"住宅",'数据-取费表'!P:P)*F13,IF(INDIRECT("'数据-取费表'!c"&amp;$K$1)="住宅",INDIRECT("'数据-取费表'!P"&amp;$K$1)*F13,0)),0)</f>
        <v>0</v>
      </c>
      <c r="D13" s="1032"/>
      <c r="E13" s="373"/>
      <c r="F13" s="975">
        <f>'数据-取费表'!B34</f>
        <v>0.05</v>
      </c>
      <c r="G13" s="8" t="s">
        <v>2483</v>
      </c>
      <c r="H13" s="967"/>
      <c r="I13" s="967"/>
      <c r="J13" s="967"/>
      <c r="K13" s="968"/>
    </row>
    <row r="14" spans="1:33" s="976" customFormat="1" ht="13.5" customHeight="1">
      <c r="A14" s="970" t="s">
        <v>1337</v>
      </c>
      <c r="B14" s="971" t="s">
        <v>2484</v>
      </c>
      <c r="C14" s="23">
        <f ca="1">ROUND(D14*E14*F11/10000,0)</f>
        <v>727</v>
      </c>
      <c r="D14" s="1032">
        <f ca="1">IF(C1="",'数据-汇总表'!E3,INDIRECT("'数据-取费表'!K"&amp;$K$1)+INDIRECT("'数据-取费表'!S"&amp;$K$1))</f>
        <v>103304.44</v>
      </c>
      <c r="E14" s="23">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2486</v>
      </c>
      <c r="C15" s="982">
        <f ca="1">ROUND(C11*F15,0)</f>
        <v>131</v>
      </c>
      <c r="D15" s="977"/>
      <c r="E15" s="982"/>
      <c r="F15" s="983">
        <f>'数据-取费表'!B36</f>
        <v>1.4999999999999999E-2</v>
      </c>
      <c r="G15" s="138"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9972</v>
      </c>
      <c r="D16" s="977"/>
      <c r="E16" s="982"/>
      <c r="F16" s="983"/>
      <c r="G16" s="138"/>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3">
        <f ca="1">ROUND(D17*E17/10000,0)</f>
        <v>0</v>
      </c>
      <c r="D17" s="1032">
        <f ca="1">D14</f>
        <v>103304.44</v>
      </c>
      <c r="E17" s="23">
        <f>'数据-取费表'!B32</f>
        <v>0</v>
      </c>
      <c r="F17" s="977"/>
      <c r="G17" s="138" t="s">
        <v>2490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2491</v>
      </c>
      <c r="C18" s="23">
        <f ca="1">C19+C20-IF(C1="",'数据-取费表'!B29,IF(G18="已全部缴纳",C19+C20,H18))</f>
        <v>1963</v>
      </c>
      <c r="D18" s="1032"/>
      <c r="E18" s="23"/>
      <c r="F18" s="975"/>
      <c r="G18" s="2554" t="s">
        <v>3125</v>
      </c>
      <c r="H18" s="1576"/>
      <c r="I18" s="2555" t="s">
        <v>2492</v>
      </c>
      <c r="J18" s="978"/>
      <c r="K18" s="979"/>
    </row>
    <row r="19" spans="1:33" s="974" customFormat="1" ht="13.5" customHeight="1">
      <c r="A19" s="970" t="s">
        <v>805</v>
      </c>
      <c r="B19" s="971" t="s">
        <v>2493</v>
      </c>
      <c r="C19" s="23">
        <f ca="1">ROUND(D19*E19/10000,0)</f>
        <v>0</v>
      </c>
      <c r="D19" s="1032">
        <f ca="1">IF(C1="",'数据-汇总表'!E5,IF(INDIRECT("'数据-取费表'!c"&amp;$K$1)="住宅",INDIRECT("'数据-取费表'!k"&amp;$K$1),0))</f>
        <v>0</v>
      </c>
      <c r="E19" s="23">
        <f>'数据-取费表'!B27</f>
        <v>0</v>
      </c>
      <c r="F19" s="975"/>
      <c r="G19" s="14"/>
      <c r="H19" s="1578"/>
      <c r="I19" s="980"/>
      <c r="J19" s="980"/>
      <c r="K19" s="981"/>
    </row>
    <row r="20" spans="1:33" s="974" customFormat="1" ht="13.5" customHeight="1">
      <c r="A20" s="970" t="s">
        <v>806</v>
      </c>
      <c r="B20" s="971" t="s">
        <v>2494</v>
      </c>
      <c r="C20" s="23">
        <f ca="1">ROUND(D20*E20/10000,0)</f>
        <v>1963</v>
      </c>
      <c r="D20" s="1032">
        <f ca="1">IF(C1="",'数据-汇总表'!E6,IF(INDIRECT("'数据-取费表'!c"&amp;$K$1)="住宅",INDIRECT("'数据-取费表'!s"&amp;$K$1),INDIRECT("'数据-取费表'!k"&amp;$K$1)+INDIRECT("'数据-取费表'!s"&amp;$K$1)))</f>
        <v>103304.44</v>
      </c>
      <c r="E20" s="23">
        <f>'数据-取费表'!B28</f>
        <v>190</v>
      </c>
      <c r="F20" s="975"/>
      <c r="G20" s="14"/>
      <c r="H20" s="980"/>
      <c r="I20" s="980"/>
      <c r="J20" s="980"/>
      <c r="K20" s="981"/>
    </row>
    <row r="21" spans="1:33" s="974" customFormat="1" ht="13.5" customHeight="1">
      <c r="A21" s="960" t="s">
        <v>802</v>
      </c>
      <c r="B21" s="984" t="s">
        <v>2495</v>
      </c>
      <c r="C21" s="985">
        <f ca="1">C16+C17+C18</f>
        <v>11935</v>
      </c>
      <c r="D21" s="986"/>
      <c r="E21" s="323"/>
      <c r="F21" s="323"/>
      <c r="G21" s="138" t="s">
        <v>2496</v>
      </c>
      <c r="H21" s="978"/>
      <c r="I21" s="978"/>
      <c r="J21" s="978"/>
      <c r="K21" s="979"/>
    </row>
    <row r="22" spans="1:33" s="974" customFormat="1" ht="13.5" customHeight="1">
      <c r="A22" s="960" t="s">
        <v>2468</v>
      </c>
      <c r="B22" s="984" t="s">
        <v>2497</v>
      </c>
      <c r="C22" s="985">
        <f ca="1">ROUND(C21*F22,0)</f>
        <v>239</v>
      </c>
      <c r="D22" s="323"/>
      <c r="E22" s="323"/>
      <c r="F22" s="987">
        <f>'数据-取费表'!B37</f>
        <v>0.02</v>
      </c>
      <c r="G22" s="8" t="s">
        <v>2498</v>
      </c>
      <c r="H22" s="967"/>
      <c r="I22" s="967"/>
      <c r="J22" s="967"/>
      <c r="K22" s="968"/>
    </row>
    <row r="23" spans="1:33" s="974" customFormat="1" ht="13.5" customHeight="1">
      <c r="A23" s="960" t="s">
        <v>2470</v>
      </c>
      <c r="B23" s="984" t="s">
        <v>2499</v>
      </c>
      <c r="C23" s="985">
        <f ca="1">ROUND(C4*F23*F11,0)</f>
        <v>420</v>
      </c>
      <c r="D23" s="323"/>
      <c r="E23" s="323"/>
      <c r="F23" s="987">
        <f>'数据-取费表'!B38</f>
        <v>0.02</v>
      </c>
      <c r="G23" s="8" t="s">
        <v>2500</v>
      </c>
      <c r="H23" s="967"/>
      <c r="I23" s="967"/>
      <c r="J23" s="967"/>
      <c r="K23" s="968"/>
    </row>
    <row r="24" spans="1:33" s="974" customFormat="1" ht="13.5" customHeight="1">
      <c r="A24" s="960" t="s">
        <v>2501</v>
      </c>
      <c r="B24" s="984" t="s">
        <v>2502</v>
      </c>
      <c r="C24" s="322">
        <f>ROUND(F24/(1+'数据-取费表'!C42),4)</f>
        <v>2.9000000000000001E-2</v>
      </c>
      <c r="D24" s="323" t="s">
        <v>15</v>
      </c>
      <c r="E24" s="323"/>
      <c r="F24" s="987">
        <f>'数据-取费表'!B48+'数据-取费表'!B49</f>
        <v>3.0499999999999999E-2</v>
      </c>
      <c r="G24" s="8" t="s">
        <v>2503</v>
      </c>
      <c r="H24" s="989"/>
      <c r="I24" s="989"/>
      <c r="J24" s="989"/>
      <c r="K24" s="990"/>
    </row>
    <row r="25" spans="1:33" s="974" customFormat="1" ht="13.5" customHeight="1">
      <c r="A25" s="960" t="s">
        <v>2504</v>
      </c>
      <c r="B25" s="986" t="s">
        <v>2505</v>
      </c>
      <c r="C25" s="1355">
        <f ca="1">C27</f>
        <v>206</v>
      </c>
      <c r="D25" s="322">
        <f ca="1">C26</f>
        <v>3.4000000000000002E-2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3.4000000000000002E-2</v>
      </c>
      <c r="D26" s="326"/>
      <c r="E26" s="327"/>
      <c r="F26" s="328"/>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206</v>
      </c>
      <c r="D27" s="326"/>
      <c r="E27" s="327"/>
      <c r="F27" s="328"/>
      <c r="G27" s="2556" t="str">
        <f>IF('数据-取费表'!B22&lt;=1,"（1）-（3）项×年利率×建设期÷2","（1）-（3）项×((1+年利率)^(建设期÷2)-1)")</f>
        <v>（1）-（3）项×((1+年利率)^(建设期÷2)-1)</v>
      </c>
      <c r="H27" s="978"/>
      <c r="I27" s="978"/>
      <c r="J27" s="978"/>
      <c r="K27" s="979"/>
    </row>
    <row r="28" spans="1:33" s="331" customFormat="1" ht="13.5" customHeight="1">
      <c r="A28" s="960" t="s">
        <v>2508</v>
      </c>
      <c r="B28" s="2557" t="s">
        <v>2509</v>
      </c>
      <c r="C28" s="329">
        <f ca="1">C30</f>
        <v>1763</v>
      </c>
      <c r="D28" s="322">
        <f ca="1">C29</f>
        <v>5.04E-2</v>
      </c>
      <c r="E28" s="324" t="s">
        <v>15</v>
      </c>
      <c r="F28" s="330">
        <f ca="1">IF(C1="",'数据-取费表'!Q16,INDIRECT("'数据-取费表'!q"&amp;$K$1))</f>
        <v>0.14000000000000001</v>
      </c>
      <c r="G28" s="988"/>
      <c r="H28" s="989"/>
      <c r="I28" s="989"/>
      <c r="J28" s="989"/>
      <c r="K28" s="990"/>
    </row>
    <row r="29" spans="1:33" s="333" customFormat="1" ht="13.5" customHeight="1">
      <c r="A29" s="970" t="s">
        <v>803</v>
      </c>
      <c r="B29" s="993" t="s">
        <v>2510</v>
      </c>
      <c r="C29" s="326">
        <f ca="1">ROUND((1+C24)*F28*'数据-取费表'!B24/'数据-取费表'!B20,4)</f>
        <v>5.04E-2</v>
      </c>
      <c r="D29" s="326"/>
      <c r="E29" s="327"/>
      <c r="F29" s="332"/>
      <c r="G29" s="138" t="s">
        <v>2511</v>
      </c>
      <c r="H29" s="978"/>
      <c r="I29" s="978"/>
      <c r="J29" s="978"/>
      <c r="K29" s="979"/>
    </row>
    <row r="30" spans="1:33" s="333" customFormat="1" ht="13.5" customHeight="1">
      <c r="A30" s="970" t="s">
        <v>804</v>
      </c>
      <c r="B30" s="993" t="s">
        <v>2512</v>
      </c>
      <c r="C30" s="334">
        <f ca="1">ROUND((C21+C22+C23)*F28,0)</f>
        <v>1763</v>
      </c>
      <c r="D30" s="326"/>
      <c r="E30" s="327"/>
      <c r="F30" s="332"/>
      <c r="G30" s="138"/>
      <c r="H30" s="978"/>
      <c r="I30" s="978"/>
      <c r="J30" s="978"/>
      <c r="K30" s="979"/>
    </row>
    <row r="31" spans="1:33" s="974" customFormat="1" ht="13.5" customHeight="1" thickBot="1">
      <c r="A31" s="2558" t="s">
        <v>2513</v>
      </c>
      <c r="B31" s="1004" t="s">
        <v>2514</v>
      </c>
      <c r="C31" s="1005">
        <f ca="1">ROUND(C4*F31/(1+'数据-取费表'!C42),0)</f>
        <v>3123</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37669</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8" sqref="J3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3123</v>
      </c>
      <c r="D1" s="1819" t="s">
        <v>3298</v>
      </c>
      <c r="E1" s="1820" t="s">
        <v>1387</v>
      </c>
      <c r="F1" s="1282">
        <f ca="1">J53</f>
        <v>44.51</v>
      </c>
      <c r="G1" s="183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52578</v>
      </c>
      <c r="C2" s="1844" t="s">
        <v>1516</v>
      </c>
      <c r="D2" s="1844"/>
      <c r="E2" s="1845"/>
      <c r="F2" s="1846"/>
      <c r="G2" s="1847"/>
      <c r="H2" s="1839"/>
      <c r="I2" s="1839"/>
      <c r="J2" s="1839"/>
      <c r="K2" s="1840"/>
      <c r="L2" s="1839"/>
      <c r="M2" s="1839"/>
    </row>
    <row r="3" spans="1:37" ht="18" customHeight="1" thickBot="1">
      <c r="A3" s="1848" t="s">
        <v>1517</v>
      </c>
      <c r="B3" s="1849">
        <f ca="1">IF(ISERROR(B2*10000/F43),0,ROUND(B2*10000/F43,0))</f>
        <v>6936</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3740</v>
      </c>
      <c r="D5" s="1821" t="s">
        <v>1402</v>
      </c>
      <c r="E5" s="1292"/>
      <c r="F5" s="1293"/>
      <c r="G5" s="1850"/>
      <c r="H5" s="342">
        <v>1</v>
      </c>
      <c r="I5" s="343" t="s">
        <v>1401</v>
      </c>
      <c r="J5" s="1291">
        <f ca="1">J6+J10+J12</f>
        <v>0</v>
      </c>
      <c r="K5" s="1821" t="s">
        <v>1402</v>
      </c>
      <c r="L5" s="1292"/>
      <c r="M5" s="1293"/>
    </row>
    <row r="6" spans="1:37" ht="18" customHeight="1">
      <c r="A6" s="1290" t="s">
        <v>1035</v>
      </c>
      <c r="B6" s="3657" t="s">
        <v>1403</v>
      </c>
      <c r="C6" s="1295">
        <f ca="1">ROUND(F6*F8*F7*(1-F9)/10000,0)</f>
        <v>3735</v>
      </c>
      <c r="D6" s="162" t="s">
        <v>3031</v>
      </c>
      <c r="E6" s="345" t="s">
        <v>1405</v>
      </c>
      <c r="F6" s="346">
        <f ca="1">INDIRECT("'数据-取费表'!u"&amp;$G$1)</f>
        <v>1.5</v>
      </c>
      <c r="G6" s="1850"/>
      <c r="H6" s="1290" t="s">
        <v>1035</v>
      </c>
      <c r="I6" s="3657" t="s">
        <v>1403</v>
      </c>
      <c r="J6" s="344">
        <f ca="1">ROUND(M6*M8*M7*(1-M9)/10000,0)</f>
        <v>0</v>
      </c>
      <c r="K6" s="162" t="s">
        <v>3030</v>
      </c>
      <c r="L6" s="345" t="s">
        <v>1405</v>
      </c>
      <c r="M6" s="346">
        <f ca="1">INDIRECT("'数据-取费表'!z"&amp;$G$1)</f>
        <v>0</v>
      </c>
    </row>
    <row r="7" spans="1:37" ht="18" customHeight="1">
      <c r="A7" s="1294"/>
      <c r="B7" s="3658"/>
      <c r="C7" s="1296"/>
      <c r="D7" s="350"/>
      <c r="E7" s="1297" t="s">
        <v>1406</v>
      </c>
      <c r="F7" s="346">
        <f ca="1">IF(INDIRECT("'数据-取费表'!ah"&amp;$G$1)="",INDIRECT("'数据-取费表'!k"&amp;$G$1),INDIRECT("'数据-取费表'!ah"&amp;$G$1))</f>
        <v>75800.5</v>
      </c>
      <c r="G7" s="1850"/>
      <c r="H7" s="347"/>
      <c r="I7" s="3658"/>
      <c r="J7" s="349"/>
      <c r="K7" s="350"/>
      <c r="L7" s="345" t="s">
        <v>1406</v>
      </c>
      <c r="M7" s="346">
        <f ca="1">F7</f>
        <v>75800.5</v>
      </c>
    </row>
    <row r="8" spans="1:37" ht="18" customHeight="1">
      <c r="A8" s="347"/>
      <c r="B8" s="3658"/>
      <c r="C8" s="349"/>
      <c r="D8" s="350"/>
      <c r="E8" s="345" t="s">
        <v>1407</v>
      </c>
      <c r="F8" s="346">
        <f ca="1">INDIRECT("'数据-取费表'!ai"&amp;$G$1)</f>
        <v>365</v>
      </c>
      <c r="G8" s="1850"/>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0"/>
      <c r="H9" s="347"/>
      <c r="I9" s="3659"/>
      <c r="J9" s="349"/>
      <c r="K9" s="350"/>
      <c r="L9" s="356" t="s">
        <v>1408</v>
      </c>
      <c r="M9" s="357">
        <f ca="1">INDIRECT("'数据-取费表'!ab"&amp;$G$1)</f>
        <v>0</v>
      </c>
    </row>
    <row r="10" spans="1:37" ht="18" customHeight="1">
      <c r="A10" s="1290" t="s">
        <v>1039</v>
      </c>
      <c r="B10" s="1822" t="s">
        <v>1409</v>
      </c>
      <c r="C10" s="359">
        <f ca="1">ROUND(IF(F10="押一",C6/12*F11,IF(F10="押二",C6/12*2*F11,IF(F10="押三",C6/12*3*F11,C11*F11))),0)</f>
        <v>5</v>
      </c>
      <c r="D10" s="1823" t="s">
        <v>3040</v>
      </c>
      <c r="E10" s="356" t="s">
        <v>1410</v>
      </c>
      <c r="F10" s="1365" t="s">
        <v>3127</v>
      </c>
      <c r="G10" s="1850"/>
      <c r="H10" s="1290" t="s">
        <v>1039</v>
      </c>
      <c r="I10" s="1822" t="s">
        <v>1409</v>
      </c>
      <c r="J10" s="344">
        <f ca="1">ROUND(IF(M10="押一",J6/12*M11,IF(M10="押二",J6/12*2*M11,IF(M10="押三",J6/12*3*M11,J11*M11))),0)</f>
        <v>0</v>
      </c>
      <c r="K10" s="1823" t="s">
        <v>3039</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30016</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19978</v>
      </c>
      <c r="D14" s="1799" t="s">
        <v>1418</v>
      </c>
      <c r="E14" s="1793"/>
      <c r="F14" s="362"/>
      <c r="G14" s="1850"/>
      <c r="H14" s="1200" t="s">
        <v>1035</v>
      </c>
      <c r="I14" s="345" t="s">
        <v>1419</v>
      </c>
      <c r="J14" s="23">
        <f ca="1">C29</f>
        <v>30016</v>
      </c>
      <c r="K14" s="14"/>
      <c r="L14" s="978"/>
      <c r="M14" s="979"/>
    </row>
    <row r="15" spans="1:37" s="1857" customFormat="1" ht="18" customHeight="1" thickBot="1">
      <c r="A15" s="1200" t="s">
        <v>1036</v>
      </c>
      <c r="B15" s="345" t="s">
        <v>1420</v>
      </c>
      <c r="C15" s="23">
        <f ca="1">ROUND(C14*F15,0)</f>
        <v>799</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708</v>
      </c>
      <c r="K16" s="1336" t="s">
        <v>1425</v>
      </c>
      <c r="L16" s="1337"/>
      <c r="M16" s="1293"/>
    </row>
    <row r="17" spans="1:37" s="1857" customFormat="1" ht="18" customHeight="1">
      <c r="A17" s="1200" t="s">
        <v>1390</v>
      </c>
      <c r="B17" s="345" t="s">
        <v>1426</v>
      </c>
      <c r="C17" s="23">
        <f ca="1">ROUND(F17*(F43+INDIRECT("'数据-取费表'!S"&amp;$G$1))/10000,0)</f>
        <v>1619</v>
      </c>
      <c r="D17" s="345" t="s">
        <v>1427</v>
      </c>
      <c r="E17" s="345" t="s">
        <v>1428</v>
      </c>
      <c r="F17" s="25">
        <f>'数据-取费表'!B35</f>
        <v>200</v>
      </c>
      <c r="G17" s="1853"/>
      <c r="H17" s="1200" t="s">
        <v>1035</v>
      </c>
      <c r="I17" s="345" t="s">
        <v>1429</v>
      </c>
      <c r="J17" s="23">
        <f ca="1">ROUND(IF(项目基本情况!B11="自然人",J5*M17,J18+J19+J20),1)</f>
        <v>258</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300</v>
      </c>
      <c r="D18" s="345" t="s">
        <v>1421</v>
      </c>
      <c r="E18" s="345" t="s">
        <v>1422</v>
      </c>
      <c r="F18" s="365">
        <f>'数据-取费表'!B36</f>
        <v>1.4999999999999999E-2</v>
      </c>
      <c r="G18" s="1853"/>
      <c r="H18" s="1200" t="s">
        <v>1034</v>
      </c>
      <c r="I18" s="345" t="s">
        <v>1433</v>
      </c>
      <c r="J18" s="23">
        <f ca="1">ROUND(J5*M18/(1+'数据-取费表'!C42),2)</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22696</v>
      </c>
      <c r="D19" s="138" t="s">
        <v>1436</v>
      </c>
      <c r="E19" s="1817"/>
      <c r="F19" s="25"/>
      <c r="G19" s="1850"/>
      <c r="H19" s="1200" t="s">
        <v>1036</v>
      </c>
      <c r="I19" s="345" t="s">
        <v>1437</v>
      </c>
      <c r="J19" s="23">
        <f ca="1">IF(K19="按租金收入计税",ROUND(J5*M19,2),ROUND(C29*M19*0.7,2))</f>
        <v>252.13</v>
      </c>
      <c r="K19" s="1827" t="s">
        <v>1438</v>
      </c>
      <c r="L19" s="345" t="s">
        <v>1422</v>
      </c>
      <c r="M19" s="365">
        <f>IF(K19="按租金收入计税",'数据-取费表'!B51,'数据-取费表'!B50)</f>
        <v>1.2E-2</v>
      </c>
    </row>
    <row r="20" spans="1:37" s="1857" customFormat="1" ht="18" customHeight="1">
      <c r="A20" s="1200" t="s">
        <v>1039</v>
      </c>
      <c r="B20" s="345" t="s">
        <v>1439</v>
      </c>
      <c r="C20" s="23">
        <f ca="1">ROUND(C19*F20,0)</f>
        <v>454</v>
      </c>
      <c r="D20" s="367" t="s">
        <v>1440</v>
      </c>
      <c r="E20" s="345" t="s">
        <v>1422</v>
      </c>
      <c r="F20" s="365">
        <f>'数据-取费表'!B37</f>
        <v>0.02</v>
      </c>
      <c r="G20" s="1853"/>
      <c r="H20" s="1200" t="s">
        <v>1389</v>
      </c>
      <c r="I20" s="162" t="s">
        <v>1441</v>
      </c>
      <c r="J20" s="24">
        <f ca="1">ROUND(M20*M21/10000,2)</f>
        <v>5.84</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38912.630000000005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ROUND(J14*M22,1)</f>
        <v>450.2</v>
      </c>
      <c r="K22" s="179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1100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1797" t="s">
        <v>1454</v>
      </c>
      <c r="L23" s="345" t="s">
        <v>1455</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ROUND(J5*M24,1)</f>
        <v>0</v>
      </c>
      <c r="K24" s="1341" t="s">
        <v>1459</v>
      </c>
      <c r="L24" s="1339" t="s">
        <v>1455</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1817"/>
      <c r="F25" s="25"/>
      <c r="G25" s="1850"/>
      <c r="H25" s="1328" t="s">
        <v>1031</v>
      </c>
      <c r="I25" s="1343" t="s">
        <v>1463</v>
      </c>
      <c r="J25" s="353">
        <f ca="1">J5-J16</f>
        <v>-708</v>
      </c>
      <c r="K25" s="1344" t="s">
        <v>1464</v>
      </c>
      <c r="L25" s="1345"/>
      <c r="M25" s="1346"/>
    </row>
    <row r="26" spans="1:37">
      <c r="A26" s="1200" t="s">
        <v>1034</v>
      </c>
      <c r="B26" s="345" t="s">
        <v>1465</v>
      </c>
      <c r="C26" s="23">
        <f ca="1">ROUND((C19+C20)*F26,0)</f>
        <v>3473</v>
      </c>
      <c r="D26" s="367" t="s">
        <v>1466</v>
      </c>
      <c r="E26" s="356" t="s">
        <v>1467</v>
      </c>
      <c r="F26" s="355">
        <f ca="1">INDIRECT("'数据-取费表'!q"&amp;$G$1)</f>
        <v>0.15</v>
      </c>
      <c r="G26" s="1850"/>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0" t="s">
        <v>1036</v>
      </c>
      <c r="B27" s="345" t="s">
        <v>1471</v>
      </c>
      <c r="C27" s="23">
        <f ca="1">ROUND(F21*F26,4)</f>
        <v>3.0000000000000001E-3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30016</v>
      </c>
      <c r="D29" s="1341"/>
      <c r="E29" s="1339"/>
      <c r="F29" s="1342"/>
      <c r="G29" s="1853"/>
      <c r="H29" s="378" t="s">
        <v>1033</v>
      </c>
      <c r="I29" s="379" t="s">
        <v>1479</v>
      </c>
      <c r="J29" s="380">
        <f ca="1">ROUND(J26/(1+F40)^F41,0)</f>
        <v>0</v>
      </c>
      <c r="K29" s="381" t="s">
        <v>1480</v>
      </c>
      <c r="L29" s="382"/>
      <c r="M29" s="383">
        <f ca="1">INDIRECT("'数据-取费表'!k"&amp;$G$1)</f>
        <v>75800.5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1183</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ROUND(IF(项目基本情况!B11="自然人",C5*F31,C32+C33+C34),1)</f>
        <v>650.5</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195.9</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448.8</v>
      </c>
      <c r="D33" s="1827" t="s">
        <v>3128</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5.84</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38912.630000000005</v>
      </c>
      <c r="G35" s="1850"/>
      <c r="H35" s="742"/>
      <c r="I35" s="1859"/>
      <c r="J35" s="1860"/>
      <c r="K35" s="1861"/>
      <c r="L35" s="1858"/>
      <c r="M35" s="1858"/>
    </row>
    <row r="36" spans="1:18" ht="18" customHeight="1">
      <c r="A36" s="1351" t="s">
        <v>1039</v>
      </c>
      <c r="B36" s="345" t="s">
        <v>1449</v>
      </c>
      <c r="C36" s="23">
        <f ca="1">ROUND(C29*F36,1)</f>
        <v>450.2</v>
      </c>
      <c r="D36" s="179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45</v>
      </c>
      <c r="D37" s="1797" t="s">
        <v>1454</v>
      </c>
      <c r="E37" s="345" t="s">
        <v>1455</v>
      </c>
      <c r="F37" s="374">
        <f ca="1">INDIRECT("'数据-取费表'!Al"&amp;$G$1)</f>
        <v>1.5E-3</v>
      </c>
      <c r="G37" s="1850"/>
      <c r="H37" s="1858"/>
      <c r="I37" s="1859"/>
      <c r="J37" s="1860"/>
      <c r="K37" s="748"/>
      <c r="L37" s="1858"/>
      <c r="M37" s="1858"/>
    </row>
    <row r="38" spans="1:18" ht="18" customHeight="1" thickBot="1">
      <c r="A38" s="1338" t="s">
        <v>1393</v>
      </c>
      <c r="B38" s="1339" t="s">
        <v>1439</v>
      </c>
      <c r="C38" s="1340">
        <f ca="1">ROUND(C5*F38,1)</f>
        <v>37.4</v>
      </c>
      <c r="D38" s="1341" t="s">
        <v>1459</v>
      </c>
      <c r="E38" s="1339" t="s">
        <v>1455</v>
      </c>
      <c r="F38" s="1335">
        <f ca="1">INDIRECT("'数据-取费表'!Am"&amp;$G$1)</f>
        <v>0.01</v>
      </c>
      <c r="G38" s="1850"/>
      <c r="H38" s="1858"/>
      <c r="I38" s="1859"/>
      <c r="J38" s="1860"/>
      <c r="K38" s="1864"/>
      <c r="L38" s="1858"/>
      <c r="M38" s="1858"/>
    </row>
    <row r="39" spans="1:18" ht="24.6" customHeight="1" thickTop="1">
      <c r="A39" s="1328" t="s">
        <v>1031</v>
      </c>
      <c r="B39" s="1343" t="s">
        <v>1483</v>
      </c>
      <c r="C39" s="353">
        <f ca="1">C5-C30</f>
        <v>2557</v>
      </c>
      <c r="D39" s="1344" t="s">
        <v>1484</v>
      </c>
      <c r="E39" s="1345"/>
      <c r="F39" s="1346"/>
      <c r="G39" s="1850"/>
      <c r="H39" s="1858"/>
      <c r="I39" s="1859"/>
      <c r="J39" s="1860"/>
      <c r="K39" s="1864"/>
      <c r="L39" s="1858"/>
      <c r="M39" s="1858"/>
    </row>
    <row r="40" spans="1:18" ht="18" customHeight="1">
      <c r="A40" s="342" t="s">
        <v>1032</v>
      </c>
      <c r="B40" s="343" t="s">
        <v>1485</v>
      </c>
      <c r="C40" s="344">
        <f ca="1">ROUND(C39*(1-((1+F42)/(1+F40))^F41)/(F40-F42),0)</f>
        <v>52578</v>
      </c>
      <c r="D40" s="368" t="s">
        <v>1469</v>
      </c>
      <c r="E40" s="345" t="s">
        <v>1470</v>
      </c>
      <c r="F40" s="355">
        <f ca="1">INDIRECT("'数据-取费表'!I"&amp;$G$1)</f>
        <v>4.9999999999999996E-2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44.51</v>
      </c>
      <c r="G41" s="1850"/>
      <c r="H41" s="729"/>
      <c r="I41" s="1859"/>
      <c r="J41" s="1860"/>
      <c r="K41" s="748"/>
      <c r="L41" s="729"/>
      <c r="M41" s="729"/>
    </row>
    <row r="42" spans="1:18" ht="18" customHeight="1">
      <c r="A42" s="351"/>
      <c r="B42" s="352"/>
      <c r="C42" s="353"/>
      <c r="D42" s="371"/>
      <c r="E42" s="345" t="s">
        <v>1477</v>
      </c>
      <c r="F42" s="355">
        <f ca="1">INDIRECT("'数据-取费表'!v"&amp;$G$1)</f>
        <v>0.01</v>
      </c>
      <c r="G42" s="1850"/>
      <c r="H42" s="729"/>
      <c r="I42" s="1859"/>
      <c r="J42" s="1860"/>
      <c r="K42" s="748"/>
      <c r="L42" s="729"/>
      <c r="M42" s="729"/>
    </row>
    <row r="43" spans="1:18" ht="18" customHeight="1" thickBot="1">
      <c r="A43" s="378" t="s">
        <v>1033</v>
      </c>
      <c r="B43" s="379" t="s">
        <v>1487</v>
      </c>
      <c r="C43" s="380">
        <f ca="1">ROUND(C40*10000/F43,0)</f>
        <v>6936</v>
      </c>
      <c r="D43" s="381" t="s">
        <v>1488</v>
      </c>
      <c r="E43" s="382" t="s">
        <v>1489</v>
      </c>
      <c r="F43" s="383">
        <f ca="1">INDIRECT("'数据-取费表'!k"&amp;$G$1)</f>
        <v>75800.5</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-106128</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3129</v>
      </c>
      <c r="K47" s="1881" t="s">
        <v>1527</v>
      </c>
      <c r="L47" s="1882">
        <f ca="1">INDIRECT("'数据-取费表'!d"&amp;$G$1)</f>
        <v>50</v>
      </c>
      <c r="M47" s="1837" t="str">
        <f>IF(ISNUMBER(FIND("住宅",C1)),"住宅","非住宅")</f>
        <v>非住宅</v>
      </c>
      <c r="O47" s="1883" t="s">
        <v>1040</v>
      </c>
      <c r="P47" s="1884" t="s">
        <v>1528</v>
      </c>
      <c r="Q47" s="1885">
        <f ca="1">C40+J29</f>
        <v>52578</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t="s">
        <v>3130</v>
      </c>
      <c r="K48" s="1888" t="s">
        <v>1531</v>
      </c>
      <c r="L48" s="1889">
        <f ca="1">INDIRECT("'数据-取费表'!f"&amp;$G$1)</f>
        <v>45.21</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3032</v>
      </c>
      <c r="E49" s="1829" t="s">
        <v>1491</v>
      </c>
      <c r="F49" s="1280"/>
      <c r="G49" s="1890"/>
      <c r="H49" s="790"/>
      <c r="I49" s="1886" t="s">
        <v>1534</v>
      </c>
      <c r="J49" s="1891">
        <v>2018</v>
      </c>
      <c r="K49" s="1888" t="s">
        <v>1535</v>
      </c>
      <c r="L49" s="1892"/>
      <c r="O49" s="1893" t="s">
        <v>1042</v>
      </c>
      <c r="P49" s="1884" t="s">
        <v>1536</v>
      </c>
      <c r="Q49" s="1885">
        <f ca="1">C29</f>
        <v>30016</v>
      </c>
      <c r="R49" s="1885" t="s">
        <v>1529</v>
      </c>
    </row>
    <row r="50" spans="1:18" s="1841" customFormat="1" ht="13.8" thickBot="1">
      <c r="A50" s="1194"/>
      <c r="B50" s="1197"/>
      <c r="C50" s="1367"/>
      <c r="D50" s="1171"/>
      <c r="E50" s="1276" t="s">
        <v>1406</v>
      </c>
      <c r="F50" s="1277">
        <f ca="1">F7</f>
        <v>75800.5</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60</v>
      </c>
      <c r="K51" s="1899" t="s">
        <v>1541</v>
      </c>
      <c r="L51" s="1900">
        <f ca="1">ROUND(-PV(INDIRECT("'数据-取费表'!h"&amp;$G$1),L48,(C39-C13*C76),0),0)</f>
        <v>2987</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44.51</v>
      </c>
      <c r="R52" s="1885" t="s">
        <v>1546</v>
      </c>
    </row>
    <row r="53" spans="1:18" s="1841" customFormat="1" ht="36.6" thickBot="1">
      <c r="A53" s="1404" t="s">
        <v>1137</v>
      </c>
      <c r="B53" s="1830" t="s">
        <v>1409</v>
      </c>
      <c r="C53" s="359">
        <f ca="1">ROUND(IF(F53="押一",C49/12*F11,IF(F53="押二",C49/12*2*F11,IF(F53="押三",C49/12*3*F11,C54*F11))),0)</f>
        <v>0</v>
      </c>
      <c r="D53" s="1823" t="s">
        <v>3039</v>
      </c>
      <c r="E53" s="356" t="s">
        <v>1410</v>
      </c>
      <c r="F53" s="1365"/>
      <c r="I53" s="1904" t="s">
        <v>1547</v>
      </c>
      <c r="J53" s="1905">
        <f ca="1">IF(M47="住宅",J51,IF(D1="——",MIN(J51,L48),IF(D1="在建（套用方法）",MIN(J51,L48-'数据-取费表'!B24),IF(D1="土地（套用方法）",MIN(J51,L48-'数据-取费表'!B20)))))</f>
        <v>44.51</v>
      </c>
      <c r="K53" s="3655" t="s">
        <v>1548</v>
      </c>
      <c r="L53" s="3656"/>
      <c r="O53" s="1883" t="s">
        <v>1046</v>
      </c>
      <c r="P53" s="1884" t="s">
        <v>1549</v>
      </c>
      <c r="Q53" s="1885">
        <f ca="1">Q47+Q48</f>
        <v>52578</v>
      </c>
      <c r="R53" s="1885" t="s">
        <v>1047</v>
      </c>
    </row>
    <row r="54" spans="1:18" s="1841" customFormat="1" ht="24.6"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30016</v>
      </c>
      <c r="D56" s="1913"/>
      <c r="E56" s="1914"/>
      <c r="F56" s="1906"/>
      <c r="I56" s="1915" t="s">
        <v>1554</v>
      </c>
      <c r="J56" s="1916" t="s">
        <v>3098</v>
      </c>
      <c r="K56" s="1886" t="s">
        <v>1555</v>
      </c>
      <c r="L56" s="1889" t="str">
        <f ca="1">IF(L48&lt;J51,"——",L48-J53)</f>
        <v>——</v>
      </c>
      <c r="O56" s="1883" t="s">
        <v>1040</v>
      </c>
      <c r="P56" s="1884" t="s">
        <v>1528</v>
      </c>
      <c r="Q56" s="1885">
        <f ca="1">C40+J29</f>
        <v>52578</v>
      </c>
      <c r="R56" s="1885" t="s">
        <v>1529</v>
      </c>
    </row>
    <row r="57" spans="1:18" s="1841" customFormat="1" ht="24.6" thickBot="1">
      <c r="A57" s="1917"/>
      <c r="B57" s="1168" t="s">
        <v>1478</v>
      </c>
      <c r="C57" s="280">
        <f ca="1">C29</f>
        <v>30016</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3022</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2527.1999999999998</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IF(项目基本情况!B11="自然人","——",IF(D61="按租金收入计税",ROUND(C48*F61,2),IF(D61="按房产原值计税",ROUND(C57*F61*0.7,2),INDIRECT("'数据-取费表'!Aj"&amp;$G$1))))</f>
        <v>2521.34</v>
      </c>
      <c r="D61" s="1827" t="s">
        <v>1438</v>
      </c>
      <c r="E61" s="1168" t="s">
        <v>1494</v>
      </c>
      <c r="F61" s="365">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8" thickBot="1">
      <c r="A62" s="1200" t="s">
        <v>1495</v>
      </c>
      <c r="B62" s="1167" t="s">
        <v>1496</v>
      </c>
      <c r="C62" s="24">
        <f ca="1">IF(项目基本情况!B11="自然人","——",ROUND(F62*F63/10000,2))</f>
        <v>5.84</v>
      </c>
      <c r="D62" s="1183" t="s">
        <v>1497</v>
      </c>
      <c r="E62" s="1168" t="s">
        <v>1498</v>
      </c>
      <c r="F62" s="369">
        <f t="shared" si="0"/>
        <v>1.5</v>
      </c>
      <c r="I62" s="1928" t="s">
        <v>1570</v>
      </c>
      <c r="J62" s="1929" t="s">
        <v>1571</v>
      </c>
      <c r="K62" s="1929" t="s">
        <v>1572</v>
      </c>
      <c r="L62" s="1929" t="s">
        <v>1573</v>
      </c>
      <c r="M62" s="1930" t="s">
        <v>1574</v>
      </c>
      <c r="O62" s="1883" t="s">
        <v>1046</v>
      </c>
      <c r="P62" s="1884" t="s">
        <v>1575</v>
      </c>
      <c r="Q62" s="1885">
        <f ca="1">Q56+Q57</f>
        <v>52578</v>
      </c>
      <c r="R62" s="1885" t="s">
        <v>1047</v>
      </c>
    </row>
    <row r="63" spans="1:18" s="1841" customFormat="1" ht="13.8" thickBot="1">
      <c r="A63" s="370"/>
      <c r="B63" s="1174"/>
      <c r="C63" s="28"/>
      <c r="D63" s="1184"/>
      <c r="E63" s="1168" t="s">
        <v>1499</v>
      </c>
      <c r="F63" s="346">
        <f t="shared" ca="1" si="0"/>
        <v>38912.630000000005</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ROUND(C57*F64,1)</f>
        <v>450.2</v>
      </c>
      <c r="D64" s="1182" t="s">
        <v>1502</v>
      </c>
      <c r="E64" s="1168" t="s">
        <v>1494</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45</v>
      </c>
      <c r="D65" s="1182" t="s">
        <v>1454</v>
      </c>
      <c r="E65" s="1168" t="s">
        <v>1455</v>
      </c>
      <c r="F65" s="374">
        <f t="shared" ca="1" si="0"/>
        <v>1.5E-3</v>
      </c>
      <c r="I65" s="1928" t="s">
        <v>1579</v>
      </c>
      <c r="J65" s="1929">
        <v>40</v>
      </c>
      <c r="K65" s="1929">
        <v>30</v>
      </c>
      <c r="L65" s="1929">
        <v>50</v>
      </c>
      <c r="M65" s="1931">
        <v>0.02</v>
      </c>
      <c r="O65" s="1883" t="s">
        <v>1040</v>
      </c>
      <c r="P65" s="1884" t="s">
        <v>1580</v>
      </c>
      <c r="Q65" s="1885">
        <f ca="1">C40+J29</f>
        <v>52578</v>
      </c>
      <c r="R65" s="1885" t="s">
        <v>1529</v>
      </c>
    </row>
    <row r="66" spans="1:18" s="1841" customFormat="1" ht="16.2" thickBot="1">
      <c r="A66" s="1200" t="s">
        <v>1504</v>
      </c>
      <c r="B66" s="1168" t="s">
        <v>1439</v>
      </c>
      <c r="C66" s="23">
        <f ca="1">ROUND(C48*F66,1)</f>
        <v>0</v>
      </c>
      <c r="D66" s="1182" t="s">
        <v>1505</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-3022</v>
      </c>
      <c r="D67" s="1181" t="s">
        <v>1464</v>
      </c>
      <c r="E67" s="1186"/>
      <c r="F67" s="1187"/>
      <c r="O67" s="1893" t="s">
        <v>1042</v>
      </c>
      <c r="P67" s="1884" t="s">
        <v>1562</v>
      </c>
      <c r="Q67" s="1932">
        <f ca="1">L51</f>
        <v>2987</v>
      </c>
      <c r="R67" s="1885" t="s">
        <v>1582</v>
      </c>
    </row>
    <row r="68" spans="1:18" s="1841" customFormat="1" ht="16.2" thickBot="1">
      <c r="A68" s="1165" t="s">
        <v>1032</v>
      </c>
      <c r="B68" s="1166" t="s">
        <v>1485</v>
      </c>
      <c r="C68" s="344">
        <f ca="1">ROUND(C67*(1-((1+F70)/(1+F68))^F69)/(F68-F70),0)</f>
        <v>-53550</v>
      </c>
      <c r="D68" s="1183" t="s">
        <v>1469</v>
      </c>
      <c r="E68" s="1168" t="s">
        <v>1470</v>
      </c>
      <c r="F68" s="355">
        <f ca="1">F40</f>
        <v>4.9999999999999996E-2</v>
      </c>
      <c r="O68" s="1893" t="s">
        <v>1043</v>
      </c>
      <c r="P68" s="1933" t="s">
        <v>1583</v>
      </c>
      <c r="Q68" s="1885">
        <f ca="1">ROUND(Q69-Q70*Q71,0)</f>
        <v>156</v>
      </c>
      <c r="R68" s="1885" t="s">
        <v>1051</v>
      </c>
    </row>
    <row r="69" spans="1:18" s="1841" customFormat="1" ht="13.8" thickBot="1">
      <c r="A69" s="1169"/>
      <c r="B69" s="1170"/>
      <c r="C69" s="349"/>
      <c r="D69" s="1188" t="s">
        <v>1473</v>
      </c>
      <c r="E69" s="1168" t="s">
        <v>1474</v>
      </c>
      <c r="F69" s="377">
        <f ca="1">F41</f>
        <v>44.51</v>
      </c>
      <c r="O69" s="1893" t="s">
        <v>1048</v>
      </c>
      <c r="P69" s="1933" t="s">
        <v>1584</v>
      </c>
      <c r="Q69" s="1885">
        <f ca="1">C39</f>
        <v>2557</v>
      </c>
      <c r="R69" s="1885" t="s">
        <v>1529</v>
      </c>
    </row>
    <row r="70" spans="1:18" s="1841" customFormat="1" ht="13.8" thickBot="1">
      <c r="A70" s="1172"/>
      <c r="B70" s="1173"/>
      <c r="C70" s="353"/>
      <c r="D70" s="1184"/>
      <c r="E70" s="1168" t="s">
        <v>1477</v>
      </c>
      <c r="F70" s="1274"/>
      <c r="O70" s="1893" t="s">
        <v>1049</v>
      </c>
      <c r="P70" s="1933" t="s">
        <v>1585</v>
      </c>
      <c r="Q70" s="1885">
        <f ca="1">C13</f>
        <v>30016</v>
      </c>
      <c r="R70" s="1885" t="s">
        <v>1529</v>
      </c>
    </row>
    <row r="71" spans="1:18" s="1841" customFormat="1" ht="13.8" thickBot="1">
      <c r="A71" s="1189" t="s">
        <v>1033</v>
      </c>
      <c r="B71" s="1190" t="s">
        <v>1487</v>
      </c>
      <c r="C71" s="380">
        <f ca="1">ROUND(C68*10000/F71,0)</f>
        <v>-7065</v>
      </c>
      <c r="D71" s="1191" t="s">
        <v>1488</v>
      </c>
      <c r="E71" s="1192" t="s">
        <v>1489</v>
      </c>
      <c r="F71" s="383">
        <f ca="1">F43</f>
        <v>75800.5</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续建工期及建筑物耐用年限下的土地年期修正系数Kn</v>
      </c>
      <c r="Q74" s="1885" t="e">
        <f ca="1">L59</f>
        <v>#DIV/0!</v>
      </c>
      <c r="R74" s="1885" t="s">
        <v>1569</v>
      </c>
    </row>
    <row r="75" spans="1:18" ht="13.8" thickBot="1">
      <c r="A75" s="1841"/>
      <c r="B75" s="384" t="s">
        <v>1506</v>
      </c>
      <c r="C75" s="385">
        <f ca="1">ROUND(C13*C76,0)</f>
        <v>2401</v>
      </c>
      <c r="D75" s="1841"/>
      <c r="E75" s="1841"/>
      <c r="F75" s="1841"/>
      <c r="K75" s="1867"/>
      <c r="L75" s="1841"/>
      <c r="O75" s="1883" t="s">
        <v>1046</v>
      </c>
      <c r="P75" s="1884" t="s">
        <v>1549</v>
      </c>
      <c r="Q75" s="1885">
        <f ca="1">Q65+Q66</f>
        <v>52578</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6.1000000000000054E-2</v>
      </c>
    </row>
    <row r="80" spans="1:18">
      <c r="B80" s="384" t="s">
        <v>1511</v>
      </c>
      <c r="C80" s="316">
        <f ca="1">ROUND(C75/C39,3)</f>
        <v>0.93899999999999995</v>
      </c>
    </row>
    <row r="81" spans="2:3">
      <c r="B81" s="312" t="s">
        <v>1512</v>
      </c>
      <c r="C81" s="280"/>
    </row>
    <row r="82" spans="2:3">
      <c r="B82" s="315" t="s">
        <v>1513</v>
      </c>
      <c r="C82" s="317">
        <f ca="1">1-C83</f>
        <v>0.42900000000000005</v>
      </c>
    </row>
    <row r="83" spans="2:3">
      <c r="B83" s="315" t="s">
        <v>1514</v>
      </c>
      <c r="C83" s="316">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C10" sqref="C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3124</v>
      </c>
      <c r="D1" s="1819" t="s">
        <v>3298</v>
      </c>
      <c r="E1" s="1820" t="s">
        <v>1387</v>
      </c>
      <c r="F1" s="1282">
        <f ca="1">J53</f>
        <v>44.51</v>
      </c>
      <c r="G1" s="183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2764</v>
      </c>
      <c r="C2" s="1844" t="s">
        <v>1516</v>
      </c>
      <c r="D2" s="1844"/>
      <c r="E2" s="1845"/>
      <c r="F2" s="1846"/>
      <c r="G2" s="1847"/>
      <c r="H2" s="1839"/>
      <c r="I2" s="1839"/>
      <c r="J2" s="1839"/>
      <c r="K2" s="1840"/>
      <c r="L2" s="1839"/>
      <c r="M2" s="1839"/>
    </row>
    <row r="3" spans="1:37" ht="18" customHeight="1" thickBot="1">
      <c r="A3" s="1848" t="s">
        <v>1517</v>
      </c>
      <c r="B3" s="1849">
        <f ca="1">IF(ISERROR(B2*10000/F43),0,ROUND(B2*10000/F43,0))</f>
        <v>3332</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245</v>
      </c>
      <c r="D5" s="1821" t="s">
        <v>1402</v>
      </c>
      <c r="E5" s="1292"/>
      <c r="F5" s="1293"/>
      <c r="G5" s="1850"/>
      <c r="H5" s="342">
        <v>1</v>
      </c>
      <c r="I5" s="343" t="s">
        <v>1401</v>
      </c>
      <c r="J5" s="1291">
        <f ca="1">J6+J10+J12</f>
        <v>0</v>
      </c>
      <c r="K5" s="1821" t="s">
        <v>1402</v>
      </c>
      <c r="L5" s="1292"/>
      <c r="M5" s="1293"/>
    </row>
    <row r="6" spans="1:37" ht="18" customHeight="1">
      <c r="A6" s="1290" t="s">
        <v>1035</v>
      </c>
      <c r="B6" s="3657" t="s">
        <v>1403</v>
      </c>
      <c r="C6" s="1295">
        <f ca="1">ROUND(F6*F8*F7*(1-F9)/10000,0)</f>
        <v>245</v>
      </c>
      <c r="D6" s="162" t="s">
        <v>3031</v>
      </c>
      <c r="E6" s="345" t="s">
        <v>1405</v>
      </c>
      <c r="F6" s="346">
        <f ca="1">INDIRECT("'数据-取费表'!u"&amp;$G$1)</f>
        <v>0.9</v>
      </c>
      <c r="G6" s="1850"/>
      <c r="H6" s="1290" t="s">
        <v>1035</v>
      </c>
      <c r="I6" s="3657" t="s">
        <v>1403</v>
      </c>
      <c r="J6" s="344">
        <f ca="1">ROUND(M6*M8*M7*(1-M9)/10000,0)</f>
        <v>0</v>
      </c>
      <c r="K6" s="162" t="s">
        <v>3030</v>
      </c>
      <c r="L6" s="345" t="s">
        <v>1405</v>
      </c>
      <c r="M6" s="346">
        <f ca="1">INDIRECT("'数据-取费表'!z"&amp;$G$1)</f>
        <v>0</v>
      </c>
    </row>
    <row r="7" spans="1:37" ht="18" customHeight="1">
      <c r="A7" s="1294"/>
      <c r="B7" s="3658"/>
      <c r="C7" s="1296"/>
      <c r="D7" s="350"/>
      <c r="E7" s="2943" t="s">
        <v>1406</v>
      </c>
      <c r="F7" s="346">
        <f ca="1">IF(INDIRECT("'数据-取费表'!ah"&amp;$G$1)="",INDIRECT("'数据-取费表'!k"&amp;$G$1),INDIRECT("'数据-取费表'!ah"&amp;$G$1))</f>
        <v>8295.2800000000007</v>
      </c>
      <c r="G7" s="1850"/>
      <c r="H7" s="347"/>
      <c r="I7" s="3658"/>
      <c r="J7" s="349"/>
      <c r="K7" s="350"/>
      <c r="L7" s="345" t="s">
        <v>1406</v>
      </c>
      <c r="M7" s="346">
        <f ca="1">F7</f>
        <v>8295.2800000000007</v>
      </c>
    </row>
    <row r="8" spans="1:37" ht="18" customHeight="1">
      <c r="A8" s="347"/>
      <c r="B8" s="3658"/>
      <c r="C8" s="349"/>
      <c r="D8" s="350"/>
      <c r="E8" s="345" t="s">
        <v>1407</v>
      </c>
      <c r="F8" s="346">
        <f ca="1">INDIRECT("'数据-取费表'!ai"&amp;$G$1)</f>
        <v>365</v>
      </c>
      <c r="G8" s="1850"/>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0"/>
      <c r="H9" s="347"/>
      <c r="I9" s="3659"/>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3039</v>
      </c>
      <c r="E10" s="356" t="s">
        <v>1410</v>
      </c>
      <c r="F10" s="1365" t="s">
        <v>3127</v>
      </c>
      <c r="G10" s="1850"/>
      <c r="H10" s="1290" t="s">
        <v>1039</v>
      </c>
      <c r="I10" s="1822" t="s">
        <v>1409</v>
      </c>
      <c r="J10" s="344">
        <f ca="1">ROUND(IF(M10="押一",J6/12*M11,IF(M10="押二",J6/12*2*M11,IF(M10="押三",J6/12*3*M11,J11*M11))),0)</f>
        <v>0</v>
      </c>
      <c r="K10" s="1823" t="s">
        <v>3039</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3285</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2187</v>
      </c>
      <c r="D14" s="2946" t="s">
        <v>1418</v>
      </c>
      <c r="E14" s="2945"/>
      <c r="F14" s="362"/>
      <c r="G14" s="1850"/>
      <c r="H14" s="1200" t="s">
        <v>1035</v>
      </c>
      <c r="I14" s="345" t="s">
        <v>1419</v>
      </c>
      <c r="J14" s="23">
        <f ca="1">C29</f>
        <v>3285</v>
      </c>
      <c r="K14" s="2942"/>
      <c r="L14" s="978"/>
      <c r="M14" s="979"/>
    </row>
    <row r="15" spans="1:37" s="1857" customFormat="1" ht="18" customHeight="1" thickBot="1">
      <c r="A15" s="1200" t="s">
        <v>1036</v>
      </c>
      <c r="B15" s="345" t="s">
        <v>1420</v>
      </c>
      <c r="C15" s="23">
        <f ca="1">ROUND(C14*F15,0)</f>
        <v>87</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78</v>
      </c>
      <c r="K16" s="1336" t="s">
        <v>1425</v>
      </c>
      <c r="L16" s="2948"/>
      <c r="M16" s="1293"/>
    </row>
    <row r="17" spans="1:37" s="1857" customFormat="1" ht="18" customHeight="1">
      <c r="A17" s="1200" t="s">
        <v>1390</v>
      </c>
      <c r="B17" s="345" t="s">
        <v>1426</v>
      </c>
      <c r="C17" s="23">
        <f ca="1">ROUND(F17*(F43+INDIRECT("'数据-取费表'!S"&amp;$G$1))/10000,0)</f>
        <v>177</v>
      </c>
      <c r="D17" s="345" t="s">
        <v>1427</v>
      </c>
      <c r="E17" s="345" t="s">
        <v>1428</v>
      </c>
      <c r="F17" s="25">
        <f>'数据-取费表'!B35</f>
        <v>200</v>
      </c>
      <c r="G17" s="1853"/>
      <c r="H17" s="1200" t="s">
        <v>1035</v>
      </c>
      <c r="I17" s="345" t="s">
        <v>1429</v>
      </c>
      <c r="J17" s="23">
        <f ca="1">ROUND(IF(项目基本情况!B11="自然人",J5*M17,J18+J19+J20),1)</f>
        <v>28.2</v>
      </c>
      <c r="K17" s="2946" t="s">
        <v>1430</v>
      </c>
      <c r="L17" s="294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33</v>
      </c>
      <c r="D18" s="345" t="s">
        <v>1421</v>
      </c>
      <c r="E18" s="345" t="s">
        <v>1422</v>
      </c>
      <c r="F18" s="365">
        <f>'数据-取费表'!B36</f>
        <v>1.4999999999999999E-2</v>
      </c>
      <c r="G18" s="1853"/>
      <c r="H18" s="1200" t="s">
        <v>1034</v>
      </c>
      <c r="I18" s="345" t="s">
        <v>1433</v>
      </c>
      <c r="J18" s="23">
        <f ca="1">ROUND(J5*M18/(1+'数据-取费表'!C42),2)</f>
        <v>0</v>
      </c>
      <c r="K18" s="294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2484</v>
      </c>
      <c r="D19" s="138" t="s">
        <v>1436</v>
      </c>
      <c r="E19" s="2941"/>
      <c r="F19" s="25"/>
      <c r="G19" s="1850"/>
      <c r="H19" s="1200" t="s">
        <v>1036</v>
      </c>
      <c r="I19" s="345" t="s">
        <v>1437</v>
      </c>
      <c r="J19" s="23">
        <f ca="1">IF(K19="按租金收入计税",ROUND(J5*M19,2),ROUND(C29*M19*0.7,2))</f>
        <v>27.59</v>
      </c>
      <c r="K19" s="1827" t="s">
        <v>1438</v>
      </c>
      <c r="L19" s="345" t="s">
        <v>1422</v>
      </c>
      <c r="M19" s="365">
        <f>IF(K19="按租金收入计税",'数据-取费表'!B51,'数据-取费表'!B50)</f>
        <v>1.2E-2</v>
      </c>
    </row>
    <row r="20" spans="1:37" s="1857" customFormat="1" ht="18" customHeight="1">
      <c r="A20" s="1200" t="s">
        <v>1039</v>
      </c>
      <c r="B20" s="345" t="s">
        <v>1439</v>
      </c>
      <c r="C20" s="23">
        <f ca="1">ROUND(C19*F20,0)</f>
        <v>50</v>
      </c>
      <c r="D20" s="367" t="s">
        <v>1440</v>
      </c>
      <c r="E20" s="345" t="s">
        <v>1422</v>
      </c>
      <c r="F20" s="365">
        <f>'数据-取费表'!B37</f>
        <v>0.02</v>
      </c>
      <c r="G20" s="1853"/>
      <c r="H20" s="1200" t="s">
        <v>1389</v>
      </c>
      <c r="I20" s="162" t="s">
        <v>1441</v>
      </c>
      <c r="J20" s="24">
        <f ca="1">ROUND(M20*M21/10000,2)</f>
        <v>0.64</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4258.4400000000005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1"/>
      <c r="F22" s="25"/>
      <c r="G22" s="1850"/>
      <c r="H22" s="1200" t="s">
        <v>1039</v>
      </c>
      <c r="I22" s="345" t="s">
        <v>1449</v>
      </c>
      <c r="J22" s="23">
        <f ca="1">ROUND(J14*M22,1)</f>
        <v>49.3</v>
      </c>
      <c r="K22" s="294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120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7"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1"/>
      <c r="F25" s="25"/>
      <c r="G25" s="1850"/>
      <c r="H25" s="1328" t="s">
        <v>1031</v>
      </c>
      <c r="I25" s="1343" t="s">
        <v>1463</v>
      </c>
      <c r="J25" s="353">
        <f ca="1">J5-J16</f>
        <v>-78</v>
      </c>
      <c r="K25" s="1344" t="s">
        <v>1464</v>
      </c>
      <c r="L25" s="1345"/>
      <c r="M25" s="1346"/>
    </row>
    <row r="26" spans="1:37">
      <c r="A26" s="1200" t="s">
        <v>1034</v>
      </c>
      <c r="B26" s="345" t="s">
        <v>1465</v>
      </c>
      <c r="C26" s="23">
        <f ca="1">ROUND((C19+C20)*F26,0)</f>
        <v>380</v>
      </c>
      <c r="D26" s="367" t="s">
        <v>1466</v>
      </c>
      <c r="E26" s="356" t="s">
        <v>1467</v>
      </c>
      <c r="F26" s="355">
        <f ca="1">INDIRECT("'数据-取费表'!q"&amp;$G$1)</f>
        <v>0.15</v>
      </c>
      <c r="G26" s="1850"/>
      <c r="H26" s="342" t="s">
        <v>1032</v>
      </c>
      <c r="I26" s="343" t="s">
        <v>1468</v>
      </c>
      <c r="J26" s="344">
        <f ca="1">IF(J5&lt;&gt;0,ROUND(J25*(1-((1+M28)/(1+M26))^M27)/(M26-M28),0),0)</f>
        <v>0</v>
      </c>
      <c r="K26" s="368" t="s">
        <v>1469</v>
      </c>
      <c r="L26" s="345" t="s">
        <v>1470</v>
      </c>
      <c r="M26" s="355">
        <f ca="1">INDIRECT("'数据-取费表'!I"&amp;$G$1)</f>
        <v>4.9999999999999996E-2</v>
      </c>
    </row>
    <row r="27" spans="1:37" ht="18" customHeight="1">
      <c r="A27" s="1200" t="s">
        <v>1036</v>
      </c>
      <c r="B27" s="345" t="s">
        <v>1471</v>
      </c>
      <c r="C27" s="23">
        <f ca="1">ROUND(F21*F26,4)</f>
        <v>3.0000000000000001E-3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3285</v>
      </c>
      <c r="D29" s="1341"/>
      <c r="E29" s="1339"/>
      <c r="F29" s="1342"/>
      <c r="G29" s="1853"/>
      <c r="H29" s="378" t="s">
        <v>1033</v>
      </c>
      <c r="I29" s="379" t="s">
        <v>1479</v>
      </c>
      <c r="J29" s="380">
        <f ca="1">ROUND(J26/(1+F40)^F41,0)</f>
        <v>0</v>
      </c>
      <c r="K29" s="381" t="s">
        <v>1480</v>
      </c>
      <c r="L29" s="382"/>
      <c r="M29" s="383">
        <f ca="1">INDIRECT("'数据-取费表'!k"&amp;$G$1)</f>
        <v>8295.2800000000007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100</v>
      </c>
      <c r="D30" s="1336" t="s">
        <v>1425</v>
      </c>
      <c r="E30" s="2948"/>
      <c r="F30" s="1293"/>
      <c r="G30" s="1850"/>
      <c r="H30" s="742"/>
      <c r="I30" s="743"/>
      <c r="J30" s="744"/>
      <c r="K30" s="745"/>
      <c r="L30" s="746"/>
      <c r="M30" s="747"/>
    </row>
    <row r="31" spans="1:37" ht="18" customHeight="1">
      <c r="A31" s="1200" t="s">
        <v>1035</v>
      </c>
      <c r="B31" s="345" t="s">
        <v>1429</v>
      </c>
      <c r="C31" s="23">
        <f ca="1">ROUND(IF(项目基本情况!B11="自然人",C5*F31,C32+C33+C34),1)</f>
        <v>42.9</v>
      </c>
      <c r="D31" s="2946" t="s">
        <v>1430</v>
      </c>
      <c r="E31" s="294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12.83</v>
      </c>
      <c r="D32" s="294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29.4</v>
      </c>
      <c r="D33" s="1827" t="s">
        <v>3128</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0.64</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4258.4400000000005</v>
      </c>
      <c r="G35" s="1850"/>
      <c r="H35" s="742"/>
      <c r="I35" s="1859"/>
      <c r="J35" s="1860"/>
      <c r="K35" s="1861"/>
      <c r="L35" s="1858"/>
      <c r="M35" s="1858"/>
    </row>
    <row r="36" spans="1:18" ht="18" customHeight="1">
      <c r="A36" s="1351" t="s">
        <v>1039</v>
      </c>
      <c r="B36" s="345" t="s">
        <v>1449</v>
      </c>
      <c r="C36" s="23">
        <f ca="1">ROUND(C29*F36,1)</f>
        <v>49.3</v>
      </c>
      <c r="D36" s="294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4.9000000000000004</v>
      </c>
      <c r="D37" s="2947"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2.5</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145</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2764</v>
      </c>
      <c r="D40" s="368" t="s">
        <v>1469</v>
      </c>
      <c r="E40" s="345" t="s">
        <v>1470</v>
      </c>
      <c r="F40" s="355">
        <f ca="1">INDIRECT("'数据-取费表'!I"&amp;$G$1)</f>
        <v>4.9999999999999996E-2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44.51</v>
      </c>
      <c r="G41" s="1850"/>
      <c r="H41" s="729"/>
      <c r="I41" s="1859"/>
      <c r="J41" s="1860"/>
      <c r="K41" s="748"/>
      <c r="L41" s="729"/>
      <c r="M41" s="729"/>
    </row>
    <row r="42" spans="1:18" ht="18" customHeight="1">
      <c r="A42" s="351"/>
      <c r="B42" s="352"/>
      <c r="C42" s="353"/>
      <c r="D42" s="371"/>
      <c r="E42" s="345" t="s">
        <v>1477</v>
      </c>
      <c r="F42" s="355">
        <f ca="1">INDIRECT("'数据-取费表'!v"&amp;$G$1)</f>
        <v>5.0000000000000001E-3</v>
      </c>
      <c r="G42" s="1850"/>
      <c r="H42" s="729"/>
      <c r="I42" s="1859"/>
      <c r="J42" s="1860"/>
      <c r="K42" s="748"/>
      <c r="L42" s="729"/>
      <c r="M42" s="729"/>
    </row>
    <row r="43" spans="1:18" ht="18" customHeight="1" thickBot="1">
      <c r="A43" s="378" t="s">
        <v>1033</v>
      </c>
      <c r="B43" s="379" t="s">
        <v>1487</v>
      </c>
      <c r="C43" s="380">
        <f ca="1">ROUND(C40*10000/F43,0)</f>
        <v>3332</v>
      </c>
      <c r="D43" s="381" t="s">
        <v>1488</v>
      </c>
      <c r="E43" s="382" t="s">
        <v>1489</v>
      </c>
      <c r="F43" s="383">
        <f ca="1">INDIRECT("'数据-取费表'!k"&amp;$G$1)</f>
        <v>8295.2800000000007</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-8629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3129</v>
      </c>
      <c r="K47" s="1881" t="s">
        <v>1527</v>
      </c>
      <c r="L47" s="1882">
        <f ca="1">INDIRECT("'数据-取费表'!d"&amp;$G$1)</f>
        <v>50</v>
      </c>
      <c r="M47" s="1837" t="str">
        <f>IF(ISNUMBER(FIND("住宅",C1)),"住宅","非住宅")</f>
        <v>非住宅</v>
      </c>
      <c r="O47" s="1883" t="s">
        <v>1040</v>
      </c>
      <c r="P47" s="1884" t="s">
        <v>1528</v>
      </c>
      <c r="Q47" s="1885">
        <f ca="1">C40+J29</f>
        <v>2764</v>
      </c>
      <c r="R47" s="1885" t="s">
        <v>1529</v>
      </c>
    </row>
    <row r="48" spans="1:18" s="1841" customFormat="1" ht="40.200000000000003" thickBot="1">
      <c r="A48" s="1359" t="s">
        <v>1135</v>
      </c>
      <c r="B48" s="343" t="s">
        <v>1401</v>
      </c>
      <c r="C48" s="2940">
        <f ca="1">C49+C53+C55</f>
        <v>0</v>
      </c>
      <c r="D48" s="1361"/>
      <c r="E48" s="1362"/>
      <c r="F48" s="1180"/>
      <c r="G48" s="789"/>
      <c r="H48" s="790"/>
      <c r="I48" s="1886" t="s">
        <v>1530</v>
      </c>
      <c r="J48" s="1887" t="s">
        <v>3130</v>
      </c>
      <c r="K48" s="1888" t="s">
        <v>1531</v>
      </c>
      <c r="L48" s="1889">
        <f ca="1">INDIRECT("'数据-取费表'!f"&amp;$G$1)</f>
        <v>45.21</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3030</v>
      </c>
      <c r="E49" s="1829" t="s">
        <v>1491</v>
      </c>
      <c r="F49" s="1280"/>
      <c r="G49" s="1890"/>
      <c r="H49" s="790"/>
      <c r="I49" s="1886" t="s">
        <v>1534</v>
      </c>
      <c r="J49" s="1891">
        <v>2018</v>
      </c>
      <c r="K49" s="1888" t="s">
        <v>1535</v>
      </c>
      <c r="L49" s="1892"/>
      <c r="O49" s="1893" t="s">
        <v>1042</v>
      </c>
      <c r="P49" s="1884" t="s">
        <v>1536</v>
      </c>
      <c r="Q49" s="1885">
        <f ca="1">C29</f>
        <v>3285</v>
      </c>
      <c r="R49" s="1885" t="s">
        <v>1529</v>
      </c>
    </row>
    <row r="50" spans="1:18" s="1841" customFormat="1" ht="13.8" thickBot="1">
      <c r="A50" s="1194"/>
      <c r="B50" s="1197"/>
      <c r="C50" s="1367"/>
      <c r="D50" s="1171"/>
      <c r="E50" s="1276" t="s">
        <v>1406</v>
      </c>
      <c r="F50" s="1277">
        <f ca="1">F7</f>
        <v>8295.2800000000007</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60</v>
      </c>
      <c r="K51" s="1899" t="s">
        <v>1541</v>
      </c>
      <c r="L51" s="1900">
        <f ca="1">ROUND(-PV(INDIRECT("'数据-取费表'!h"&amp;$G$1),L48,(C39-C13*C76),0),0)</f>
        <v>-2260</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44.51</v>
      </c>
      <c r="R52" s="1885" t="s">
        <v>1546</v>
      </c>
    </row>
    <row r="53" spans="1:18" s="1841" customFormat="1" ht="36.6" thickBot="1">
      <c r="A53" s="1404" t="s">
        <v>1137</v>
      </c>
      <c r="B53" s="1830" t="s">
        <v>1409</v>
      </c>
      <c r="C53" s="359">
        <f ca="1">ROUND(IF(F53="押一",C49/12*F11,IF(F53="押二",C49/12*2*F11,IF(F53="押三",C49/12*3*F11,C54*F11))),0)</f>
        <v>0</v>
      </c>
      <c r="D53" s="1823" t="s">
        <v>3039</v>
      </c>
      <c r="E53" s="356" t="s">
        <v>1410</v>
      </c>
      <c r="F53" s="1365"/>
      <c r="I53" s="1904" t="s">
        <v>1547</v>
      </c>
      <c r="J53" s="1905">
        <f ca="1">IF(M47="住宅",J51,IF(D1="——",MIN(J51,L48),IF(D1="在建（套用方法）",MIN(J51,L48-'数据-取费表'!B24),IF(D1="土地（套用方法）",MIN(J51,L48-'数据-取费表'!B20)))))</f>
        <v>44.51</v>
      </c>
      <c r="K53" s="3655" t="s">
        <v>1548</v>
      </c>
      <c r="L53" s="3656"/>
      <c r="O53" s="1883" t="s">
        <v>1046</v>
      </c>
      <c r="P53" s="1884" t="s">
        <v>1549</v>
      </c>
      <c r="Q53" s="1885">
        <f ca="1">Q47+Q48</f>
        <v>2764</v>
      </c>
      <c r="R53" s="1885" t="s">
        <v>1047</v>
      </c>
    </row>
    <row r="54" spans="1:18" s="1841" customFormat="1" ht="24.6" thickBot="1">
      <c r="A54" s="1405"/>
      <c r="B54" s="1824" t="s">
        <v>1388</v>
      </c>
      <c r="C54" s="1177"/>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4"/>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3285</v>
      </c>
      <c r="D56" s="1913"/>
      <c r="E56" s="1914"/>
      <c r="F56" s="1906"/>
      <c r="I56" s="1915" t="s">
        <v>1554</v>
      </c>
      <c r="J56" s="1916" t="s">
        <v>3098</v>
      </c>
      <c r="K56" s="1886" t="s">
        <v>1555</v>
      </c>
      <c r="L56" s="1889" t="str">
        <f ca="1">IF(L48&lt;J51,"——",L48-J53)</f>
        <v>——</v>
      </c>
      <c r="O56" s="1883" t="s">
        <v>1040</v>
      </c>
      <c r="P56" s="1884" t="s">
        <v>1528</v>
      </c>
      <c r="Q56" s="1885">
        <f ca="1">C40+J29</f>
        <v>2764</v>
      </c>
      <c r="R56" s="1885" t="s">
        <v>1529</v>
      </c>
    </row>
    <row r="57" spans="1:18" s="1841" customFormat="1" ht="24.6" thickBot="1">
      <c r="A57" s="1917"/>
      <c r="B57" s="1168" t="s">
        <v>1478</v>
      </c>
      <c r="C57" s="280">
        <f ca="1">C29</f>
        <v>3285</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331</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276.60000000000002</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275.94</v>
      </c>
      <c r="D61" s="1827" t="s">
        <v>1438</v>
      </c>
      <c r="E61" s="1168" t="s">
        <v>1422</v>
      </c>
      <c r="F61" s="365">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0.64</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2764</v>
      </c>
      <c r="R62" s="1885" t="s">
        <v>1047</v>
      </c>
    </row>
    <row r="63" spans="1:18" s="1841" customFormat="1" ht="13.8" thickBot="1">
      <c r="A63" s="370"/>
      <c r="B63" s="1174"/>
      <c r="C63" s="28"/>
      <c r="D63" s="1184"/>
      <c r="E63" s="1168" t="s">
        <v>1447</v>
      </c>
      <c r="F63" s="346">
        <f t="shared" ca="1" si="0"/>
        <v>4258.4400000000005</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49.3</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4.9000000000000004</v>
      </c>
      <c r="D65" s="1182" t="s">
        <v>1454</v>
      </c>
      <c r="E65" s="1168" t="s">
        <v>1422</v>
      </c>
      <c r="F65" s="374">
        <f t="shared" ca="1" si="0"/>
        <v>1.5E-3</v>
      </c>
      <c r="I65" s="1928" t="s">
        <v>1579</v>
      </c>
      <c r="J65" s="1929">
        <v>40</v>
      </c>
      <c r="K65" s="1929">
        <v>30</v>
      </c>
      <c r="L65" s="1929">
        <v>50</v>
      </c>
      <c r="M65" s="1931">
        <v>0.02</v>
      </c>
      <c r="O65" s="1883" t="s">
        <v>1040</v>
      </c>
      <c r="P65" s="1884" t="s">
        <v>1528</v>
      </c>
      <c r="Q65" s="1885">
        <f ca="1">C40+J29</f>
        <v>2764</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-331</v>
      </c>
      <c r="D67" s="1181" t="s">
        <v>1464</v>
      </c>
      <c r="E67" s="1186"/>
      <c r="F67" s="1187"/>
      <c r="O67" s="1893" t="s">
        <v>1042</v>
      </c>
      <c r="P67" s="1884" t="s">
        <v>1562</v>
      </c>
      <c r="Q67" s="1932">
        <f ca="1">L51</f>
        <v>-2260</v>
      </c>
      <c r="R67" s="1885" t="s">
        <v>1582</v>
      </c>
    </row>
    <row r="68" spans="1:18" s="1841" customFormat="1" ht="16.2" thickBot="1">
      <c r="A68" s="1165" t="s">
        <v>1032</v>
      </c>
      <c r="B68" s="1166" t="s">
        <v>1485</v>
      </c>
      <c r="C68" s="344">
        <f ca="1">ROUND(C67*(1-((1+F70)/(1+F68))^F69)/(F68-F70),0)</f>
        <v>-5865</v>
      </c>
      <c r="D68" s="1183" t="s">
        <v>1469</v>
      </c>
      <c r="E68" s="1168" t="s">
        <v>1470</v>
      </c>
      <c r="F68" s="355">
        <f ca="1">F40</f>
        <v>4.9999999999999996E-2</v>
      </c>
      <c r="O68" s="1893" t="s">
        <v>1043</v>
      </c>
      <c r="P68" s="1933" t="s">
        <v>1583</v>
      </c>
      <c r="Q68" s="1885">
        <f ca="1">ROUND(Q69-Q70*Q71,0)</f>
        <v>-118</v>
      </c>
      <c r="R68" s="1885" t="s">
        <v>1051</v>
      </c>
    </row>
    <row r="69" spans="1:18" s="1841" customFormat="1" ht="13.8" thickBot="1">
      <c r="A69" s="1169"/>
      <c r="B69" s="1170"/>
      <c r="C69" s="349"/>
      <c r="D69" s="1188" t="s">
        <v>1473</v>
      </c>
      <c r="E69" s="1168" t="s">
        <v>1474</v>
      </c>
      <c r="F69" s="377">
        <f ca="1">F41</f>
        <v>44.51</v>
      </c>
      <c r="O69" s="1893" t="s">
        <v>1048</v>
      </c>
      <c r="P69" s="1933" t="s">
        <v>1584</v>
      </c>
      <c r="Q69" s="1885">
        <f ca="1">C39</f>
        <v>145</v>
      </c>
      <c r="R69" s="1885" t="s">
        <v>1529</v>
      </c>
    </row>
    <row r="70" spans="1:18" s="1841" customFormat="1" ht="13.8" thickBot="1">
      <c r="A70" s="1172"/>
      <c r="B70" s="1173"/>
      <c r="C70" s="353"/>
      <c r="D70" s="1184"/>
      <c r="E70" s="1168" t="s">
        <v>1477</v>
      </c>
      <c r="F70" s="1274"/>
      <c r="O70" s="1893" t="s">
        <v>1049</v>
      </c>
      <c r="P70" s="1933" t="s">
        <v>1585</v>
      </c>
      <c r="Q70" s="1885">
        <f ca="1">C13</f>
        <v>3285</v>
      </c>
      <c r="R70" s="1885" t="s">
        <v>1529</v>
      </c>
    </row>
    <row r="71" spans="1:18" s="1841" customFormat="1" ht="13.8" thickBot="1">
      <c r="A71" s="1189" t="s">
        <v>1033</v>
      </c>
      <c r="B71" s="1190" t="s">
        <v>1487</v>
      </c>
      <c r="C71" s="380">
        <f ca="1">ROUND(C68*10000/F71,0)</f>
        <v>-7070</v>
      </c>
      <c r="D71" s="1191" t="s">
        <v>1488</v>
      </c>
      <c r="E71" s="1192" t="s">
        <v>1489</v>
      </c>
      <c r="F71" s="383">
        <f ca="1">F43</f>
        <v>8295.2800000000007</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续建工期及建筑物耐用年限下的土地年期修正系数Kn</v>
      </c>
      <c r="Q74" s="1885" t="e">
        <f ca="1">L59</f>
        <v>#DIV/0!</v>
      </c>
      <c r="R74" s="1885" t="s">
        <v>1569</v>
      </c>
    </row>
    <row r="75" spans="1:18" ht="13.8" thickBot="1">
      <c r="A75" s="1841"/>
      <c r="B75" s="384" t="s">
        <v>1506</v>
      </c>
      <c r="C75" s="385">
        <f ca="1">ROUND(C13*C76,0)</f>
        <v>263</v>
      </c>
      <c r="D75" s="1841"/>
      <c r="E75" s="1841"/>
      <c r="F75" s="1841"/>
      <c r="K75" s="1867"/>
      <c r="L75" s="1841"/>
      <c r="O75" s="1883" t="s">
        <v>1046</v>
      </c>
      <c r="P75" s="1884" t="s">
        <v>1549</v>
      </c>
      <c r="Q75" s="1885">
        <f ca="1">Q65+Q66</f>
        <v>2764</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-0.81400000000000006</v>
      </c>
    </row>
    <row r="80" spans="1:18">
      <c r="B80" s="384" t="s">
        <v>1511</v>
      </c>
      <c r="C80" s="316">
        <f ca="1">ROUND(C75/C39,3)</f>
        <v>1.8140000000000001</v>
      </c>
    </row>
    <row r="81" spans="2:3">
      <c r="B81" s="312" t="s">
        <v>1512</v>
      </c>
      <c r="C81" s="280"/>
    </row>
    <row r="82" spans="2:3">
      <c r="B82" s="315" t="s">
        <v>1513</v>
      </c>
      <c r="C82" s="317">
        <f ca="1">1-C83</f>
        <v>-0.18799999999999994</v>
      </c>
    </row>
    <row r="83" spans="2:3">
      <c r="B83" s="315" t="s">
        <v>1514</v>
      </c>
      <c r="C83" s="316">
        <f ca="1">ROUND(C13/C40,3)</f>
        <v>1.1879999999999999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1611</v>
      </c>
    </row>
    <row r="2" spans="1:1">
      <c r="A2" s="1945"/>
    </row>
    <row r="3" spans="1:1" ht="17.399999999999999">
      <c r="A3" s="1946" t="str">
        <f>项目基本情况!B5&amp;"："</f>
        <v>中粮（北京）农业生态谷发展有限公司：</v>
      </c>
    </row>
    <row r="4" spans="1:1" ht="69.599999999999994">
      <c r="A4" s="1947" t="str">
        <f>"受贵公司委托，我公司对"&amp;项目基本情况!S1&amp;"进行了预评估。"</f>
        <v>受贵公司委托，我公司对北京市房山区琉璃河镇中心区E-07地块1#综合厂房等3项、2#厂房等18项（中粮科技园标准厂房及配套附属设施建设项目）出让国有建设用地使用权及在建建筑物房地产抵押价值进行了预评估。</v>
      </c>
    </row>
    <row r="5" spans="1:1" ht="17.399999999999999">
      <c r="A5" s="1948" t="s">
        <v>1612</v>
      </c>
    </row>
    <row r="6" spans="1:1" ht="17.399999999999999">
      <c r="A6" s="1949" t="s">
        <v>1613</v>
      </c>
    </row>
    <row r="7" spans="1:1" ht="104.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出让国有建设用地使用权及在建建筑物房地产，为中粮（北京）农业生态谷发展有限公司所有。根据《国有土地使用证》[京房国用（2014出）第00080号]及估价委托人介绍，估价对象（分摊）出让国有建设用地使用权面积为49664.23平方米，建筑面积为103304.44平方米。</v>
      </c>
    </row>
    <row r="8" spans="1:1" ht="54.6">
      <c r="A8" s="1950" t="s">
        <v>1614</v>
      </c>
    </row>
    <row r="9" spans="1:1" ht="17.399999999999999">
      <c r="A9" s="1949" t="s">
        <v>1615</v>
      </c>
    </row>
    <row r="10" spans="1:1" ht="12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出让国有建设用地使用权及在建建筑物房地产,属中粮（北京）农业生态谷发展有限公司开发建设的工业项目，该项目尚在开发建设中。根据《国有土地使用证》[京房国用（2014出）第00080号]及估价委托人介绍，估价对象（分摊）出让国有建设用地使用权面积为49664.23平方米，规划建筑面积为103304.44平方米。</v>
      </c>
    </row>
    <row r="11" spans="1:1" ht="72">
      <c r="A11" s="1950" t="s">
        <v>1616</v>
      </c>
    </row>
    <row r="12" spans="1:1" ht="17.399999999999999">
      <c r="A12" s="1948" t="s">
        <v>1617</v>
      </c>
    </row>
    <row r="13" spans="1:1" ht="38.25" customHeight="1">
      <c r="A13" s="1951" t="str">
        <f>IF(项目基本情况!B8="抵押",IF(项目基本情况!B5=项目基本情况!B6,定义!C51,定义!B51),定义!D51)</f>
        <v>为估价委托人在向中国工商银行股份有限公司北京朝阳支行办理贷款手续过程中，确定房地产抵押贷款额度提供参考依据而评估房地产抵押价值。</v>
      </c>
    </row>
    <row r="14" spans="1:1" ht="17.399999999999999">
      <c r="A14" s="1952" t="s">
        <v>1618</v>
      </c>
    </row>
    <row r="15" spans="1:1" ht="17.399999999999999">
      <c r="A15" s="1953" t="str">
        <f>TEXT(项目基本情况!D3,"yyyy年m月d日;;")&amp;IF(项目基本情况!D3=项目基本情况!B3,"（评估专业人员实地查勘之日）","")</f>
        <v>2018年11月20日（评估专业人员实地查勘之日）</v>
      </c>
    </row>
    <row r="16" spans="1:1" ht="17.399999999999999">
      <c r="A16" s="1952" t="s">
        <v>1619</v>
      </c>
    </row>
    <row r="17" spans="1:1" ht="69.599999999999994">
      <c r="A17" s="1947" t="s">
        <v>1620</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20日，估价对象规划用途为工业、地下车库，土地取得方式为出让，出让国有建设用地使用权剩余土地使用年限为工业45.68年、地下车库45.68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地下车库，实际开发程度为宗地红线外“七通”（即通路、通电、通讯、通上水、通下水、通热、燃气）、红线内场地平整条件下，剩余土地使用年限为工业45.68年、地下车库45.68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1609</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E55" sqref="E55"/>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t="s">
        <v>48</v>
      </c>
      <c r="D1" s="1819" t="s">
        <v>3298</v>
      </c>
      <c r="E1" s="1820" t="s">
        <v>1387</v>
      </c>
      <c r="F1" s="1282">
        <f ca="1">J53</f>
        <v>44.51</v>
      </c>
      <c r="G1" s="183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1515</v>
      </c>
      <c r="B2" s="1843">
        <f ca="1">C40+J29+L46</f>
        <v>4285</v>
      </c>
      <c r="C2" s="1844" t="s">
        <v>1516</v>
      </c>
      <c r="D2" s="1844"/>
      <c r="E2" s="1845"/>
      <c r="F2" s="1846"/>
      <c r="G2" s="1847"/>
      <c r="H2" s="1839"/>
      <c r="I2" s="1839"/>
      <c r="J2" s="1839"/>
      <c r="K2" s="1840"/>
      <c r="L2" s="1839"/>
      <c r="M2" s="1839"/>
    </row>
    <row r="3" spans="1:37" ht="18" customHeight="1" thickBot="1">
      <c r="A3" s="1848" t="s">
        <v>1517</v>
      </c>
      <c r="B3" s="1849">
        <f ca="1">IF(ISERROR(B2*10000/F43),0,ROUND(B2*10000/F43,0))</f>
        <v>3388</v>
      </c>
      <c r="C3" s="1844" t="s">
        <v>1518</v>
      </c>
      <c r="D3" s="1844"/>
      <c r="E3" s="1845"/>
      <c r="F3" s="1846"/>
      <c r="G3" s="1847"/>
      <c r="H3" s="741" t="s">
        <v>1588</v>
      </c>
      <c r="I3" s="1839"/>
      <c r="J3" s="1839"/>
      <c r="K3" s="1840"/>
      <c r="L3" s="1839"/>
      <c r="M3" s="1839"/>
    </row>
    <row r="4" spans="1:37" ht="18" customHeight="1">
      <c r="A4" s="338" t="s">
        <v>1396</v>
      </c>
      <c r="B4" s="339" t="s">
        <v>1397</v>
      </c>
      <c r="C4" s="339" t="s">
        <v>1398</v>
      </c>
      <c r="D4" s="339" t="s">
        <v>1399</v>
      </c>
      <c r="E4" s="340" t="s">
        <v>1400</v>
      </c>
      <c r="F4" s="341"/>
      <c r="G4" s="1850"/>
      <c r="H4" s="338" t="s">
        <v>1396</v>
      </c>
      <c r="I4" s="339" t="s">
        <v>1397</v>
      </c>
      <c r="J4" s="339" t="s">
        <v>1398</v>
      </c>
      <c r="K4" s="339" t="s">
        <v>1399</v>
      </c>
      <c r="L4" s="340" t="s">
        <v>1400</v>
      </c>
      <c r="M4" s="341"/>
    </row>
    <row r="5" spans="1:37" ht="18" customHeight="1">
      <c r="A5" s="342">
        <v>1</v>
      </c>
      <c r="B5" s="343" t="s">
        <v>1401</v>
      </c>
      <c r="C5" s="1291">
        <f ca="1">C6+C10+C12</f>
        <v>332</v>
      </c>
      <c r="D5" s="1821" t="s">
        <v>1402</v>
      </c>
      <c r="E5" s="1292"/>
      <c r="F5" s="1293"/>
      <c r="G5" s="1850"/>
      <c r="H5" s="342">
        <v>1</v>
      </c>
      <c r="I5" s="343" t="s">
        <v>1401</v>
      </c>
      <c r="J5" s="1291">
        <f ca="1">J6+J10+J12</f>
        <v>0</v>
      </c>
      <c r="K5" s="1821" t="s">
        <v>1402</v>
      </c>
      <c r="L5" s="1292"/>
      <c r="M5" s="1293"/>
    </row>
    <row r="6" spans="1:37" ht="18" customHeight="1">
      <c r="A6" s="1290" t="s">
        <v>1035</v>
      </c>
      <c r="B6" s="3657" t="s">
        <v>1403</v>
      </c>
      <c r="C6" s="1295">
        <f ca="1">ROUND(F6*F8*F7*(1-F9)/10000,0)</f>
        <v>332</v>
      </c>
      <c r="D6" s="162" t="s">
        <v>3031</v>
      </c>
      <c r="E6" s="345" t="s">
        <v>1405</v>
      </c>
      <c r="F6" s="346">
        <f ca="1">INDIRECT("'数据-取费表'!u"&amp;$G$1)</f>
        <v>0.8</v>
      </c>
      <c r="G6" s="1850"/>
      <c r="H6" s="1290" t="s">
        <v>1035</v>
      </c>
      <c r="I6" s="3657" t="s">
        <v>1403</v>
      </c>
      <c r="J6" s="344">
        <f ca="1">ROUND(M6*M8*M7*(1-M9)/10000,0)</f>
        <v>0</v>
      </c>
      <c r="K6" s="162" t="s">
        <v>3030</v>
      </c>
      <c r="L6" s="345" t="s">
        <v>1405</v>
      </c>
      <c r="M6" s="346">
        <f ca="1">INDIRECT("'数据-取费表'!z"&amp;$G$1)</f>
        <v>0</v>
      </c>
    </row>
    <row r="7" spans="1:37" ht="18" customHeight="1">
      <c r="A7" s="1294"/>
      <c r="B7" s="3658"/>
      <c r="C7" s="1296"/>
      <c r="D7" s="350"/>
      <c r="E7" s="2943" t="s">
        <v>1406</v>
      </c>
      <c r="F7" s="346">
        <f ca="1">IF(INDIRECT("'数据-取费表'!ah"&amp;$G$1)="",INDIRECT("'数据-取费表'!k"&amp;$G$1),INDIRECT("'数据-取费表'!ah"&amp;$G$1))</f>
        <v>12648.5</v>
      </c>
      <c r="G7" s="1850"/>
      <c r="H7" s="347"/>
      <c r="I7" s="3658"/>
      <c r="J7" s="349"/>
      <c r="K7" s="350"/>
      <c r="L7" s="345" t="s">
        <v>1406</v>
      </c>
      <c r="M7" s="346">
        <f ca="1">F7</f>
        <v>12648.5</v>
      </c>
    </row>
    <row r="8" spans="1:37" ht="18" customHeight="1">
      <c r="A8" s="347"/>
      <c r="B8" s="3658"/>
      <c r="C8" s="349"/>
      <c r="D8" s="350"/>
      <c r="E8" s="345" t="s">
        <v>1407</v>
      </c>
      <c r="F8" s="346">
        <f ca="1">INDIRECT("'数据-取费表'!ai"&amp;$G$1)</f>
        <v>365</v>
      </c>
      <c r="G8" s="1850"/>
      <c r="H8" s="347"/>
      <c r="I8" s="3658"/>
      <c r="J8" s="349"/>
      <c r="K8" s="350"/>
      <c r="L8" s="345" t="s">
        <v>1407</v>
      </c>
      <c r="M8" s="346">
        <f ca="1">INDIRECT("'数据-取费表'!ai"&amp;$G$1)</f>
        <v>365</v>
      </c>
    </row>
    <row r="9" spans="1:37" ht="18" customHeight="1">
      <c r="A9" s="347"/>
      <c r="B9" s="3659"/>
      <c r="C9" s="349"/>
      <c r="D9" s="350"/>
      <c r="E9" s="345" t="s">
        <v>1408</v>
      </c>
      <c r="F9" s="355">
        <f ca="1">INDIRECT("'数据-取费表'!w"&amp;$G$1)</f>
        <v>0.1</v>
      </c>
      <c r="G9" s="1850"/>
      <c r="H9" s="347"/>
      <c r="I9" s="3659"/>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3039</v>
      </c>
      <c r="E10" s="356" t="s">
        <v>1410</v>
      </c>
      <c r="F10" s="1365" t="s">
        <v>3141</v>
      </c>
      <c r="G10" s="1850"/>
      <c r="H10" s="1290" t="s">
        <v>1039</v>
      </c>
      <c r="I10" s="1822" t="s">
        <v>1409</v>
      </c>
      <c r="J10" s="344">
        <f ca="1">ROUND(IF(M10="押一",J6/12*M11,IF(M10="押二",J6/12*2*M11,IF(M10="押三",J6/12*3*M11,J11*M11))),0)</f>
        <v>0</v>
      </c>
      <c r="K10" s="1823" t="s">
        <v>3039</v>
      </c>
      <c r="L10" s="356" t="s">
        <v>1410</v>
      </c>
      <c r="M10" s="1365" t="s">
        <v>1411</v>
      </c>
    </row>
    <row r="11" spans="1:37" ht="18" customHeight="1">
      <c r="A11" s="351"/>
      <c r="B11" s="1824" t="s">
        <v>1388</v>
      </c>
      <c r="C11" s="1177"/>
      <c r="D11" s="1825"/>
      <c r="E11" s="356" t="s">
        <v>1412</v>
      </c>
      <c r="F11" s="357">
        <f ca="1">'数据-取费表'!B39</f>
        <v>1.4999999999999999E-2</v>
      </c>
      <c r="G11" s="1850"/>
      <c r="H11" s="1298"/>
      <c r="I11" s="1824" t="s">
        <v>1388</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3774</v>
      </c>
      <c r="D13" s="1330" t="s">
        <v>1415</v>
      </c>
      <c r="E13" s="1330" t="s">
        <v>1416</v>
      </c>
      <c r="F13" s="1331">
        <f ca="1">INDIRECT("'数据-取费表'!y"&amp;$G$1)</f>
        <v>1</v>
      </c>
      <c r="G13" s="1850"/>
      <c r="H13" s="1328">
        <v>2</v>
      </c>
      <c r="I13" s="1329" t="s">
        <v>1414</v>
      </c>
      <c r="J13" s="1289">
        <f ca="1">ROUND(J14*J15,0)</f>
        <v>0</v>
      </c>
      <c r="K13" s="1336" t="s">
        <v>1415</v>
      </c>
      <c r="L13" s="1851"/>
      <c r="M13" s="1852"/>
    </row>
    <row r="14" spans="1:37" ht="18" customHeight="1">
      <c r="A14" s="1200" t="s">
        <v>1034</v>
      </c>
      <c r="B14" s="345" t="s">
        <v>1417</v>
      </c>
      <c r="C14" s="361">
        <f ca="1">INDIRECT("'数据-取费表'!m"&amp;$G$1)+INDIRECT("'数据-取费表'!t"&amp;$G$1)</f>
        <v>2702</v>
      </c>
      <c r="D14" s="2946" t="s">
        <v>1418</v>
      </c>
      <c r="E14" s="2945"/>
      <c r="F14" s="362"/>
      <c r="G14" s="1850"/>
      <c r="H14" s="1200" t="s">
        <v>1035</v>
      </c>
      <c r="I14" s="345" t="s">
        <v>1419</v>
      </c>
      <c r="J14" s="23">
        <f ca="1">C29</f>
        <v>3774</v>
      </c>
      <c r="K14" s="2942"/>
      <c r="L14" s="978"/>
      <c r="M14" s="979"/>
    </row>
    <row r="15" spans="1:37" s="1857" customFormat="1" ht="18" customHeight="1" thickBot="1">
      <c r="A15" s="1200" t="s">
        <v>1036</v>
      </c>
      <c r="B15" s="345" t="s">
        <v>1420</v>
      </c>
      <c r="C15" s="23">
        <f ca="1">ROUND(C14*F15,0)</f>
        <v>108</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ROUND(INDIRECT("'数据-取费表'!m"&amp;$G$1)*F16,0)</f>
        <v>0</v>
      </c>
      <c r="D16" s="345" t="s">
        <v>1421</v>
      </c>
      <c r="E16" s="345" t="s">
        <v>1422</v>
      </c>
      <c r="F16" s="365">
        <f ca="1">IF(INDIRECT("'数据-取费表'!c"&amp;$G$1)="住宅",'数据-取费表'!B34,0)</f>
        <v>0</v>
      </c>
      <c r="G16" s="1850"/>
      <c r="H16" s="1328" t="s">
        <v>1030</v>
      </c>
      <c r="I16" s="1329" t="s">
        <v>1424</v>
      </c>
      <c r="J16" s="353">
        <f ca="1">ROUND(J17+J22+J23+J24,0)</f>
        <v>89</v>
      </c>
      <c r="K16" s="1336" t="s">
        <v>1425</v>
      </c>
      <c r="L16" s="2948"/>
      <c r="M16" s="1293"/>
    </row>
    <row r="17" spans="1:37" s="1857" customFormat="1" ht="18" customHeight="1">
      <c r="A17" s="1200" t="s">
        <v>1390</v>
      </c>
      <c r="B17" s="345" t="s">
        <v>1426</v>
      </c>
      <c r="C17" s="23">
        <f ca="1">ROUND(F17*(F43+INDIRECT("'数据-取费表'!S"&amp;$G$1))/10000,0)</f>
        <v>270</v>
      </c>
      <c r="D17" s="345" t="s">
        <v>1427</v>
      </c>
      <c r="E17" s="345" t="s">
        <v>1428</v>
      </c>
      <c r="F17" s="25">
        <f>'数据-取费表'!B35</f>
        <v>200</v>
      </c>
      <c r="G17" s="1853"/>
      <c r="H17" s="1200" t="s">
        <v>1035</v>
      </c>
      <c r="I17" s="345" t="s">
        <v>1429</v>
      </c>
      <c r="J17" s="23">
        <f ca="1">ROUND(IF(项目基本情况!B11="自然人",J5*M17,J18+J19+J20),1)</f>
        <v>32.700000000000003</v>
      </c>
      <c r="K17" s="2946" t="s">
        <v>1430</v>
      </c>
      <c r="L17" s="294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41</v>
      </c>
      <c r="D18" s="345" t="s">
        <v>1421</v>
      </c>
      <c r="E18" s="345" t="s">
        <v>1422</v>
      </c>
      <c r="F18" s="365">
        <f>'数据-取费表'!B36</f>
        <v>1.4999999999999999E-2</v>
      </c>
      <c r="G18" s="1853"/>
      <c r="H18" s="1200" t="s">
        <v>1034</v>
      </c>
      <c r="I18" s="345" t="s">
        <v>1433</v>
      </c>
      <c r="J18" s="23">
        <f ca="1">ROUND(J5*M18/(1+'数据-取费表'!C42),2)</f>
        <v>0</v>
      </c>
      <c r="K18" s="294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3121</v>
      </c>
      <c r="D19" s="138" t="s">
        <v>1436</v>
      </c>
      <c r="E19" s="2941"/>
      <c r="F19" s="25"/>
      <c r="G19" s="1850"/>
      <c r="H19" s="1200" t="s">
        <v>1036</v>
      </c>
      <c r="I19" s="345" t="s">
        <v>1437</v>
      </c>
      <c r="J19" s="23">
        <f ca="1">IF(K19="按租金收入计税",ROUND(J5*M19,2),ROUND(C29*M19*0.7,2))</f>
        <v>31.7</v>
      </c>
      <c r="K19" s="1827" t="s">
        <v>1438</v>
      </c>
      <c r="L19" s="345" t="s">
        <v>1422</v>
      </c>
      <c r="M19" s="365">
        <f>IF(K19="按租金收入计税",'数据-取费表'!B51,'数据-取费表'!B50)</f>
        <v>1.2E-2</v>
      </c>
    </row>
    <row r="20" spans="1:37" s="1857" customFormat="1" ht="18" customHeight="1">
      <c r="A20" s="1200" t="s">
        <v>1039</v>
      </c>
      <c r="B20" s="345" t="s">
        <v>1439</v>
      </c>
      <c r="C20" s="23">
        <f ca="1">ROUND(C19*F20,0)</f>
        <v>62</v>
      </c>
      <c r="D20" s="367" t="s">
        <v>1440</v>
      </c>
      <c r="E20" s="345" t="s">
        <v>1422</v>
      </c>
      <c r="F20" s="365">
        <f>'数据-取费表'!B37</f>
        <v>0.02</v>
      </c>
      <c r="G20" s="1853"/>
      <c r="H20" s="1200" t="s">
        <v>1389</v>
      </c>
      <c r="I20" s="162" t="s">
        <v>1441</v>
      </c>
      <c r="J20" s="24">
        <f ca="1">ROUND(M20*M21/10000,2)</f>
        <v>0.97</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18</v>
      </c>
      <c r="D21" s="367" t="s">
        <v>1445</v>
      </c>
      <c r="E21" s="345" t="s">
        <v>1446</v>
      </c>
      <c r="F21" s="365">
        <f>'数据-取费表'!B38</f>
        <v>0.02</v>
      </c>
      <c r="G21" s="1853"/>
      <c r="H21" s="370"/>
      <c r="I21" s="354"/>
      <c r="J21" s="28"/>
      <c r="K21" s="371"/>
      <c r="L21" s="345" t="s">
        <v>1447</v>
      </c>
      <c r="M21" s="346">
        <f ca="1">INDIRECT("'数据-取费表'!r"&amp;$G$1)</f>
        <v>6493.18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2941"/>
      <c r="F22" s="25"/>
      <c r="G22" s="1850"/>
      <c r="H22" s="1200" t="s">
        <v>1039</v>
      </c>
      <c r="I22" s="345" t="s">
        <v>1449</v>
      </c>
      <c r="J22" s="23">
        <f ca="1">ROUND(J14*M22,1)</f>
        <v>56.6</v>
      </c>
      <c r="K22" s="2947" t="s">
        <v>1450</v>
      </c>
      <c r="L22" s="345" t="s">
        <v>1422</v>
      </c>
      <c r="M22" s="372">
        <f ca="1">INDIRECT("'数据-取费表'!Ak"&amp;$G$1)</f>
        <v>1.4999999999999999E-2</v>
      </c>
    </row>
    <row r="23" spans="1:37" s="1857" customFormat="1" ht="18" customHeight="1">
      <c r="A23" s="1200" t="s">
        <v>1034</v>
      </c>
      <c r="B23" s="345" t="s">
        <v>1451</v>
      </c>
      <c r="C23" s="23">
        <f ca="1">IF('数据-取费表'!B22&lt;=1,ROUND(C19*F24*F23/2,0)+ROUND(C20*F24*F23/2,0),ROUND(C19*(POWER((1+F24),F23/2)-1),0)+ROUND(C20*(POWER((1+F24),F23/2)-1),0))</f>
        <v>151</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ROUND(J13*M23,1)</f>
        <v>0</v>
      </c>
      <c r="K23" s="2947" t="s">
        <v>1454</v>
      </c>
      <c r="L23" s="345" t="s">
        <v>1422</v>
      </c>
      <c r="M23" s="374">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1392</v>
      </c>
      <c r="I24" s="1339" t="s">
        <v>1439</v>
      </c>
      <c r="J24" s="1340">
        <f ca="1">ROUND(J5*M24,1)</f>
        <v>0</v>
      </c>
      <c r="K24" s="1341" t="s">
        <v>1459</v>
      </c>
      <c r="L24" s="1339" t="s">
        <v>1422</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5" t="s">
        <v>1461</v>
      </c>
      <c r="C25" s="23"/>
      <c r="D25" s="138" t="s">
        <v>1462</v>
      </c>
      <c r="E25" s="2941"/>
      <c r="F25" s="25"/>
      <c r="G25" s="1850"/>
      <c r="H25" s="1328" t="s">
        <v>1031</v>
      </c>
      <c r="I25" s="1343" t="s">
        <v>1463</v>
      </c>
      <c r="J25" s="353">
        <f ca="1">J5-J16</f>
        <v>-89</v>
      </c>
      <c r="K25" s="1344" t="s">
        <v>1464</v>
      </c>
      <c r="L25" s="1345"/>
      <c r="M25" s="1346"/>
    </row>
    <row r="26" spans="1:37">
      <c r="A26" s="1200" t="s">
        <v>1034</v>
      </c>
      <c r="B26" s="345" t="s">
        <v>1465</v>
      </c>
      <c r="C26" s="23">
        <f ca="1">ROUND((C19+C20)*F26,0)</f>
        <v>159</v>
      </c>
      <c r="D26" s="367" t="s">
        <v>1466</v>
      </c>
      <c r="E26" s="356" t="s">
        <v>1467</v>
      </c>
      <c r="F26" s="355">
        <f ca="1">INDIRECT("'数据-取费表'!q"&amp;$G$1)</f>
        <v>0.05</v>
      </c>
      <c r="G26" s="1850"/>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200" t="s">
        <v>1036</v>
      </c>
      <c r="B27" s="345" t="s">
        <v>1471</v>
      </c>
      <c r="C27" s="23">
        <f ca="1">ROUND(F21*F26,4)</f>
        <v>1E-3</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3774</v>
      </c>
      <c r="D29" s="1341"/>
      <c r="E29" s="1339"/>
      <c r="F29" s="1342"/>
      <c r="G29" s="1853"/>
      <c r="H29" s="378" t="s">
        <v>1033</v>
      </c>
      <c r="I29" s="379" t="s">
        <v>1479</v>
      </c>
      <c r="J29" s="380">
        <f ca="1">ROUND(J26/(1+F40)^F41,0)</f>
        <v>0</v>
      </c>
      <c r="K29" s="381" t="s">
        <v>1480</v>
      </c>
      <c r="L29" s="382"/>
      <c r="M29" s="383">
        <f ca="1">INDIRECT("'数据-取费表'!k"&amp;$G$1)</f>
        <v>12648.5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124</v>
      </c>
      <c r="D30" s="1336" t="s">
        <v>1425</v>
      </c>
      <c r="E30" s="2948"/>
      <c r="F30" s="1293"/>
      <c r="G30" s="1850"/>
      <c r="H30" s="742"/>
      <c r="I30" s="743"/>
      <c r="J30" s="744"/>
      <c r="K30" s="745"/>
      <c r="L30" s="746"/>
      <c r="M30" s="747"/>
    </row>
    <row r="31" spans="1:37" ht="18" customHeight="1">
      <c r="A31" s="1200" t="s">
        <v>1035</v>
      </c>
      <c r="B31" s="345" t="s">
        <v>1429</v>
      </c>
      <c r="C31" s="23">
        <f ca="1">ROUND(IF(项目基本情况!B11="自然人",C5*F31,C32+C33+C34),1)</f>
        <v>58.2</v>
      </c>
      <c r="D31" s="2946" t="s">
        <v>1430</v>
      </c>
      <c r="E31" s="294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IF(项目基本情况!B11="自然人","——",ROUND(C5*F32/(1+'数据-取费表'!C42),2))</f>
        <v>17.39</v>
      </c>
      <c r="D32" s="294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IF(项目基本情况!B11="自然人","——",IF(D33="按租金收入计税",ROUND(C5*F33,2),IF(D33="按房产原值计税",ROUND(C29*F33*0.7,2),INDIRECT("'数据-取费表'!Aj"&amp;$G$1))))</f>
        <v>39.840000000000003</v>
      </c>
      <c r="D33" s="1827" t="s">
        <v>3128</v>
      </c>
      <c r="E33" s="345" t="s">
        <v>1422</v>
      </c>
      <c r="F33" s="365">
        <f>IF(D33="按票据","——",IF(D33="按租金收入计税",'数据-取费表'!B51,'数据-取费表'!B50))</f>
        <v>0.12</v>
      </c>
      <c r="G33" s="1850"/>
      <c r="H33" s="1858"/>
      <c r="I33" s="1859"/>
      <c r="J33" s="1860"/>
      <c r="K33" s="1861"/>
      <c r="L33" s="1858"/>
      <c r="M33" s="1858"/>
    </row>
    <row r="34" spans="1:18" ht="18" customHeight="1">
      <c r="A34" s="1290" t="s">
        <v>1389</v>
      </c>
      <c r="B34" s="162" t="s">
        <v>1441</v>
      </c>
      <c r="C34" s="24">
        <f ca="1">IF(项目基本情况!B11="自然人","——",ROUND(F34*F35/10000,2))</f>
        <v>0.97</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6493.18</v>
      </c>
      <c r="G35" s="1850"/>
      <c r="H35" s="742"/>
      <c r="I35" s="1859"/>
      <c r="J35" s="1860"/>
      <c r="K35" s="1861"/>
      <c r="L35" s="1858"/>
      <c r="M35" s="1858"/>
    </row>
    <row r="36" spans="1:18" ht="18" customHeight="1">
      <c r="A36" s="1351" t="s">
        <v>1039</v>
      </c>
      <c r="B36" s="345" t="s">
        <v>1449</v>
      </c>
      <c r="C36" s="23">
        <f ca="1">ROUND(C29*F36,1)</f>
        <v>56.6</v>
      </c>
      <c r="D36" s="2947" t="s">
        <v>1482</v>
      </c>
      <c r="E36" s="345" t="s">
        <v>1422</v>
      </c>
      <c r="F36" s="372">
        <f ca="1">INDIRECT("'数据-取费表'!Ak"&amp;$G$1)</f>
        <v>1.4999999999999999E-2</v>
      </c>
      <c r="G36" s="1850"/>
      <c r="H36" s="1858"/>
      <c r="I36" s="1859"/>
      <c r="J36" s="1860"/>
      <c r="K36" s="748"/>
      <c r="L36" s="1858"/>
      <c r="M36" s="1858"/>
    </row>
    <row r="37" spans="1:18" ht="18" customHeight="1">
      <c r="A37" s="1200" t="s">
        <v>1075</v>
      </c>
      <c r="B37" s="345" t="s">
        <v>1453</v>
      </c>
      <c r="C37" s="23">
        <f ca="1">ROUND(C13*F37,1)</f>
        <v>5.7</v>
      </c>
      <c r="D37" s="2947" t="s">
        <v>1454</v>
      </c>
      <c r="E37" s="345" t="s">
        <v>1422</v>
      </c>
      <c r="F37" s="374">
        <f ca="1">INDIRECT("'数据-取费表'!Al"&amp;$G$1)</f>
        <v>1.5E-3</v>
      </c>
      <c r="G37" s="1850"/>
      <c r="H37" s="1858"/>
      <c r="I37" s="1859"/>
      <c r="J37" s="1860"/>
      <c r="K37" s="748"/>
      <c r="L37" s="1858"/>
      <c r="M37" s="1858"/>
    </row>
    <row r="38" spans="1:18" ht="18" customHeight="1" thickBot="1">
      <c r="A38" s="1338" t="s">
        <v>1392</v>
      </c>
      <c r="B38" s="1339" t="s">
        <v>1439</v>
      </c>
      <c r="C38" s="1340">
        <f ca="1">ROUND(C5*F38,1)</f>
        <v>3.3</v>
      </c>
      <c r="D38" s="1341" t="s">
        <v>1459</v>
      </c>
      <c r="E38" s="1339" t="s">
        <v>1422</v>
      </c>
      <c r="F38" s="1335">
        <f ca="1">INDIRECT("'数据-取费表'!Am"&amp;$G$1)</f>
        <v>0.01</v>
      </c>
      <c r="G38" s="1850"/>
      <c r="H38" s="1858"/>
      <c r="I38" s="1859"/>
      <c r="J38" s="1860"/>
      <c r="K38" s="1864"/>
      <c r="L38" s="1858"/>
      <c r="M38" s="1858"/>
    </row>
    <row r="39" spans="1:18" ht="24.6" customHeight="1" thickTop="1">
      <c r="A39" s="1328" t="s">
        <v>1031</v>
      </c>
      <c r="B39" s="1343" t="s">
        <v>1463</v>
      </c>
      <c r="C39" s="353">
        <f ca="1">C5-C30</f>
        <v>208</v>
      </c>
      <c r="D39" s="1344" t="s">
        <v>1464</v>
      </c>
      <c r="E39" s="1345"/>
      <c r="F39" s="1346"/>
      <c r="G39" s="1850"/>
      <c r="H39" s="1858"/>
      <c r="I39" s="1859"/>
      <c r="J39" s="1860"/>
      <c r="K39" s="1864"/>
      <c r="L39" s="1858"/>
      <c r="M39" s="1858"/>
    </row>
    <row r="40" spans="1:18" ht="18" customHeight="1">
      <c r="A40" s="342" t="s">
        <v>1032</v>
      </c>
      <c r="B40" s="343" t="s">
        <v>1485</v>
      </c>
      <c r="C40" s="344">
        <f ca="1">ROUND(C39*(1-((1+F42)/(1+F40))^F41)/(F40-F42),0)</f>
        <v>4285</v>
      </c>
      <c r="D40" s="368" t="s">
        <v>1469</v>
      </c>
      <c r="E40" s="345" t="s">
        <v>1470</v>
      </c>
      <c r="F40" s="355">
        <f ca="1">INDIRECT("'数据-取费表'!I"&amp;$G$1)</f>
        <v>4.4999999999999998E-2</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44.51</v>
      </c>
      <c r="G41" s="1850"/>
      <c r="H41" s="729"/>
      <c r="I41" s="1859"/>
      <c r="J41" s="1860"/>
      <c r="K41" s="748"/>
      <c r="L41" s="729"/>
      <c r="M41" s="729"/>
    </row>
    <row r="42" spans="1:18" ht="18" customHeight="1">
      <c r="A42" s="351"/>
      <c r="B42" s="352"/>
      <c r="C42" s="353"/>
      <c r="D42" s="371"/>
      <c r="E42" s="345" t="s">
        <v>1477</v>
      </c>
      <c r="F42" s="355">
        <f ca="1">INDIRECT("'数据-取费表'!v"&amp;$G$1)</f>
        <v>5.0000000000000001E-3</v>
      </c>
      <c r="G42" s="1850"/>
      <c r="H42" s="729"/>
      <c r="I42" s="1859"/>
      <c r="J42" s="1860"/>
      <c r="K42" s="748"/>
      <c r="L42" s="729"/>
      <c r="M42" s="729"/>
    </row>
    <row r="43" spans="1:18" ht="18" customHeight="1" thickBot="1">
      <c r="A43" s="378" t="s">
        <v>1033</v>
      </c>
      <c r="B43" s="379" t="s">
        <v>1487</v>
      </c>
      <c r="C43" s="380">
        <f ca="1">ROUND(C40*10000/F43,0)</f>
        <v>3388</v>
      </c>
      <c r="D43" s="381" t="s">
        <v>1488</v>
      </c>
      <c r="E43" s="382" t="s">
        <v>1489</v>
      </c>
      <c r="F43" s="383">
        <f ca="1">INDIRECT("'数据-取费表'!k"&amp;$G$1)</f>
        <v>12648.5</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3"/>
      <c r="O45" s="1868" t="s">
        <v>1519</v>
      </c>
      <c r="P45" s="1838"/>
      <c r="Q45" s="1838"/>
      <c r="R45" s="1838"/>
    </row>
    <row r="46" spans="1:18" s="1841" customFormat="1" ht="13.8" thickBot="1">
      <c r="A46" s="1869" t="s">
        <v>1520</v>
      </c>
      <c r="C46" s="1870">
        <f ca="1">C68-C40</f>
        <v>-11539</v>
      </c>
      <c r="D46" s="1871" t="str">
        <f>C2</f>
        <v>万元</v>
      </c>
      <c r="E46" s="1865"/>
      <c r="F46" s="1865"/>
      <c r="I46" s="1872" t="s">
        <v>1521</v>
      </c>
      <c r="J46" s="1873"/>
      <c r="K46" s="1874"/>
      <c r="L46" s="1875" t="str">
        <f ca="1">IF(M47="住宅",0,IF(L48&gt;J51,L60,J60))</f>
        <v>0</v>
      </c>
      <c r="O46" s="1876" t="s">
        <v>1522</v>
      </c>
      <c r="P46" s="1877" t="s">
        <v>1523</v>
      </c>
      <c r="Q46" s="1878" t="s">
        <v>1524</v>
      </c>
      <c r="R46" s="1878" t="s">
        <v>1525</v>
      </c>
    </row>
    <row r="47" spans="1:18" s="1841" customFormat="1" ht="13.8" thickBot="1">
      <c r="A47" s="1164" t="s">
        <v>1396</v>
      </c>
      <c r="B47" s="1196" t="s">
        <v>1397</v>
      </c>
      <c r="C47" s="1366" t="s">
        <v>1398</v>
      </c>
      <c r="D47" s="1196" t="s">
        <v>1399</v>
      </c>
      <c r="E47" s="1278" t="s">
        <v>1400</v>
      </c>
      <c r="F47" s="1279"/>
      <c r="G47" s="789"/>
      <c r="I47" s="1879" t="s">
        <v>1526</v>
      </c>
      <c r="J47" s="1880" t="s">
        <v>3129</v>
      </c>
      <c r="K47" s="1881" t="s">
        <v>1527</v>
      </c>
      <c r="L47" s="1882">
        <f ca="1">INDIRECT("'数据-取费表'!d"&amp;$G$1)</f>
        <v>50</v>
      </c>
      <c r="M47" s="1837" t="str">
        <f>IF(ISNUMBER(FIND("住宅",C1)),"住宅","非住宅")</f>
        <v>非住宅</v>
      </c>
      <c r="O47" s="1883" t="s">
        <v>1040</v>
      </c>
      <c r="P47" s="1884" t="s">
        <v>1528</v>
      </c>
      <c r="Q47" s="1885">
        <f ca="1">C40+J29</f>
        <v>4285</v>
      </c>
      <c r="R47" s="1885" t="s">
        <v>1529</v>
      </c>
    </row>
    <row r="48" spans="1:18" s="1841" customFormat="1" ht="40.200000000000003" thickBot="1">
      <c r="A48" s="1359" t="s">
        <v>1135</v>
      </c>
      <c r="B48" s="343" t="s">
        <v>1401</v>
      </c>
      <c r="C48" s="2940">
        <f ca="1">C49+C53+C55</f>
        <v>0</v>
      </c>
      <c r="D48" s="1361"/>
      <c r="E48" s="1362"/>
      <c r="F48" s="1180"/>
      <c r="G48" s="789"/>
      <c r="H48" s="790"/>
      <c r="I48" s="1886" t="s">
        <v>1530</v>
      </c>
      <c r="J48" s="1887" t="s">
        <v>3130</v>
      </c>
      <c r="K48" s="1888" t="s">
        <v>1531</v>
      </c>
      <c r="L48" s="1889">
        <f ca="1">INDIRECT("'数据-取费表'!f"&amp;$G$1)</f>
        <v>45.21</v>
      </c>
      <c r="O48" s="1883" t="s">
        <v>1041</v>
      </c>
      <c r="P48" s="1884" t="s">
        <v>1532</v>
      </c>
      <c r="Q48" s="1885" t="str">
        <f ca="1">J60</f>
        <v>0</v>
      </c>
      <c r="R48" s="1885" t="s">
        <v>1533</v>
      </c>
    </row>
    <row r="49" spans="1:18" s="1841" customFormat="1" ht="13.8" thickBot="1">
      <c r="A49" s="1193" t="s">
        <v>1136</v>
      </c>
      <c r="B49" s="1828" t="s">
        <v>1490</v>
      </c>
      <c r="C49" s="1363">
        <f ca="1">ROUND(F49*F51*F50*(1-F52)/10000,0)</f>
        <v>0</v>
      </c>
      <c r="D49" s="1275" t="s">
        <v>3030</v>
      </c>
      <c r="E49" s="1829" t="s">
        <v>1491</v>
      </c>
      <c r="F49" s="1280"/>
      <c r="G49" s="1890"/>
      <c r="H49" s="790"/>
      <c r="I49" s="1886" t="s">
        <v>1534</v>
      </c>
      <c r="J49" s="1891">
        <v>2018</v>
      </c>
      <c r="K49" s="1888" t="s">
        <v>1535</v>
      </c>
      <c r="L49" s="1892"/>
      <c r="O49" s="1893" t="s">
        <v>1042</v>
      </c>
      <c r="P49" s="1884" t="s">
        <v>1536</v>
      </c>
      <c r="Q49" s="1885">
        <f ca="1">C29</f>
        <v>3774</v>
      </c>
      <c r="R49" s="1885" t="s">
        <v>1529</v>
      </c>
    </row>
    <row r="50" spans="1:18" s="1841" customFormat="1" ht="13.8" thickBot="1">
      <c r="A50" s="1194"/>
      <c r="B50" s="1197"/>
      <c r="C50" s="1367"/>
      <c r="D50" s="1171"/>
      <c r="E50" s="1276" t="s">
        <v>1406</v>
      </c>
      <c r="F50" s="1277">
        <f ca="1">F7</f>
        <v>12648.5</v>
      </c>
      <c r="H50" s="790"/>
      <c r="I50" s="1886" t="s">
        <v>1537</v>
      </c>
      <c r="J50" s="1894">
        <f>SUMPRODUCT((I63:I65=J47)*(J62:L62=J48)*(J63:L65))</f>
        <v>60</v>
      </c>
      <c r="K50" s="1888" t="s">
        <v>1538</v>
      </c>
      <c r="L50" s="1892"/>
      <c r="M50" s="1895"/>
      <c r="O50" s="1893" t="s">
        <v>1043</v>
      </c>
      <c r="P50" s="1884" t="s">
        <v>1539</v>
      </c>
      <c r="Q50" s="1896" t="e">
        <f ca="1">J58</f>
        <v>#VALUE!</v>
      </c>
      <c r="R50" s="1885"/>
    </row>
    <row r="51" spans="1:18" s="1841" customFormat="1" ht="13.8" thickBot="1">
      <c r="A51" s="1195"/>
      <c r="B51" s="1197"/>
      <c r="C51" s="1198"/>
      <c r="D51" s="1171"/>
      <c r="E51" s="1199" t="s">
        <v>1407</v>
      </c>
      <c r="F51" s="346">
        <f ca="1">F8</f>
        <v>365</v>
      </c>
      <c r="I51" s="1897" t="s">
        <v>1540</v>
      </c>
      <c r="J51" s="1898">
        <f>IF(J49="",J50,J49+J50-YEAR('数据-取费表'!B2))</f>
        <v>60</v>
      </c>
      <c r="K51" s="1899" t="s">
        <v>1541</v>
      </c>
      <c r="L51" s="1900">
        <f ca="1">ROUND(-PV(INDIRECT("'数据-取费表'!h"&amp;$G$1),L48,(C39-C13*C76),0),0)</f>
        <v>-1949</v>
      </c>
      <c r="M51" s="1901"/>
      <c r="O51" s="1893" t="s">
        <v>1044</v>
      </c>
      <c r="P51" s="1884" t="s">
        <v>1542</v>
      </c>
      <c r="Q51" s="1896">
        <f>J52</f>
        <v>8.5000000000000006E-2</v>
      </c>
      <c r="R51" s="1885"/>
    </row>
    <row r="52" spans="1:18" s="1841" customFormat="1" ht="13.8" thickBot="1">
      <c r="A52" s="1195"/>
      <c r="B52" s="1197"/>
      <c r="C52" s="1198"/>
      <c r="D52" s="1171"/>
      <c r="E52" s="1199" t="s">
        <v>1408</v>
      </c>
      <c r="F52" s="1274"/>
      <c r="I52" s="1902" t="s">
        <v>1543</v>
      </c>
      <c r="J52" s="1903">
        <v>8.5000000000000006E-2</v>
      </c>
      <c r="K52" s="1902" t="s">
        <v>1544</v>
      </c>
      <c r="L52" s="1903"/>
      <c r="O52" s="1893" t="s">
        <v>1045</v>
      </c>
      <c r="P52" s="1884" t="s">
        <v>1545</v>
      </c>
      <c r="Q52" s="1885">
        <f ca="1">J53</f>
        <v>44.51</v>
      </c>
      <c r="R52" s="1885" t="s">
        <v>1546</v>
      </c>
    </row>
    <row r="53" spans="1:18" s="1841" customFormat="1" ht="36.6" thickBot="1">
      <c r="A53" s="1404" t="s">
        <v>1137</v>
      </c>
      <c r="B53" s="1830" t="s">
        <v>1409</v>
      </c>
      <c r="C53" s="359">
        <f ca="1">ROUND(IF(F53="押一",C49/12*F11,IF(F53="押二",C49/12*2*F11,IF(F53="押三",C49/12*3*F11,C54*F11))),0)</f>
        <v>0</v>
      </c>
      <c r="D53" s="1823" t="s">
        <v>3039</v>
      </c>
      <c r="E53" s="356" t="s">
        <v>1410</v>
      </c>
      <c r="F53" s="1365"/>
      <c r="I53" s="1904" t="s">
        <v>1547</v>
      </c>
      <c r="J53" s="1905">
        <f ca="1">IF(M47="住宅",J51,IF(D1="——",MIN(J51,L48),IF(D1="在建（套用方法）",MIN(J51,L48-'数据-取费表'!B24),IF(D1="土地（套用方法）",MIN(J51,L48-'数据-取费表'!B20)))))</f>
        <v>44.51</v>
      </c>
      <c r="K53" s="3655" t="s">
        <v>1548</v>
      </c>
      <c r="L53" s="3656"/>
      <c r="O53" s="1883" t="s">
        <v>1046</v>
      </c>
      <c r="P53" s="1884" t="s">
        <v>1549</v>
      </c>
      <c r="Q53" s="1885">
        <f ca="1">Q47+Q48</f>
        <v>4285</v>
      </c>
      <c r="R53" s="1885" t="s">
        <v>1047</v>
      </c>
    </row>
    <row r="54" spans="1:18" s="1841" customFormat="1" ht="24.6" thickBot="1">
      <c r="A54" s="1405"/>
      <c r="B54" s="1824" t="s">
        <v>1388</v>
      </c>
      <c r="C54" s="1177"/>
      <c r="D54" s="1823"/>
      <c r="E54" s="2944"/>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8" thickBot="1">
      <c r="A55" s="1332" t="s">
        <v>1075</v>
      </c>
      <c r="B55" s="1826" t="s">
        <v>1413</v>
      </c>
      <c r="C55" s="1333"/>
      <c r="D55" s="1823"/>
      <c r="E55" s="2944"/>
      <c r="F55" s="1906"/>
      <c r="I55" s="1909" t="s">
        <v>1551</v>
      </c>
      <c r="J55" s="1910" t="e">
        <f ca="1">ROUND(IF(J47="钢混",J57/J50,1-(1-2%)*(J50-J57)/J50),3)</f>
        <v>#VALUE!</v>
      </c>
      <c r="K55" s="1911" t="s">
        <v>1552</v>
      </c>
      <c r="L55" s="1912" t="s">
        <v>1553</v>
      </c>
      <c r="O55" s="1876" t="s">
        <v>1522</v>
      </c>
      <c r="P55" s="1877" t="s">
        <v>1523</v>
      </c>
      <c r="Q55" s="1878" t="s">
        <v>1524</v>
      </c>
      <c r="R55" s="1878" t="s">
        <v>1525</v>
      </c>
    </row>
    <row r="56" spans="1:18" s="1841" customFormat="1" ht="37.200000000000003" thickTop="1" thickBot="1">
      <c r="A56" s="1175">
        <v>2</v>
      </c>
      <c r="B56" s="1176" t="s">
        <v>1414</v>
      </c>
      <c r="C56" s="274">
        <f ca="1">C13</f>
        <v>3774</v>
      </c>
      <c r="D56" s="1913"/>
      <c r="E56" s="1914"/>
      <c r="F56" s="1906"/>
      <c r="I56" s="1915" t="s">
        <v>1554</v>
      </c>
      <c r="J56" s="1916" t="s">
        <v>3098</v>
      </c>
      <c r="K56" s="1886" t="s">
        <v>1555</v>
      </c>
      <c r="L56" s="1889" t="str">
        <f ca="1">IF(L48&lt;J51,"——",L48-J53)</f>
        <v>——</v>
      </c>
      <c r="O56" s="1883" t="s">
        <v>1040</v>
      </c>
      <c r="P56" s="1884" t="s">
        <v>1528</v>
      </c>
      <c r="Q56" s="1885">
        <f ca="1">C40+J29</f>
        <v>4285</v>
      </c>
      <c r="R56" s="1885" t="s">
        <v>1529</v>
      </c>
    </row>
    <row r="57" spans="1:18" s="1841" customFormat="1" ht="24.6" thickBot="1">
      <c r="A57" s="1917"/>
      <c r="B57" s="1168" t="s">
        <v>1478</v>
      </c>
      <c r="C57" s="280">
        <f ca="1">C29</f>
        <v>3774</v>
      </c>
      <c r="D57" s="1918"/>
      <c r="E57" s="1919"/>
      <c r="F57" s="1920"/>
      <c r="I57" s="1921" t="s">
        <v>1556</v>
      </c>
      <c r="J57" s="1922" t="str">
        <f ca="1">IF(OR(M47="住宅",J51&lt;L48,J56="是"),"——",J51-L48)</f>
        <v>——</v>
      </c>
      <c r="K57" s="1886" t="s">
        <v>1557</v>
      </c>
      <c r="L57" s="1889" t="str">
        <f ca="1">IF(L48&lt;J51,"——",IF(L55="比较法",L49,IF(L55="基准地价",L50,L51)))</f>
        <v>——</v>
      </c>
      <c r="O57" s="1883" t="s">
        <v>1041</v>
      </c>
      <c r="P57" s="1884" t="s">
        <v>1558</v>
      </c>
      <c r="Q57" s="1885">
        <f ca="1">L60</f>
        <v>0</v>
      </c>
      <c r="R57" s="1885" t="s">
        <v>1559</v>
      </c>
    </row>
    <row r="58" spans="1:18" s="1841" customFormat="1" ht="24.6" thickBot="1">
      <c r="A58" s="358" t="s">
        <v>1030</v>
      </c>
      <c r="B58" s="1176" t="s">
        <v>1424</v>
      </c>
      <c r="C58" s="359">
        <f ca="1">ROUND(C59+C64+C65+C66,0)</f>
        <v>380</v>
      </c>
      <c r="D58" s="1178" t="s">
        <v>1425</v>
      </c>
      <c r="E58" s="1179"/>
      <c r="F58" s="1180"/>
      <c r="I58" s="1921" t="s">
        <v>1560</v>
      </c>
      <c r="J58" s="1923" t="e">
        <f ca="1">IF(J55&lt;0.4,0.4,J55)</f>
        <v>#VALUE!</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ROUND(IF(项目基本情况!B11="自然人",C48*F59,C60+C61+C62),1)</f>
        <v>318</v>
      </c>
      <c r="D59" s="1181" t="s">
        <v>1430</v>
      </c>
      <c r="E59" s="1182" t="s">
        <v>1431</v>
      </c>
      <c r="F59" s="366" t="str">
        <f ca="1">IF(项目基本情况!B11="企业","",IF(INDIRECT("'数据-取费表'!c"&amp;$G$1)="住宅",5%,IF(F49*F50*F51/12/(1+'数据-取费表'!C42)&gt;20000,12%,7%)))</f>
        <v/>
      </c>
      <c r="I59" s="1921" t="s">
        <v>1563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IF(项目基本情况!B11="自然人","——",ROUND(C48*F60/(1+'数据-取费表'!C42),2))</f>
        <v>0</v>
      </c>
      <c r="D60" s="1182" t="s">
        <v>1434</v>
      </c>
      <c r="E60" s="1168" t="s">
        <v>1422</v>
      </c>
      <c r="F60" s="375">
        <f t="shared" ref="F60:F66" si="0">F32</f>
        <v>5.5000000000000007E-2</v>
      </c>
      <c r="I60" s="1924" t="s">
        <v>1565</v>
      </c>
      <c r="J60" s="1925" t="str">
        <f ca="1">IF(OR(M47="住宅",J51&lt;L48,J56="是"),"0",ROUND(J59/(1+J52)^J53,0))</f>
        <v>0</v>
      </c>
      <c r="K60" s="1926" t="s">
        <v>1566</v>
      </c>
      <c r="L60" s="1925">
        <f ca="1">IF(OR(M47="住宅",L48&lt;J51),0,ROUND(L57*(L58/L59-1),0))</f>
        <v>0</v>
      </c>
      <c r="O60" s="1893" t="s">
        <v>1044</v>
      </c>
      <c r="P60" s="1884" t="s">
        <v>1567</v>
      </c>
      <c r="Q60" s="1885" t="e">
        <f ca="1">L58</f>
        <v>#DIV/0!</v>
      </c>
      <c r="R60" s="1885" t="s">
        <v>1568</v>
      </c>
    </row>
    <row r="61" spans="1:18" s="1841" customFormat="1" ht="13.8" thickBot="1">
      <c r="A61" s="1200" t="s">
        <v>1492</v>
      </c>
      <c r="B61" s="1168" t="s">
        <v>1437</v>
      </c>
      <c r="C61" s="23">
        <f ca="1">IF(项目基本情况!B11="自然人","——",IF(D61="按租金收入计税",ROUND(C48*F61,2),IF(D61="按房产原值计税",ROUND(C57*F61*0.7,2),INDIRECT("'数据-取费表'!Aj"&amp;$G$1))))</f>
        <v>317.02</v>
      </c>
      <c r="D61" s="1827" t="s">
        <v>1438</v>
      </c>
      <c r="E61" s="1168" t="s">
        <v>1422</v>
      </c>
      <c r="F61" s="365">
        <f t="shared" si="0"/>
        <v>0.12</v>
      </c>
      <c r="I61" s="1927"/>
      <c r="J61" s="1927"/>
      <c r="K61" s="1927"/>
      <c r="L61" s="1927"/>
      <c r="O61" s="1893" t="s">
        <v>1045</v>
      </c>
      <c r="P61" s="1884" t="str">
        <f>K59</f>
        <v>续建工期及建筑物耐用年限下的土地年期修正系数Kn</v>
      </c>
      <c r="Q61" s="1885" t="e">
        <f ca="1">L59</f>
        <v>#DIV/0!</v>
      </c>
      <c r="R61" s="1885" t="s">
        <v>1569</v>
      </c>
    </row>
    <row r="62" spans="1:18" s="1841" customFormat="1" ht="13.8" thickBot="1">
      <c r="A62" s="1200" t="s">
        <v>1495</v>
      </c>
      <c r="B62" s="1167" t="s">
        <v>1441</v>
      </c>
      <c r="C62" s="24">
        <f ca="1">IF(项目基本情况!B11="自然人","——",ROUND(F62*F63/10000,2))</f>
        <v>0.97</v>
      </c>
      <c r="D62" s="1183" t="s">
        <v>1442</v>
      </c>
      <c r="E62" s="1168" t="s">
        <v>1443</v>
      </c>
      <c r="F62" s="369">
        <f t="shared" si="0"/>
        <v>1.5</v>
      </c>
      <c r="I62" s="1928" t="s">
        <v>1570</v>
      </c>
      <c r="J62" s="1929" t="s">
        <v>1571</v>
      </c>
      <c r="K62" s="1929" t="s">
        <v>1572</v>
      </c>
      <c r="L62" s="1929" t="s">
        <v>1573</v>
      </c>
      <c r="M62" s="1930" t="s">
        <v>1574</v>
      </c>
      <c r="O62" s="1883" t="s">
        <v>1046</v>
      </c>
      <c r="P62" s="1884" t="s">
        <v>1549</v>
      </c>
      <c r="Q62" s="1885">
        <f ca="1">Q56+Q57</f>
        <v>4285</v>
      </c>
      <c r="R62" s="1885" t="s">
        <v>1047</v>
      </c>
    </row>
    <row r="63" spans="1:18" s="1841" customFormat="1" ht="13.8" thickBot="1">
      <c r="A63" s="370"/>
      <c r="B63" s="1174"/>
      <c r="C63" s="28"/>
      <c r="D63" s="1184"/>
      <c r="E63" s="1168" t="s">
        <v>1447</v>
      </c>
      <c r="F63" s="346">
        <f t="shared" ca="1" si="0"/>
        <v>6493.18</v>
      </c>
      <c r="I63" s="1928" t="s">
        <v>1576</v>
      </c>
      <c r="J63" s="1929">
        <v>70</v>
      </c>
      <c r="K63" s="1929">
        <v>50</v>
      </c>
      <c r="L63" s="1929">
        <v>80</v>
      </c>
      <c r="M63" s="1931">
        <v>0.02</v>
      </c>
      <c r="O63" s="1868" t="s">
        <v>1577</v>
      </c>
      <c r="P63" s="1838"/>
      <c r="Q63" s="1838"/>
      <c r="R63" s="1838"/>
    </row>
    <row r="64" spans="1:18" s="1841" customFormat="1" ht="13.8" thickBot="1">
      <c r="A64" s="1200" t="s">
        <v>1039</v>
      </c>
      <c r="B64" s="1168" t="s">
        <v>1449</v>
      </c>
      <c r="C64" s="23">
        <f ca="1">ROUND(C57*F64,1)</f>
        <v>56.6</v>
      </c>
      <c r="D64" s="1182" t="s">
        <v>1482</v>
      </c>
      <c r="E64" s="1168" t="s">
        <v>1422</v>
      </c>
      <c r="F64" s="372">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ROUND(C56*F65,1)</f>
        <v>5.7</v>
      </c>
      <c r="D65" s="1182" t="s">
        <v>1454</v>
      </c>
      <c r="E65" s="1168" t="s">
        <v>1422</v>
      </c>
      <c r="F65" s="374">
        <f t="shared" ca="1" si="0"/>
        <v>1.5E-3</v>
      </c>
      <c r="I65" s="1928" t="s">
        <v>1579</v>
      </c>
      <c r="J65" s="1929">
        <v>40</v>
      </c>
      <c r="K65" s="1929">
        <v>30</v>
      </c>
      <c r="L65" s="1929">
        <v>50</v>
      </c>
      <c r="M65" s="1931">
        <v>0.02</v>
      </c>
      <c r="O65" s="1883" t="s">
        <v>1040</v>
      </c>
      <c r="P65" s="1884" t="s">
        <v>1528</v>
      </c>
      <c r="Q65" s="1885">
        <f ca="1">C40+J29</f>
        <v>4285</v>
      </c>
      <c r="R65" s="1885" t="s">
        <v>1529</v>
      </c>
    </row>
    <row r="66" spans="1:18" s="1841" customFormat="1" ht="16.2" thickBot="1">
      <c r="A66" s="1200" t="s">
        <v>1504</v>
      </c>
      <c r="B66" s="1168" t="s">
        <v>1439</v>
      </c>
      <c r="C66" s="23">
        <f ca="1">ROUND(C48*F66,1)</f>
        <v>0</v>
      </c>
      <c r="D66" s="1182" t="s">
        <v>1459</v>
      </c>
      <c r="E66" s="1168" t="s">
        <v>1422</v>
      </c>
      <c r="F66" s="355">
        <f t="shared" ca="1" si="0"/>
        <v>0.01</v>
      </c>
      <c r="O66" s="1883" t="s">
        <v>1041</v>
      </c>
      <c r="P66" s="1884" t="s">
        <v>1558</v>
      </c>
      <c r="Q66" s="1885">
        <f ca="1">L60</f>
        <v>0</v>
      </c>
      <c r="R66" s="1885" t="s">
        <v>1581</v>
      </c>
    </row>
    <row r="67" spans="1:18" s="1841" customFormat="1" ht="24.6" thickBot="1">
      <c r="A67" s="1175" t="s">
        <v>1031</v>
      </c>
      <c r="B67" s="1185" t="s">
        <v>1463</v>
      </c>
      <c r="C67" s="359">
        <f ca="1">C48-C58</f>
        <v>-380</v>
      </c>
      <c r="D67" s="1181" t="s">
        <v>1464</v>
      </c>
      <c r="E67" s="1186"/>
      <c r="F67" s="1187"/>
      <c r="O67" s="1893" t="s">
        <v>1042</v>
      </c>
      <c r="P67" s="1884" t="s">
        <v>1562</v>
      </c>
      <c r="Q67" s="1932">
        <f ca="1">L51</f>
        <v>-1949</v>
      </c>
      <c r="R67" s="1885" t="s">
        <v>1582</v>
      </c>
    </row>
    <row r="68" spans="1:18" s="1841" customFormat="1" ht="16.2" thickBot="1">
      <c r="A68" s="1165" t="s">
        <v>1032</v>
      </c>
      <c r="B68" s="1166" t="s">
        <v>1485</v>
      </c>
      <c r="C68" s="344">
        <f ca="1">ROUND(C67*(1-((1+F70)/(1+F68))^F69)/(F68-F70),0)</f>
        <v>-7254</v>
      </c>
      <c r="D68" s="1183" t="s">
        <v>1469</v>
      </c>
      <c r="E68" s="1168" t="s">
        <v>1470</v>
      </c>
      <c r="F68" s="355">
        <f ca="1">F40</f>
        <v>4.4999999999999998E-2</v>
      </c>
      <c r="O68" s="1893" t="s">
        <v>1043</v>
      </c>
      <c r="P68" s="1933" t="s">
        <v>1583</v>
      </c>
      <c r="Q68" s="1885">
        <f ca="1">ROUND(Q69-Q70*Q71,0)</f>
        <v>-94</v>
      </c>
      <c r="R68" s="1885" t="s">
        <v>1051</v>
      </c>
    </row>
    <row r="69" spans="1:18" s="1841" customFormat="1" ht="13.8" thickBot="1">
      <c r="A69" s="1169"/>
      <c r="B69" s="1170"/>
      <c r="C69" s="349"/>
      <c r="D69" s="1188" t="s">
        <v>1473</v>
      </c>
      <c r="E69" s="1168" t="s">
        <v>1474</v>
      </c>
      <c r="F69" s="377">
        <f ca="1">F41</f>
        <v>44.51</v>
      </c>
      <c r="O69" s="1893" t="s">
        <v>1048</v>
      </c>
      <c r="P69" s="1933" t="s">
        <v>1584</v>
      </c>
      <c r="Q69" s="1885">
        <f ca="1">C39</f>
        <v>208</v>
      </c>
      <c r="R69" s="1885" t="s">
        <v>1529</v>
      </c>
    </row>
    <row r="70" spans="1:18" s="1841" customFormat="1" ht="13.8" thickBot="1">
      <c r="A70" s="1172"/>
      <c r="B70" s="1173"/>
      <c r="C70" s="353"/>
      <c r="D70" s="1184"/>
      <c r="E70" s="1168" t="s">
        <v>1477</v>
      </c>
      <c r="F70" s="1274"/>
      <c r="O70" s="1893" t="s">
        <v>1049</v>
      </c>
      <c r="P70" s="1933" t="s">
        <v>1585</v>
      </c>
      <c r="Q70" s="1885">
        <f ca="1">C13</f>
        <v>3774</v>
      </c>
      <c r="R70" s="1885" t="s">
        <v>1529</v>
      </c>
    </row>
    <row r="71" spans="1:18" s="1841" customFormat="1" ht="13.8" thickBot="1">
      <c r="A71" s="1189" t="s">
        <v>1033</v>
      </c>
      <c r="B71" s="1190" t="s">
        <v>1487</v>
      </c>
      <c r="C71" s="380">
        <f ca="1">ROUND(C68*10000/F71,0)</f>
        <v>-5735</v>
      </c>
      <c r="D71" s="1191" t="s">
        <v>1488</v>
      </c>
      <c r="E71" s="1192" t="s">
        <v>1489</v>
      </c>
      <c r="F71" s="383">
        <f ca="1">F43</f>
        <v>12648.5</v>
      </c>
      <c r="O71" s="1893" t="s">
        <v>1050</v>
      </c>
      <c r="P71" s="1933" t="s">
        <v>1586</v>
      </c>
      <c r="Q71" s="1896">
        <f ca="1">C76</f>
        <v>0.08</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续建工期及建筑物耐用年限下的土地年期修正系数Kn</v>
      </c>
      <c r="Q74" s="1885" t="e">
        <f ca="1">L59</f>
        <v>#DIV/0!</v>
      </c>
      <c r="R74" s="1885" t="s">
        <v>1569</v>
      </c>
    </row>
    <row r="75" spans="1:18" ht="13.8" thickBot="1">
      <c r="A75" s="1841"/>
      <c r="B75" s="384" t="s">
        <v>1506</v>
      </c>
      <c r="C75" s="385">
        <f ca="1">ROUND(C13*C76,0)</f>
        <v>302</v>
      </c>
      <c r="D75" s="1841"/>
      <c r="E75" s="1841"/>
      <c r="F75" s="1841"/>
      <c r="K75" s="1867"/>
      <c r="L75" s="1841"/>
      <c r="O75" s="1883" t="s">
        <v>1046</v>
      </c>
      <c r="P75" s="1884" t="s">
        <v>1549</v>
      </c>
      <c r="Q75" s="1885">
        <f ca="1">Q65+Q66</f>
        <v>4285</v>
      </c>
      <c r="R75" s="1885" t="s">
        <v>1047</v>
      </c>
    </row>
    <row r="76" spans="1:18">
      <c r="B76" s="386" t="s">
        <v>1507</v>
      </c>
      <c r="C76" s="387">
        <f ca="1">INDIRECT("'数据-取费表'!j"&amp;$G$1)</f>
        <v>0.08</v>
      </c>
      <c r="I76" s="1841"/>
      <c r="J76" s="1841"/>
      <c r="K76" s="1867"/>
      <c r="L76" s="1841"/>
    </row>
    <row r="77" spans="1:18">
      <c r="B77" s="388" t="s">
        <v>1508</v>
      </c>
      <c r="C77" s="389"/>
      <c r="I77" s="1841"/>
      <c r="J77" s="1841"/>
      <c r="K77" s="1867"/>
      <c r="L77" s="1841"/>
    </row>
    <row r="78" spans="1:18">
      <c r="B78" s="312" t="s">
        <v>1509</v>
      </c>
      <c r="C78" s="390"/>
    </row>
    <row r="79" spans="1:18">
      <c r="B79" s="384" t="s">
        <v>1510</v>
      </c>
      <c r="C79" s="316">
        <f ca="1">1-C80</f>
        <v>-0.45199999999999996</v>
      </c>
    </row>
    <row r="80" spans="1:18">
      <c r="B80" s="384" t="s">
        <v>1511</v>
      </c>
      <c r="C80" s="316">
        <f ca="1">ROUND(C75/C39,3)</f>
        <v>1.452</v>
      </c>
    </row>
    <row r="81" spans="2:3">
      <c r="B81" s="312" t="s">
        <v>1512</v>
      </c>
      <c r="C81" s="280"/>
    </row>
    <row r="82" spans="2:3">
      <c r="B82" s="315" t="s">
        <v>1513</v>
      </c>
      <c r="C82" s="317">
        <f ca="1">1-C83</f>
        <v>0.11899999999999999</v>
      </c>
    </row>
    <row r="83" spans="2:3">
      <c r="B83" s="315" t="s">
        <v>1514</v>
      </c>
      <c r="C83" s="316">
        <f ca="1">ROUND(C13/C40,3)</f>
        <v>0.88100000000000001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1589</v>
      </c>
      <c r="B1" s="779"/>
      <c r="C1" s="1836"/>
      <c r="D1" s="1819"/>
      <c r="E1" s="1820" t="s">
        <v>1387</v>
      </c>
      <c r="F1" s="1282" t="b">
        <f>J53</f>
        <v>0</v>
      </c>
      <c r="G1" s="1835">
        <f>MATCH(C1,'数据-取费表'!A6:A16,0)+5</f>
        <v>9</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1" t="s">
        <v>1588</v>
      </c>
      <c r="I3" s="1839"/>
      <c r="J3" s="1839"/>
      <c r="K3" s="1840"/>
      <c r="L3" s="1839"/>
      <c r="M3" s="1839"/>
    </row>
    <row r="4" spans="1:37" ht="18" customHeight="1">
      <c r="A4" s="338" t="s">
        <v>1595</v>
      </c>
      <c r="B4" s="339" t="s">
        <v>1596</v>
      </c>
      <c r="C4" s="339" t="s">
        <v>1597</v>
      </c>
      <c r="D4" s="339" t="s">
        <v>1598</v>
      </c>
      <c r="E4" s="340" t="s">
        <v>1599</v>
      </c>
      <c r="F4" s="341"/>
      <c r="G4" s="1850"/>
      <c r="H4" s="338" t="s">
        <v>1595</v>
      </c>
      <c r="I4" s="339" t="s">
        <v>1596</v>
      </c>
      <c r="J4" s="339" t="s">
        <v>1597</v>
      </c>
      <c r="K4" s="339" t="s">
        <v>1598</v>
      </c>
      <c r="L4" s="340" t="s">
        <v>1599</v>
      </c>
      <c r="M4" s="341"/>
    </row>
    <row r="5" spans="1:37" ht="18" customHeight="1">
      <c r="A5" s="342">
        <v>1</v>
      </c>
      <c r="B5" s="343" t="s">
        <v>1600</v>
      </c>
      <c r="C5" s="1291">
        <f ca="1">C6+C10+C12</f>
        <v>0</v>
      </c>
      <c r="D5" s="1821" t="s">
        <v>1601</v>
      </c>
      <c r="E5" s="1292"/>
      <c r="F5" s="1293"/>
      <c r="G5" s="1850"/>
      <c r="H5" s="342">
        <v>1</v>
      </c>
      <c r="I5" s="343" t="s">
        <v>1600</v>
      </c>
      <c r="J5" s="1291">
        <f ca="1">J6+J10+J12</f>
        <v>0</v>
      </c>
      <c r="K5" s="1821" t="s">
        <v>1601</v>
      </c>
      <c r="L5" s="1292"/>
      <c r="M5" s="1293"/>
    </row>
    <row r="6" spans="1:37" ht="18" customHeight="1">
      <c r="A6" s="1290" t="s">
        <v>1035</v>
      </c>
      <c r="B6" s="3657" t="s">
        <v>1403</v>
      </c>
      <c r="C6" s="1295">
        <f ca="1">ROUND(F6*F8*F7*(1-F9),0)</f>
        <v>0</v>
      </c>
      <c r="D6" s="162" t="s">
        <v>3028</v>
      </c>
      <c r="E6" s="345" t="s">
        <v>1405</v>
      </c>
      <c r="F6" s="346">
        <f ca="1">INDIRECT("'数据-取费表'!u"&amp;$G$1)</f>
        <v>0</v>
      </c>
      <c r="G6" s="1850"/>
      <c r="H6" s="1290" t="s">
        <v>1035</v>
      </c>
      <c r="I6" s="3657" t="s">
        <v>1403</v>
      </c>
      <c r="J6" s="344">
        <f ca="1">ROUND(M6*M8*M7*(1-M9),0)</f>
        <v>0</v>
      </c>
      <c r="K6" s="1833" t="s">
        <v>3029</v>
      </c>
      <c r="L6" s="345" t="s">
        <v>1405</v>
      </c>
      <c r="M6" s="346">
        <f ca="1">INDIRECT("'数据-取费表'!z"&amp;$G$1)</f>
        <v>0</v>
      </c>
    </row>
    <row r="7" spans="1:37" ht="18" customHeight="1">
      <c r="A7" s="1294"/>
      <c r="B7" s="3658"/>
      <c r="C7" s="1296"/>
      <c r="D7" s="350"/>
      <c r="E7" s="1297" t="s">
        <v>1406</v>
      </c>
      <c r="F7" s="346">
        <f ca="1">IF(INDIRECT("'数据-取费表'!ah"&amp;$G$1)="",INDIRECT("'数据-取费表'!k"&amp;$G$1),INDIRECT("'数据-取费表'!ah"&amp;$G$1))</f>
        <v>0</v>
      </c>
      <c r="G7" s="1850"/>
      <c r="H7" s="347"/>
      <c r="I7" s="3658"/>
      <c r="J7" s="349"/>
      <c r="K7" s="350"/>
      <c r="L7" s="345" t="s">
        <v>1406</v>
      </c>
      <c r="M7" s="346">
        <f ca="1">F7</f>
        <v>0</v>
      </c>
    </row>
    <row r="8" spans="1:37" ht="18" customHeight="1">
      <c r="A8" s="347"/>
      <c r="B8" s="3658"/>
      <c r="C8" s="349"/>
      <c r="D8" s="350"/>
      <c r="E8" s="345" t="s">
        <v>1407</v>
      </c>
      <c r="F8" s="346">
        <f ca="1">INDIRECT("'数据-取费表'!ai"&amp;$G$1)</f>
        <v>0</v>
      </c>
      <c r="G8" s="1850"/>
      <c r="H8" s="347"/>
      <c r="I8" s="3658"/>
      <c r="J8" s="349"/>
      <c r="K8" s="350"/>
      <c r="L8" s="345" t="s">
        <v>1407</v>
      </c>
      <c r="M8" s="346">
        <f ca="1">INDIRECT("'数据-取费表'!ai"&amp;$G$1)</f>
        <v>0</v>
      </c>
    </row>
    <row r="9" spans="1:37" ht="18" customHeight="1">
      <c r="A9" s="347"/>
      <c r="B9" s="3659"/>
      <c r="C9" s="349"/>
      <c r="D9" s="350"/>
      <c r="E9" s="345" t="s">
        <v>1408</v>
      </c>
      <c r="F9" s="355">
        <f ca="1">INDIRECT("'数据-取费表'!w"&amp;$G$1)</f>
        <v>0</v>
      </c>
      <c r="G9" s="1850"/>
      <c r="H9" s="347"/>
      <c r="I9" s="3659"/>
      <c r="J9" s="349"/>
      <c r="K9" s="350"/>
      <c r="L9" s="356" t="s">
        <v>1408</v>
      </c>
      <c r="M9" s="357">
        <f ca="1">INDIRECT("'数据-取费表'!ab"&amp;$G$1)</f>
        <v>0</v>
      </c>
    </row>
    <row r="10" spans="1:37" ht="18" customHeight="1">
      <c r="A10" s="1290" t="s">
        <v>1039</v>
      </c>
      <c r="B10" s="1822" t="s">
        <v>1409</v>
      </c>
      <c r="C10" s="359">
        <f ca="1">ROUND(IF(F10="押一",C6/12*F11,IF(F10="押二",C6/12*2*F11,IF(F10="押三",C6/12*3*F11,C11*F11))),0)</f>
        <v>0</v>
      </c>
      <c r="D10" s="1823" t="s">
        <v>3039</v>
      </c>
      <c r="E10" s="356" t="s">
        <v>1410</v>
      </c>
      <c r="F10" s="1365"/>
      <c r="G10" s="1850"/>
      <c r="H10" s="1290" t="s">
        <v>1039</v>
      </c>
      <c r="I10" s="1822" t="s">
        <v>1409</v>
      </c>
      <c r="J10" s="344">
        <f ca="1">ROUND(IF(M10="押一",J6/12*M11,IF(M10="押二",J6/12*2*M11,IF(M10="押三",J6/12*3*M11,J11*M11))),0)</f>
        <v>0</v>
      </c>
      <c r="K10" s="1834" t="s">
        <v>3041</v>
      </c>
      <c r="L10" s="356" t="s">
        <v>1410</v>
      </c>
      <c r="M10" s="1365"/>
    </row>
    <row r="11" spans="1:37" ht="18" customHeight="1">
      <c r="A11" s="351"/>
      <c r="B11" s="1824" t="s">
        <v>1602</v>
      </c>
      <c r="C11" s="1177"/>
      <c r="D11" s="350"/>
      <c r="E11" s="356" t="s">
        <v>1412</v>
      </c>
      <c r="F11" s="357">
        <f ca="1">'数据-取费表'!B39</f>
        <v>1.4999999999999999E-2</v>
      </c>
      <c r="G11" s="1850"/>
      <c r="H11" s="1298"/>
      <c r="I11" s="1824" t="s">
        <v>1603</v>
      </c>
      <c r="J11" s="1177"/>
      <c r="K11" s="745"/>
      <c r="L11" s="356"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5" t="s">
        <v>1417</v>
      </c>
      <c r="C14" s="361">
        <f ca="1">ROUND(INDIRECT("'数据-取费表'!l"&amp;$G$1)*F43+'数据-取费表'!L14*INDIRECT("'数据-取费表'!S"&amp;$G$1),0)</f>
        <v>0</v>
      </c>
      <c r="D14" s="1799" t="s">
        <v>1418</v>
      </c>
      <c r="E14" s="1793"/>
      <c r="F14" s="362"/>
      <c r="G14" s="1850"/>
      <c r="H14" s="1200" t="s">
        <v>1035</v>
      </c>
      <c r="I14" s="345" t="s">
        <v>1419</v>
      </c>
      <c r="J14" s="23">
        <f ca="1">C29</f>
        <v>0</v>
      </c>
      <c r="K14" s="14"/>
      <c r="L14" s="978"/>
      <c r="M14" s="979"/>
    </row>
    <row r="15" spans="1:37" s="1857" customFormat="1" ht="18" customHeight="1" thickBot="1">
      <c r="A15" s="1200" t="s">
        <v>1036</v>
      </c>
      <c r="B15" s="345" t="s">
        <v>1420</v>
      </c>
      <c r="C15" s="23">
        <f ca="1">ROUND(C14*F15,0)</f>
        <v>0</v>
      </c>
      <c r="D15" s="363" t="s">
        <v>1421</v>
      </c>
      <c r="E15" s="363" t="s">
        <v>1422</v>
      </c>
      <c r="F15" s="364">
        <f>'数据-取费表'!B33</f>
        <v>0.04</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5" t="s">
        <v>1423</v>
      </c>
      <c r="C16" s="23">
        <f ca="1">ROUND(INDIRECT("'数据-取费表'!l"&amp;$G$1)*F43*F16,0)</f>
        <v>0</v>
      </c>
      <c r="D16" s="345" t="s">
        <v>1421</v>
      </c>
      <c r="E16" s="345" t="s">
        <v>1422</v>
      </c>
      <c r="F16" s="365">
        <f ca="1">IF(INDIRECT("'数据-取费表'!c"&amp;$G$1)="住宅",'数据-取费表'!B34,0)</f>
        <v>0</v>
      </c>
      <c r="G16" s="1850"/>
      <c r="H16" s="1328" t="s">
        <v>1030</v>
      </c>
      <c r="I16" s="1329" t="s">
        <v>1424</v>
      </c>
      <c r="J16" s="353">
        <f ca="1">ROUND(J17+J22+J23+J24,0)</f>
        <v>0</v>
      </c>
      <c r="K16" s="1336" t="s">
        <v>1425</v>
      </c>
      <c r="L16" s="1337"/>
      <c r="M16" s="1293"/>
    </row>
    <row r="17" spans="1:37" s="1857" customFormat="1" ht="18" customHeight="1">
      <c r="A17" s="1200" t="s">
        <v>1390</v>
      </c>
      <c r="B17" s="345" t="s">
        <v>1426</v>
      </c>
      <c r="C17" s="23">
        <f ca="1">ROUND(F17*(F43+INDIRECT("'数据-取费表'!S"&amp;$G$1)),0)</f>
        <v>0</v>
      </c>
      <c r="D17" s="345" t="s">
        <v>1427</v>
      </c>
      <c r="E17" s="345" t="s">
        <v>1428</v>
      </c>
      <c r="F17" s="25">
        <f>'数据-取费表'!B35</f>
        <v>200</v>
      </c>
      <c r="G17" s="1853"/>
      <c r="H17" s="1200" t="s">
        <v>1035</v>
      </c>
      <c r="I17" s="345" t="s">
        <v>1429</v>
      </c>
      <c r="J17" s="23">
        <f ca="1">ROUND(IF(项目基本情况!B11="自然人",J5*M17,J18+J19+J20),0)</f>
        <v>0</v>
      </c>
      <c r="K17" s="1799" t="s">
        <v>1430</v>
      </c>
      <c r="L17" s="1797" t="s">
        <v>1431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5" t="s">
        <v>1432</v>
      </c>
      <c r="C18" s="23">
        <f ca="1">ROUND(C14*F18,0)</f>
        <v>0</v>
      </c>
      <c r="D18" s="345" t="s">
        <v>1421</v>
      </c>
      <c r="E18" s="345" t="s">
        <v>1422</v>
      </c>
      <c r="F18" s="365">
        <f>'数据-取费表'!B36</f>
        <v>1.4999999999999999E-2</v>
      </c>
      <c r="G18" s="1853"/>
      <c r="H18" s="1200" t="s">
        <v>1034</v>
      </c>
      <c r="I18" s="345" t="s">
        <v>1433</v>
      </c>
      <c r="J18" s="23">
        <f ca="1">ROUND(J5*M18/(1+'数据-取费表'!C42),0)</f>
        <v>0</v>
      </c>
      <c r="K18" s="1797" t="s">
        <v>1434</v>
      </c>
      <c r="L18" s="345" t="s">
        <v>1422</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5" t="s">
        <v>1435</v>
      </c>
      <c r="C19" s="23">
        <f ca="1">SUM(C14:C18)</f>
        <v>0</v>
      </c>
      <c r="D19" s="138" t="s">
        <v>1436</v>
      </c>
      <c r="E19" s="1817"/>
      <c r="F19" s="25"/>
      <c r="G19" s="1850"/>
      <c r="H19" s="1200" t="s">
        <v>1036</v>
      </c>
      <c r="I19" s="345" t="s">
        <v>1437</v>
      </c>
      <c r="J19" s="23">
        <f ca="1">IF(K19="按租金收入计税",ROUND(J5*M19,0),ROUND(C29*M19*0.7,0))</f>
        <v>0</v>
      </c>
      <c r="K19" s="1827" t="s">
        <v>1438</v>
      </c>
      <c r="L19" s="345" t="s">
        <v>1422</v>
      </c>
      <c r="M19" s="365">
        <f>IF(K19="按租金收入计税",'数据-取费表'!B51,'数据-取费表'!B50)</f>
        <v>1.2E-2</v>
      </c>
    </row>
    <row r="20" spans="1:37" s="1857" customFormat="1" ht="18" customHeight="1">
      <c r="A20" s="1200" t="s">
        <v>1039</v>
      </c>
      <c r="B20" s="345" t="s">
        <v>1439</v>
      </c>
      <c r="C20" s="23">
        <f ca="1">ROUND(C19*F20,0)</f>
        <v>0</v>
      </c>
      <c r="D20" s="367" t="s">
        <v>1440</v>
      </c>
      <c r="E20" s="345" t="s">
        <v>1422</v>
      </c>
      <c r="F20" s="365">
        <f>'数据-取费表'!B37</f>
        <v>0.02</v>
      </c>
      <c r="G20" s="1853"/>
      <c r="H20" s="1200" t="s">
        <v>1389</v>
      </c>
      <c r="I20" s="162" t="s">
        <v>1441</v>
      </c>
      <c r="J20" s="24">
        <f ca="1">ROUND(M20*M21,0)</f>
        <v>0</v>
      </c>
      <c r="K20" s="368" t="s">
        <v>1442</v>
      </c>
      <c r="L20" s="345" t="s">
        <v>1443</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5" t="s">
        <v>1444</v>
      </c>
      <c r="C21" s="23" t="s">
        <v>1</v>
      </c>
      <c r="D21" s="367" t="s">
        <v>1445</v>
      </c>
      <c r="E21" s="345" t="s">
        <v>1446</v>
      </c>
      <c r="F21" s="365">
        <f>'数据-取费表'!B38</f>
        <v>0.02</v>
      </c>
      <c r="G21" s="1853"/>
      <c r="H21" s="370"/>
      <c r="I21" s="354"/>
      <c r="J21" s="28"/>
      <c r="K21" s="371"/>
      <c r="L21" s="345" t="s">
        <v>1447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5" t="s">
        <v>1448</v>
      </c>
      <c r="C22" s="23"/>
      <c r="D22" s="138" t="str">
        <f>IF(F23&lt;=1,"单利计息。","复利计息。")&amp;"建造成本、管理费用、销售费用产生的利息。"</f>
        <v>复利计息。建造成本、管理费用、销售费用产生的利息。</v>
      </c>
      <c r="E22" s="1817"/>
      <c r="F22" s="25"/>
      <c r="G22" s="1850"/>
      <c r="H22" s="1200" t="s">
        <v>1039</v>
      </c>
      <c r="I22" s="345" t="s">
        <v>1449</v>
      </c>
      <c r="J22" s="23">
        <f ca="1">ROUND(J14*M22,0)</f>
        <v>0</v>
      </c>
      <c r="K22" s="1797" t="s">
        <v>1450</v>
      </c>
      <c r="L22" s="345" t="s">
        <v>1422</v>
      </c>
      <c r="M22" s="372">
        <f ca="1">INDIRECT("'数据-取费表'!Ak"&amp;$G$1)</f>
        <v>0</v>
      </c>
    </row>
    <row r="23" spans="1:37" s="1857" customFormat="1" ht="18" customHeight="1">
      <c r="A23" s="1200" t="s">
        <v>1034</v>
      </c>
      <c r="B23" s="345" t="s">
        <v>1451</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3"/>
      <c r="H23" s="1200" t="s">
        <v>1075</v>
      </c>
      <c r="I23" s="345" t="s">
        <v>1453</v>
      </c>
      <c r="J23" s="23">
        <f ca="1">ROUND(J13*M23,0)</f>
        <v>0</v>
      </c>
      <c r="K23" s="1797" t="s">
        <v>1454</v>
      </c>
      <c r="L23" s="345" t="s">
        <v>1455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5" t="s">
        <v>1457</v>
      </c>
      <c r="C24" s="23">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5" t="s">
        <v>1461</v>
      </c>
      <c r="C25" s="23"/>
      <c r="D25" s="138" t="s">
        <v>1462</v>
      </c>
      <c r="E25" s="1817"/>
      <c r="F25" s="25"/>
      <c r="G25" s="1850"/>
      <c r="H25" s="1328" t="s">
        <v>1031</v>
      </c>
      <c r="I25" s="1343" t="s">
        <v>1463</v>
      </c>
      <c r="J25" s="353">
        <f ca="1">J5-J16</f>
        <v>0</v>
      </c>
      <c r="K25" s="1344" t="s">
        <v>1464</v>
      </c>
      <c r="L25" s="1345"/>
      <c r="M25" s="1346"/>
    </row>
    <row r="26" spans="1:37" ht="18" customHeight="1">
      <c r="A26" s="1200" t="s">
        <v>1034</v>
      </c>
      <c r="B26" s="345" t="s">
        <v>1465</v>
      </c>
      <c r="C26" s="23">
        <f ca="1">ROUND((C19+C20)*F26,0)</f>
        <v>0</v>
      </c>
      <c r="D26" s="367" t="s">
        <v>1466</v>
      </c>
      <c r="E26" s="356" t="s">
        <v>1467</v>
      </c>
      <c r="F26" s="355">
        <f ca="1">INDIRECT("'数据-取费表'!q"&amp;$G$1)</f>
        <v>0</v>
      </c>
      <c r="G26" s="1850"/>
      <c r="H26" s="342" t="s">
        <v>1032</v>
      </c>
      <c r="I26" s="343" t="s">
        <v>1468</v>
      </c>
      <c r="J26" s="344">
        <f ca="1">IF(J5&lt;&gt;0,ROUND(J25*(1-((1+M28)/(1+M26))^M27)/(M26-M28),0),0)</f>
        <v>0</v>
      </c>
      <c r="K26" s="368" t="s">
        <v>1469</v>
      </c>
      <c r="L26" s="345" t="s">
        <v>1470</v>
      </c>
      <c r="M26" s="355">
        <f ca="1">INDIRECT("'数据-取费表'!I"&amp;$G$1)</f>
        <v>0</v>
      </c>
    </row>
    <row r="27" spans="1:37" ht="18" customHeight="1">
      <c r="A27" s="1200" t="s">
        <v>1036</v>
      </c>
      <c r="B27" s="345" t="s">
        <v>1471</v>
      </c>
      <c r="C27" s="23">
        <f ca="1">ROUND(F21*F26,4)</f>
        <v>0</v>
      </c>
      <c r="D27" s="367" t="s">
        <v>1472</v>
      </c>
      <c r="E27" s="363"/>
      <c r="F27" s="364"/>
      <c r="G27" s="1850"/>
      <c r="H27" s="347"/>
      <c r="I27" s="348"/>
      <c r="J27" s="349"/>
      <c r="K27" s="376" t="s">
        <v>1473</v>
      </c>
      <c r="L27" s="345" t="s">
        <v>1474</v>
      </c>
      <c r="M27" s="377">
        <f ca="1">INDIRECT("'数据-取费表'!ag"&amp;$G$1)</f>
        <v>0</v>
      </c>
    </row>
    <row r="28" spans="1:37" s="1857" customFormat="1" ht="18" customHeight="1">
      <c r="A28" s="1200" t="s">
        <v>1037</v>
      </c>
      <c r="B28" s="345" t="s">
        <v>1475</v>
      </c>
      <c r="C28" s="23">
        <f>ROUND(F28/(1+'数据-取费表'!C42),4)</f>
        <v>5.2400000000000002E-2</v>
      </c>
      <c r="D28" s="367" t="s">
        <v>1476</v>
      </c>
      <c r="E28" s="345" t="s">
        <v>1422</v>
      </c>
      <c r="F28" s="365">
        <f>'数据-取费表'!B41</f>
        <v>5.5000000000000007E-2</v>
      </c>
      <c r="G28" s="1853"/>
      <c r="H28" s="351"/>
      <c r="I28" s="352"/>
      <c r="J28" s="353"/>
      <c r="K28" s="371"/>
      <c r="L28" s="345" t="s">
        <v>1477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78" t="s">
        <v>1033</v>
      </c>
      <c r="I29" s="379" t="s">
        <v>1479</v>
      </c>
      <c r="J29" s="380">
        <f ca="1">ROUND(J26/(1+F40)^F41,0)</f>
        <v>0</v>
      </c>
      <c r="K29" s="381" t="s">
        <v>1480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3">
        <f ca="1">ROUND(C31+C36+C37+C38,0)</f>
        <v>0</v>
      </c>
      <c r="D30" s="1336" t="s">
        <v>1425</v>
      </c>
      <c r="E30" s="1337"/>
      <c r="F30" s="1293"/>
      <c r="G30" s="1850"/>
      <c r="H30" s="742"/>
      <c r="I30" s="743"/>
      <c r="J30" s="744"/>
      <c r="K30" s="745"/>
      <c r="L30" s="746"/>
      <c r="M30" s="747"/>
    </row>
    <row r="31" spans="1:37" ht="18" customHeight="1">
      <c r="A31" s="1200" t="s">
        <v>1035</v>
      </c>
      <c r="B31" s="345" t="s">
        <v>1429</v>
      </c>
      <c r="C31" s="23">
        <f ca="1">ROUND(IF(项目基本情况!B11="自然人",C5*F31,C32+C33+C34),0)</f>
        <v>0</v>
      </c>
      <c r="D31" s="1799" t="s">
        <v>1430</v>
      </c>
      <c r="E31" s="1797" t="s">
        <v>1481</v>
      </c>
      <c r="F31" s="366" t="str">
        <f ca="1">IF(项目基本情况!B11="企业","",IF(INDIRECT("'数据-取费表'!c"&amp;$G$1)="住宅",5%,IF(F6*F7*F8/12/(1+'数据-取费表'!C42)&gt;20000,12%,7%)))</f>
        <v/>
      </c>
      <c r="G31" s="1850"/>
      <c r="H31" s="742"/>
      <c r="I31" s="743"/>
      <c r="J31" s="744"/>
      <c r="K31" s="745"/>
      <c r="L31" s="746"/>
      <c r="M31" s="747"/>
    </row>
    <row r="32" spans="1:37" ht="18" customHeight="1">
      <c r="A32" s="1200" t="s">
        <v>1034</v>
      </c>
      <c r="B32" s="345" t="s">
        <v>1433</v>
      </c>
      <c r="C32" s="23">
        <f ca="1">IF(项目基本情况!B11="自然人","——",ROUND(C5*F32/(1+'数据-取费表'!C42),0))</f>
        <v>0</v>
      </c>
      <c r="D32" s="1797" t="s">
        <v>1434</v>
      </c>
      <c r="E32" s="345" t="s">
        <v>1422</v>
      </c>
      <c r="F32" s="375">
        <f>'数据-取费表'!B41</f>
        <v>5.5000000000000007E-2</v>
      </c>
      <c r="G32" s="1850"/>
      <c r="H32" s="742"/>
      <c r="I32" s="743"/>
      <c r="J32" s="744"/>
      <c r="K32" s="745"/>
      <c r="L32" s="746"/>
      <c r="M32" s="747"/>
    </row>
    <row r="33" spans="1:18" ht="18" customHeight="1">
      <c r="A33" s="1200" t="s">
        <v>1036</v>
      </c>
      <c r="B33" s="345" t="s">
        <v>1437</v>
      </c>
      <c r="C33" s="23">
        <f ca="1">IF(项目基本情况!B11="自然人","——",IF(D33="按租金收入计税",ROUND(C5*F33,0),IF(D33="按房产原值计税",ROUND(C29*F33*0.7,0),INDIRECT("'数据-取费表'!Aj"&amp;$G$1))))</f>
        <v>0</v>
      </c>
      <c r="D33" s="1827" t="s">
        <v>1438</v>
      </c>
      <c r="E33" s="345" t="s">
        <v>1422</v>
      </c>
      <c r="F33" s="365">
        <f>IF(D33="按票据","——",IF(D33="按租金收入计税",'数据-取费表'!B51,'数据-取费表'!B50))</f>
        <v>1.2E-2</v>
      </c>
      <c r="G33" s="1850"/>
      <c r="H33" s="1858"/>
      <c r="I33" s="1859"/>
      <c r="J33" s="1860"/>
      <c r="K33" s="1861"/>
      <c r="L33" s="1858"/>
      <c r="M33" s="1858"/>
    </row>
    <row r="34" spans="1:18" ht="18" customHeight="1">
      <c r="A34" s="1290" t="s">
        <v>1389</v>
      </c>
      <c r="B34" s="162" t="s">
        <v>1441</v>
      </c>
      <c r="C34" s="24">
        <f ca="1">IF(项目基本情况!B11="自然人","——",ROUND(F34*F35,))</f>
        <v>0</v>
      </c>
      <c r="D34" s="368" t="s">
        <v>1442</v>
      </c>
      <c r="E34" s="345" t="s">
        <v>1443</v>
      </c>
      <c r="F34" s="369">
        <f>'数据-取费表'!B52</f>
        <v>1.5</v>
      </c>
      <c r="G34" s="1850"/>
      <c r="H34" s="742"/>
      <c r="I34" s="1859"/>
      <c r="J34" s="1860"/>
      <c r="K34" s="1862"/>
      <c r="L34" s="1863"/>
      <c r="M34" s="1863"/>
    </row>
    <row r="35" spans="1:18" ht="18" customHeight="1">
      <c r="A35" s="1352"/>
      <c r="B35" s="1350"/>
      <c r="C35" s="28"/>
      <c r="D35" s="371"/>
      <c r="E35" s="345" t="s">
        <v>1447</v>
      </c>
      <c r="F35" s="346">
        <f ca="1">INDIRECT("'数据-取费表'!r"&amp;$G$1)</f>
        <v>0</v>
      </c>
      <c r="G35" s="1850"/>
      <c r="H35" s="742"/>
      <c r="I35" s="1859"/>
      <c r="J35" s="1860"/>
      <c r="K35" s="1861"/>
      <c r="L35" s="1858"/>
      <c r="M35" s="1858"/>
    </row>
    <row r="36" spans="1:18" ht="18" customHeight="1">
      <c r="A36" s="1351" t="s">
        <v>1039</v>
      </c>
      <c r="B36" s="345" t="s">
        <v>1449</v>
      </c>
      <c r="C36" s="23">
        <f ca="1">ROUND(C29*F36,0)</f>
        <v>0</v>
      </c>
      <c r="D36" s="1797" t="s">
        <v>1482</v>
      </c>
      <c r="E36" s="345" t="s">
        <v>1422</v>
      </c>
      <c r="F36" s="372">
        <f ca="1">INDIRECT("'数据-取费表'!Ak"&amp;$G$1)</f>
        <v>0</v>
      </c>
      <c r="G36" s="1850"/>
      <c r="H36" s="1858"/>
      <c r="I36" s="1859"/>
      <c r="J36" s="1860"/>
      <c r="K36" s="748"/>
      <c r="L36" s="1858"/>
      <c r="M36" s="1858"/>
    </row>
    <row r="37" spans="1:18" ht="18" customHeight="1">
      <c r="A37" s="1200" t="s">
        <v>1075</v>
      </c>
      <c r="B37" s="345" t="s">
        <v>1453</v>
      </c>
      <c r="C37" s="23">
        <f ca="1">ROUND(C13*F37,0)</f>
        <v>0</v>
      </c>
      <c r="D37" s="1797" t="s">
        <v>1454</v>
      </c>
      <c r="E37" s="345" t="s">
        <v>1455</v>
      </c>
      <c r="F37" s="374">
        <f ca="1">INDIRECT("'数据-取费表'!Al"&amp;$G$1)</f>
        <v>0</v>
      </c>
      <c r="G37" s="1850"/>
      <c r="H37" s="1858"/>
      <c r="I37" s="1859"/>
      <c r="J37" s="1860"/>
      <c r="K37" s="748"/>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3">
        <f ca="1">C5-C30</f>
        <v>0</v>
      </c>
      <c r="D39" s="1344" t="s">
        <v>1484</v>
      </c>
      <c r="E39" s="1345"/>
      <c r="F39" s="1346"/>
      <c r="G39" s="1850"/>
      <c r="H39" s="1858"/>
      <c r="I39" s="1859"/>
      <c r="J39" s="1860"/>
      <c r="K39" s="1864"/>
      <c r="L39" s="1858"/>
      <c r="M39" s="1858"/>
    </row>
    <row r="40" spans="1:18" ht="18" customHeight="1">
      <c r="A40" s="342" t="s">
        <v>1032</v>
      </c>
      <c r="B40" s="343" t="s">
        <v>1485</v>
      </c>
      <c r="C40" s="344" t="e">
        <f ca="1">ROUND(C39*(1-((1+F42)/(1+F40))^F41)/(F40-F42),0)</f>
        <v>#DIV/0!</v>
      </c>
      <c r="D40" s="368" t="s">
        <v>1469</v>
      </c>
      <c r="E40" s="345" t="s">
        <v>1470</v>
      </c>
      <c r="F40" s="355">
        <f ca="1">INDIRECT("'数据-取费表'!I"&amp;$G$1)</f>
        <v>0</v>
      </c>
      <c r="G40" s="1850"/>
      <c r="H40" s="1838"/>
      <c r="I40" s="1859"/>
      <c r="J40" s="1860"/>
      <c r="K40" s="1864"/>
      <c r="L40" s="1838"/>
      <c r="M40" s="1838"/>
    </row>
    <row r="41" spans="1:18" ht="18" customHeight="1">
      <c r="A41" s="347"/>
      <c r="B41" s="348"/>
      <c r="C41" s="349"/>
      <c r="D41" s="376" t="s">
        <v>1486</v>
      </c>
      <c r="E41" s="345" t="s">
        <v>1474</v>
      </c>
      <c r="F41" s="377">
        <f ca="1">IF(INDIRECT("'数据-取费表'!af"&amp;$G$1)=0,INDIRECT("'数据-取费表'!ae"&amp;$G$1),INDIRECT("'数据-取费表'!af"&amp;$G$1))</f>
        <v>0</v>
      </c>
      <c r="G41" s="1850"/>
      <c r="H41" s="729"/>
      <c r="I41" s="1859"/>
      <c r="J41" s="1860"/>
      <c r="K41" s="748"/>
      <c r="L41" s="729"/>
      <c r="M41" s="729"/>
    </row>
    <row r="42" spans="1:18" ht="18" customHeight="1">
      <c r="A42" s="351"/>
      <c r="B42" s="352"/>
      <c r="C42" s="353"/>
      <c r="D42" s="371"/>
      <c r="E42" s="345" t="s">
        <v>1477</v>
      </c>
      <c r="F42" s="355">
        <f ca="1">INDIRECT("'数据-取费表'!v"&amp;$G$1)</f>
        <v>0</v>
      </c>
      <c r="G42" s="1850"/>
      <c r="H42" s="729"/>
      <c r="I42" s="1859"/>
      <c r="J42" s="1860"/>
      <c r="K42" s="748"/>
      <c r="L42" s="729"/>
      <c r="M42" s="729"/>
    </row>
    <row r="43" spans="1:18" ht="18" customHeight="1" thickBot="1">
      <c r="A43" s="378" t="s">
        <v>1033</v>
      </c>
      <c r="B43" s="379" t="s">
        <v>1487</v>
      </c>
      <c r="C43" s="380" t="e">
        <f ca="1">ROUND(C40/F43,0)</f>
        <v>#DIV/0!</v>
      </c>
      <c r="D43" s="381" t="s">
        <v>1488</v>
      </c>
      <c r="E43" s="382" t="s">
        <v>1489</v>
      </c>
      <c r="F43" s="383">
        <f ca="1">INDIRECT("'数据-取费表'!k"&amp;$G$1)</f>
        <v>0</v>
      </c>
      <c r="G43" s="1850"/>
      <c r="H43" s="729"/>
      <c r="I43" s="729"/>
      <c r="J43" s="729"/>
      <c r="K43" s="748"/>
      <c r="L43" s="729"/>
      <c r="M43" s="729"/>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8"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8" thickBot="1">
      <c r="A47" s="1164" t="s">
        <v>1396</v>
      </c>
      <c r="B47" s="1196" t="s">
        <v>1397</v>
      </c>
      <c r="C47" s="1196" t="s">
        <v>1398</v>
      </c>
      <c r="D47" s="1196" t="s">
        <v>1399</v>
      </c>
      <c r="E47" s="1278" t="s">
        <v>1400</v>
      </c>
      <c r="F47" s="1279"/>
      <c r="G47" s="789"/>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40.200000000000003" thickBot="1">
      <c r="A48" s="1359" t="s">
        <v>1135</v>
      </c>
      <c r="B48" s="343" t="s">
        <v>1401</v>
      </c>
      <c r="C48" s="1816">
        <f ca="1">C49+C53+C55</f>
        <v>0</v>
      </c>
      <c r="D48" s="1361"/>
      <c r="E48" s="1362"/>
      <c r="F48" s="1180"/>
      <c r="G48" s="789"/>
      <c r="H48" s="790"/>
      <c r="I48" s="1886" t="s">
        <v>1530</v>
      </c>
      <c r="J48" s="1887"/>
      <c r="K48" s="1888" t="s">
        <v>1531</v>
      </c>
      <c r="L48" s="1889">
        <f ca="1">INDIRECT("'数据-取费表'!f"&amp;$G$1)</f>
        <v>0</v>
      </c>
      <c r="O48" s="1883" t="s">
        <v>1041</v>
      </c>
      <c r="P48" s="1884" t="s">
        <v>1532</v>
      </c>
      <c r="Q48" s="1885" t="e">
        <f ca="1">J60</f>
        <v>#DIV/0!</v>
      </c>
      <c r="R48" s="1885" t="s">
        <v>1533</v>
      </c>
    </row>
    <row r="49" spans="1:18" s="1841" customFormat="1" ht="13.8" thickBot="1">
      <c r="A49" s="1193" t="s">
        <v>1136</v>
      </c>
      <c r="B49" s="1828" t="s">
        <v>1490</v>
      </c>
      <c r="C49" s="1363">
        <f ca="1">ROUND(F49*F51*F50*(1-F52),0)</f>
        <v>0</v>
      </c>
      <c r="D49" s="1275" t="s">
        <v>1404</v>
      </c>
      <c r="E49" s="1829" t="s">
        <v>1491</v>
      </c>
      <c r="F49" s="1280"/>
      <c r="G49" s="1890"/>
      <c r="H49" s="790"/>
      <c r="I49" s="1886" t="s">
        <v>1534</v>
      </c>
      <c r="J49" s="1891"/>
      <c r="K49" s="1888" t="s">
        <v>1535</v>
      </c>
      <c r="L49" s="1892"/>
      <c r="O49" s="1893" t="s">
        <v>1042</v>
      </c>
      <c r="P49" s="1884" t="s">
        <v>1536</v>
      </c>
      <c r="Q49" s="1885">
        <f ca="1">C29</f>
        <v>0</v>
      </c>
      <c r="R49" s="1885" t="s">
        <v>1529</v>
      </c>
    </row>
    <row r="50" spans="1:18" s="1841" customFormat="1" ht="13.8" thickBot="1">
      <c r="A50" s="1194"/>
      <c r="B50" s="1197"/>
      <c r="C50" s="1198"/>
      <c r="D50" s="1171"/>
      <c r="E50" s="1276" t="s">
        <v>1406</v>
      </c>
      <c r="F50" s="1277">
        <f ca="1">F7</f>
        <v>0</v>
      </c>
      <c r="H50" s="790"/>
      <c r="I50" s="1886" t="s">
        <v>1537</v>
      </c>
      <c r="J50" s="1894">
        <f>SUMPRODUCT((I63:I65=J47)*(J62:L62=J48)*(J63:L65))</f>
        <v>0</v>
      </c>
      <c r="K50" s="1888" t="s">
        <v>1538</v>
      </c>
      <c r="L50" s="1892"/>
      <c r="M50" s="1895"/>
      <c r="O50" s="1893" t="s">
        <v>1043</v>
      </c>
      <c r="P50" s="1884" t="s">
        <v>1539</v>
      </c>
      <c r="Q50" s="1896" t="e">
        <f ca="1">J58</f>
        <v>#DIV/0!</v>
      </c>
      <c r="R50" s="1885"/>
    </row>
    <row r="51" spans="1:18" s="1841" customFormat="1" ht="13.8" thickBot="1">
      <c r="A51" s="1195"/>
      <c r="B51" s="1197"/>
      <c r="C51" s="1198"/>
      <c r="D51" s="1171"/>
      <c r="E51" s="1199" t="s">
        <v>1407</v>
      </c>
      <c r="F51" s="346">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8"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7" t="s">
        <v>1409</v>
      </c>
      <c r="C53" s="359">
        <f ca="1">ROUND(IF(F53="押一",C49/12*F11,IF(F53="押二",C49/12*2*F11,IF(F53="押三",C49/12*3*F11,C54*F11))),0)</f>
        <v>0</v>
      </c>
      <c r="D53" s="1823" t="s">
        <v>3042</v>
      </c>
      <c r="E53" s="356" t="s">
        <v>1410</v>
      </c>
      <c r="F53" s="1365"/>
      <c r="I53" s="1904" t="s">
        <v>1547</v>
      </c>
      <c r="J53" s="1905" t="b">
        <f>IF(M47="住宅",J51,IF(D1="——",MIN(J51,L48),IF(D1="在建（套用方法）",MIN(J51,L48-'数据-取费表'!B24),IF(D1="土地（套用方法）",MIN(J51,L48-'数据-取费表'!B20)))))</f>
        <v>0</v>
      </c>
      <c r="K53" s="3655" t="s">
        <v>1548</v>
      </c>
      <c r="L53" s="3656"/>
      <c r="O53" s="1883" t="s">
        <v>1046</v>
      </c>
      <c r="P53" s="1884" t="s">
        <v>1549</v>
      </c>
      <c r="Q53" s="1885" t="e">
        <f ca="1">Q47+Q48</f>
        <v>#DIV/0!</v>
      </c>
      <c r="R53" s="1885" t="s">
        <v>1047</v>
      </c>
    </row>
    <row r="54" spans="1:18" s="1841" customFormat="1" ht="13.8"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8"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4">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6" thickBot="1">
      <c r="A57" s="1917"/>
      <c r="B57" s="1168" t="s">
        <v>1478</v>
      </c>
      <c r="C57" s="280">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6" thickBot="1">
      <c r="A58" s="358" t="s">
        <v>1030</v>
      </c>
      <c r="B58" s="1176" t="s">
        <v>1424</v>
      </c>
      <c r="C58" s="359">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6" thickBot="1">
      <c r="A59" s="1200" t="s">
        <v>1035</v>
      </c>
      <c r="B59" s="1168" t="s">
        <v>1429</v>
      </c>
      <c r="C59" s="23">
        <f ca="1">ROUND(IF(项目基本情况!B11="自然人",C48*F59,C60+C61+C62),0)</f>
        <v>0</v>
      </c>
      <c r="D59" s="1181" t="s">
        <v>1430</v>
      </c>
      <c r="E59" s="1182" t="s">
        <v>1431</v>
      </c>
      <c r="F59" s="366"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2" thickBot="1">
      <c r="A60" s="1200" t="s">
        <v>1034</v>
      </c>
      <c r="B60" s="1168" t="s">
        <v>1433</v>
      </c>
      <c r="C60" s="23">
        <f ca="1">IF(项目基本情况!B11="自然人","——",ROUND(C48*F60/(1+'数据-取费表'!C42),0))</f>
        <v>0</v>
      </c>
      <c r="D60" s="1182" t="s">
        <v>1434</v>
      </c>
      <c r="E60" s="1168" t="s">
        <v>1422</v>
      </c>
      <c r="F60" s="375">
        <f t="shared" ref="F60:F66" si="0">F32</f>
        <v>5.5000000000000007E-2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8" thickBot="1">
      <c r="A61" s="1200" t="s">
        <v>1492</v>
      </c>
      <c r="B61" s="1168" t="s">
        <v>1493</v>
      </c>
      <c r="C61" s="23">
        <f ca="1">IF(项目基本情况!B11="自然人","——",IF(D61="按租金收入计税",ROUND(C48*F61,0),IF(D61="按房产原值计税",ROUND(C57*F61*0.7,0),INDIRECT("'数据-取费表'!Aj"&amp;$G$1))))</f>
        <v>0</v>
      </c>
      <c r="D61" s="1827" t="s">
        <v>1438</v>
      </c>
      <c r="E61" s="1168" t="s">
        <v>1494</v>
      </c>
      <c r="F61" s="365">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8" thickBot="1">
      <c r="A62" s="1200" t="s">
        <v>1495</v>
      </c>
      <c r="B62" s="1167" t="s">
        <v>1496</v>
      </c>
      <c r="C62" s="24">
        <f ca="1">IF(项目基本情况!B11="自然人","——",ROUND(F62*F63,0))</f>
        <v>0</v>
      </c>
      <c r="D62" s="1183" t="s">
        <v>1497</v>
      </c>
      <c r="E62" s="1168" t="s">
        <v>1498</v>
      </c>
      <c r="F62" s="369">
        <f t="shared" si="0"/>
        <v>1.5</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8" thickBot="1">
      <c r="A63" s="370"/>
      <c r="B63" s="1174"/>
      <c r="C63" s="28"/>
      <c r="D63" s="1184"/>
      <c r="E63" s="1168" t="s">
        <v>1499</v>
      </c>
      <c r="F63" s="346">
        <f t="shared" ca="1" si="0"/>
        <v>0</v>
      </c>
      <c r="I63" s="1928" t="s">
        <v>1576</v>
      </c>
      <c r="J63" s="1929">
        <v>70</v>
      </c>
      <c r="K63" s="1929">
        <v>50</v>
      </c>
      <c r="L63" s="1929">
        <v>80</v>
      </c>
      <c r="M63" s="1931">
        <v>0.02</v>
      </c>
      <c r="O63" s="1868" t="s">
        <v>1577</v>
      </c>
      <c r="P63" s="1838"/>
      <c r="Q63" s="1838"/>
      <c r="R63" s="1838"/>
    </row>
    <row r="64" spans="1:18" s="1841" customFormat="1" ht="13.8" thickBot="1">
      <c r="A64" s="1200" t="s">
        <v>1500</v>
      </c>
      <c r="B64" s="1168" t="s">
        <v>1501</v>
      </c>
      <c r="C64" s="23">
        <f ca="1">ROUND(C57*F64,0)</f>
        <v>0</v>
      </c>
      <c r="D64" s="1182" t="s">
        <v>1502</v>
      </c>
      <c r="E64" s="1168" t="s">
        <v>1494</v>
      </c>
      <c r="F64" s="372">
        <f t="shared" ca="1" si="0"/>
        <v>0</v>
      </c>
      <c r="I64" s="1928" t="s">
        <v>1578</v>
      </c>
      <c r="J64" s="1929">
        <v>50</v>
      </c>
      <c r="K64" s="1929">
        <v>35</v>
      </c>
      <c r="L64" s="1929">
        <v>60</v>
      </c>
      <c r="M64" s="1930">
        <v>0</v>
      </c>
      <c r="O64" s="1876" t="s">
        <v>1522</v>
      </c>
      <c r="P64" s="1877" t="s">
        <v>1523</v>
      </c>
      <c r="Q64" s="1878" t="s">
        <v>1524</v>
      </c>
      <c r="R64" s="1878" t="s">
        <v>1525</v>
      </c>
    </row>
    <row r="65" spans="1:18" s="1841" customFormat="1" ht="13.8" thickBot="1">
      <c r="A65" s="1200" t="s">
        <v>1503</v>
      </c>
      <c r="B65" s="1168" t="s">
        <v>1453</v>
      </c>
      <c r="C65" s="23">
        <f ca="1">ROUND(C56*F65,0)</f>
        <v>0</v>
      </c>
      <c r="D65" s="1182" t="s">
        <v>1454</v>
      </c>
      <c r="E65" s="1168" t="s">
        <v>1455</v>
      </c>
      <c r="F65" s="374">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2" thickBot="1">
      <c r="A66" s="1200" t="s">
        <v>1504</v>
      </c>
      <c r="B66" s="1168" t="s">
        <v>1439</v>
      </c>
      <c r="C66" s="23">
        <f ca="1">ROUND(C48*F66,0)</f>
        <v>0</v>
      </c>
      <c r="D66" s="1182" t="s">
        <v>1505</v>
      </c>
      <c r="E66" s="1168" t="s">
        <v>1422</v>
      </c>
      <c r="F66" s="355">
        <f t="shared" ca="1" si="0"/>
        <v>0</v>
      </c>
      <c r="O66" s="1883" t="s">
        <v>1041</v>
      </c>
      <c r="P66" s="1884" t="s">
        <v>1558</v>
      </c>
      <c r="Q66" s="1885" t="e">
        <f ca="1">L60</f>
        <v>#DIV/0!</v>
      </c>
      <c r="R66" s="1885" t="s">
        <v>1581</v>
      </c>
    </row>
    <row r="67" spans="1:18" s="1841" customFormat="1" ht="24.6" thickBot="1">
      <c r="A67" s="1175" t="s">
        <v>1031</v>
      </c>
      <c r="B67" s="1185" t="s">
        <v>1463</v>
      </c>
      <c r="C67" s="359">
        <f ca="1">C48-C58</f>
        <v>0</v>
      </c>
      <c r="D67" s="1181" t="s">
        <v>1464</v>
      </c>
      <c r="E67" s="1186"/>
      <c r="F67" s="1187"/>
      <c r="O67" s="1893" t="s">
        <v>1042</v>
      </c>
      <c r="P67" s="1884" t="s">
        <v>1562</v>
      </c>
      <c r="Q67" s="1932">
        <f ca="1">L51</f>
        <v>0</v>
      </c>
      <c r="R67" s="1885" t="s">
        <v>1582</v>
      </c>
    </row>
    <row r="68" spans="1:18" s="1841" customFormat="1" ht="16.2" thickBot="1">
      <c r="A68" s="1165" t="s">
        <v>1032</v>
      </c>
      <c r="B68" s="1166" t="s">
        <v>1485</v>
      </c>
      <c r="C68" s="344" t="e">
        <f ca="1">ROUND(C67*(1-((1+F70)/(1+F68))^F69)/(F68-F70),0)</f>
        <v>#DIV/0!</v>
      </c>
      <c r="D68" s="1183" t="s">
        <v>1469</v>
      </c>
      <c r="E68" s="1168" t="s">
        <v>1470</v>
      </c>
      <c r="F68" s="355">
        <f ca="1">F40</f>
        <v>0</v>
      </c>
      <c r="O68" s="1893" t="s">
        <v>1043</v>
      </c>
      <c r="P68" s="1933" t="s">
        <v>1583</v>
      </c>
      <c r="Q68" s="1885">
        <f ca="1">ROUND(Q69-Q70*Q71,0)</f>
        <v>0</v>
      </c>
      <c r="R68" s="1885" t="s">
        <v>1051</v>
      </c>
    </row>
    <row r="69" spans="1:18" s="1841" customFormat="1" ht="13.8" thickBot="1">
      <c r="A69" s="1169"/>
      <c r="B69" s="1170"/>
      <c r="C69" s="349"/>
      <c r="D69" s="1188" t="s">
        <v>1473</v>
      </c>
      <c r="E69" s="1168" t="s">
        <v>1474</v>
      </c>
      <c r="F69" s="377">
        <f ca="1">F41</f>
        <v>0</v>
      </c>
      <c r="O69" s="1893" t="s">
        <v>1048</v>
      </c>
      <c r="P69" s="1933" t="s">
        <v>1584</v>
      </c>
      <c r="Q69" s="1885">
        <f ca="1">C39</f>
        <v>0</v>
      </c>
      <c r="R69" s="1885" t="s">
        <v>1529</v>
      </c>
    </row>
    <row r="70" spans="1:18" s="1841" customFormat="1" ht="13.8" thickBot="1">
      <c r="A70" s="1172"/>
      <c r="B70" s="1173"/>
      <c r="C70" s="353"/>
      <c r="D70" s="1184"/>
      <c r="E70" s="1168" t="s">
        <v>1477</v>
      </c>
      <c r="F70" s="1274">
        <f ca="1">F42</f>
        <v>0</v>
      </c>
      <c r="O70" s="1893" t="s">
        <v>1049</v>
      </c>
      <c r="P70" s="1933" t="s">
        <v>1585</v>
      </c>
      <c r="Q70" s="1885">
        <f ca="1">C13</f>
        <v>0</v>
      </c>
      <c r="R70" s="1885" t="s">
        <v>1529</v>
      </c>
    </row>
    <row r="71" spans="1:18" s="1841" customFormat="1" ht="13.8" thickBot="1">
      <c r="A71" s="1189" t="s">
        <v>1033</v>
      </c>
      <c r="B71" s="1190" t="s">
        <v>1487</v>
      </c>
      <c r="C71" s="380" t="e">
        <f ca="1">ROUND(C68/F71,0)</f>
        <v>#DIV/0!</v>
      </c>
      <c r="D71" s="1191" t="s">
        <v>1488</v>
      </c>
      <c r="E71" s="1192" t="s">
        <v>1489</v>
      </c>
      <c r="F71" s="383">
        <f ca="1">F43</f>
        <v>0</v>
      </c>
      <c r="O71" s="1893" t="s">
        <v>1050</v>
      </c>
      <c r="P71" s="1933" t="s">
        <v>1586</v>
      </c>
      <c r="Q71" s="1896">
        <f ca="1">C76</f>
        <v>0</v>
      </c>
      <c r="R71" s="1885"/>
    </row>
    <row r="72" spans="1:18" s="1841" customFormat="1" ht="13.8" thickBot="1">
      <c r="B72" s="793"/>
      <c r="C72" s="793"/>
      <c r="O72" s="1893" t="s">
        <v>1044</v>
      </c>
      <c r="P72" s="1884" t="s">
        <v>1564</v>
      </c>
      <c r="Q72" s="1896">
        <f>L52</f>
        <v>0</v>
      </c>
      <c r="R72" s="1885"/>
    </row>
    <row r="73" spans="1:18" ht="16.2" thickBot="1">
      <c r="A73" s="1841"/>
      <c r="B73" s="793"/>
      <c r="C73" s="793"/>
      <c r="D73" s="1841"/>
      <c r="E73" s="1841"/>
      <c r="F73" s="1841"/>
      <c r="O73" s="1893" t="s">
        <v>1045</v>
      </c>
      <c r="P73" s="1884" t="s">
        <v>1567</v>
      </c>
      <c r="Q73" s="1885" t="e">
        <f ca="1">L58</f>
        <v>#DIV/0!</v>
      </c>
      <c r="R73" s="1885" t="s">
        <v>1568</v>
      </c>
    </row>
    <row r="74" spans="1:18" ht="13.8" thickBot="1">
      <c r="A74" s="1841"/>
      <c r="B74" s="315" t="s">
        <v>1587</v>
      </c>
      <c r="C74" s="1935"/>
      <c r="D74" s="1841"/>
      <c r="E74" s="1841"/>
      <c r="F74" s="1841"/>
      <c r="O74" s="1893" t="s">
        <v>1052</v>
      </c>
      <c r="P74" s="1884" t="str">
        <f>K59</f>
        <v>建设期及建筑物耐用年限下的土地年期修正系数Kn</v>
      </c>
      <c r="Q74" s="1885" t="e">
        <f ca="1">L59</f>
        <v>#DIV/0!</v>
      </c>
      <c r="R74" s="1885" t="s">
        <v>1569</v>
      </c>
    </row>
    <row r="75" spans="1:18" ht="13.8" thickBot="1">
      <c r="A75" s="1841"/>
      <c r="B75" s="384" t="s">
        <v>1506</v>
      </c>
      <c r="C75" s="385">
        <f ca="1">ROUND(C13*C76,0)</f>
        <v>0</v>
      </c>
      <c r="D75" s="1841"/>
      <c r="E75" s="1841"/>
      <c r="F75" s="1841"/>
      <c r="K75" s="1867"/>
      <c r="L75" s="1841"/>
      <c r="O75" s="1883" t="s">
        <v>1046</v>
      </c>
      <c r="P75" s="1884" t="s">
        <v>1549</v>
      </c>
      <c r="Q75" s="1885" t="e">
        <f ca="1">Q65+Q66</f>
        <v>#DIV/0!</v>
      </c>
      <c r="R75" s="1885" t="s">
        <v>1047</v>
      </c>
    </row>
    <row r="76" spans="1:18">
      <c r="B76" s="386" t="s">
        <v>1507</v>
      </c>
      <c r="C76" s="387">
        <f ca="1">INDIRECT("'数据-取费表'!j"&amp;$G$1)</f>
        <v>0</v>
      </c>
      <c r="I76" s="1841"/>
      <c r="J76" s="1841"/>
      <c r="K76" s="1867"/>
      <c r="L76" s="1841"/>
    </row>
    <row r="77" spans="1:18">
      <c r="B77" s="388" t="s">
        <v>1508</v>
      </c>
      <c r="C77" s="389"/>
      <c r="I77" s="1841"/>
      <c r="J77" s="1841"/>
      <c r="K77" s="1867"/>
      <c r="L77" s="1841"/>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9" t="s">
        <v>2525</v>
      </c>
      <c r="B1" s="2560"/>
      <c r="C1" s="2560"/>
      <c r="D1" s="2560"/>
      <c r="E1" s="2561"/>
    </row>
    <row r="2" spans="1:6" ht="15.6">
      <c r="A2" s="2562" t="s">
        <v>2329</v>
      </c>
      <c r="B2" s="2563">
        <f ca="1">SUMIF(B6:B13,"&lt;&gt;#ref!",B6:B13)</f>
        <v>59627</v>
      </c>
      <c r="C2" s="2564" t="s">
        <v>2518</v>
      </c>
      <c r="D2" s="2565" t="s">
        <v>2519</v>
      </c>
      <c r="E2" s="2566">
        <f>SUM(E6:E13)</f>
        <v>103304.45</v>
      </c>
    </row>
    <row r="3" spans="1:6" ht="15.6">
      <c r="A3" s="2562" t="s">
        <v>1395</v>
      </c>
      <c r="B3" s="2563">
        <f ca="1">ROUND(B2*10000/E2,0)</f>
        <v>5772</v>
      </c>
      <c r="C3" s="2564" t="s">
        <v>2526</v>
      </c>
      <c r="D3" s="2567"/>
      <c r="E3" s="2568"/>
    </row>
    <row r="4" spans="1:6" ht="15.6">
      <c r="A4" s="2569"/>
      <c r="B4" s="2567"/>
      <c r="C4" s="2567"/>
      <c r="D4" s="2567"/>
      <c r="E4" s="2568"/>
    </row>
    <row r="5" spans="1:6" ht="14.4">
      <c r="A5" s="2570" t="s">
        <v>2520</v>
      </c>
      <c r="B5" s="3660" t="s">
        <v>2521</v>
      </c>
      <c r="C5" s="3660"/>
      <c r="D5" s="2571"/>
      <c r="E5" s="2572" t="s">
        <v>2522</v>
      </c>
      <c r="F5" s="2573" t="s">
        <v>2523</v>
      </c>
    </row>
    <row r="6" spans="1:6" ht="14.4">
      <c r="A6" s="2574" t="str">
        <f>'数据-取费表'!AN6</f>
        <v>收益法</v>
      </c>
      <c r="B6" s="2573">
        <f ca="1">IF(F6="是",'数据-取费表'!AO6,0)</f>
        <v>52578</v>
      </c>
      <c r="C6" s="2564" t="s">
        <v>2518</v>
      </c>
      <c r="D6" s="2567"/>
      <c r="E6" s="2575">
        <f>IF(OR(A6=0,F6="否"),0,'数据-取费表'!K6+'数据-取费表'!S6)</f>
        <v>80940.479999999996</v>
      </c>
      <c r="F6" s="2576" t="s">
        <v>2524</v>
      </c>
    </row>
    <row r="7" spans="1:6" ht="14.4">
      <c r="A7" s="2574" t="str">
        <f>'数据-取费表'!AN7</f>
        <v>收益法地下厂房</v>
      </c>
      <c r="B7" s="2573">
        <f ca="1">IF(F7="是",'数据-取费表'!AO7,0)</f>
        <v>2764</v>
      </c>
      <c r="C7" s="2564" t="s">
        <v>2518</v>
      </c>
      <c r="D7" s="2567"/>
      <c r="E7" s="2575">
        <f>IF(OR(A7=0,F7="否"),0,'数据-取费表'!K7+'数据-取费表'!S7)</f>
        <v>8857.7800000000007</v>
      </c>
      <c r="F7" s="2576" t="s">
        <v>2524</v>
      </c>
    </row>
    <row r="8" spans="1:6" ht="14.4">
      <c r="A8" s="2574" t="str">
        <f>'数据-取费表'!AN8</f>
        <v>收益法地下车库</v>
      </c>
      <c r="B8" s="2573">
        <f ca="1">IF(F8="是",'数据-取费表'!AO8,0)</f>
        <v>4285</v>
      </c>
      <c r="C8" s="2564" t="s">
        <v>2518</v>
      </c>
      <c r="D8" s="2567"/>
      <c r="E8" s="2575">
        <f>IF(OR(A8=0,F8="否"),0,'数据-取费表'!K8+'数据-取费表'!S8)</f>
        <v>13506.19</v>
      </c>
      <c r="F8" s="2576" t="s">
        <v>2524</v>
      </c>
    </row>
    <row r="9" spans="1:6" ht="14.4">
      <c r="A9" s="2574">
        <f>'数据-取费表'!AN9</f>
        <v>0</v>
      </c>
      <c r="B9" s="2573" t="e">
        <f ca="1">IF(F9="是",'数据-取费表'!AO9,0)</f>
        <v>#REF!</v>
      </c>
      <c r="C9" s="2564" t="s">
        <v>2518</v>
      </c>
      <c r="D9" s="2567"/>
      <c r="E9" s="2575">
        <f>IF(OR(A9=0,F9="否"),0,'数据-取费表'!K9+'数据-取费表'!S9)</f>
        <v>0</v>
      </c>
      <c r="F9" s="2576" t="s">
        <v>2524</v>
      </c>
    </row>
    <row r="10" spans="1:6" ht="14.4">
      <c r="A10" s="2574">
        <f>'数据-取费表'!AN10</f>
        <v>0</v>
      </c>
      <c r="B10" s="2573" t="e">
        <f ca="1">IF(F10="是",'数据-取费表'!AO10,0)</f>
        <v>#REF!</v>
      </c>
      <c r="C10" s="2564" t="s">
        <v>2518</v>
      </c>
      <c r="D10" s="2567"/>
      <c r="E10" s="2575">
        <f>IF(OR(A10=0,F10="否"),0,'数据-取费表'!K10+'数据-取费表'!S10)</f>
        <v>0</v>
      </c>
      <c r="F10" s="2576" t="s">
        <v>2524</v>
      </c>
    </row>
    <row r="11" spans="1:6" ht="14.4">
      <c r="A11" s="2574">
        <f>'数据-取费表'!AN11</f>
        <v>0</v>
      </c>
      <c r="B11" s="2573" t="e">
        <f ca="1">IF(F11="是",'数据-取费表'!AO11,0)</f>
        <v>#REF!</v>
      </c>
      <c r="C11" s="2564" t="s">
        <v>2518</v>
      </c>
      <c r="D11" s="2567"/>
      <c r="E11" s="2575">
        <f>IF(OR(A11=0,F11="否"),0,'数据-取费表'!K11+'数据-取费表'!S11)</f>
        <v>0</v>
      </c>
      <c r="F11" s="2576" t="s">
        <v>2524</v>
      </c>
    </row>
    <row r="12" spans="1:6" ht="14.4">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677" t="s">
        <v>1076</v>
      </c>
      <c r="B1" s="3678"/>
      <c r="C1" s="3679"/>
      <c r="D1" s="3680">
        <f>SUM(I10,I15,I20,I21,I23)</f>
        <v>0</v>
      </c>
      <c r="E1" s="3680"/>
      <c r="F1" s="3680"/>
      <c r="G1" s="3680"/>
      <c r="H1" s="3680"/>
      <c r="I1" s="3681"/>
    </row>
    <row r="2" spans="1:9">
      <c r="A2" s="3667" t="s">
        <v>1077</v>
      </c>
      <c r="B2" s="3668" t="s">
        <v>1078</v>
      </c>
      <c r="C2" s="3668"/>
      <c r="D2" s="1300" t="s">
        <v>1079</v>
      </c>
      <c r="E2" s="1300" t="s">
        <v>1080</v>
      </c>
      <c r="F2" s="1300" t="s">
        <v>1081</v>
      </c>
      <c r="G2" s="1300" t="s">
        <v>1082</v>
      </c>
      <c r="H2" s="1300" t="s">
        <v>1083</v>
      </c>
      <c r="I2" s="1301" t="s">
        <v>1084</v>
      </c>
    </row>
    <row r="3" spans="1:9">
      <c r="A3" s="3667"/>
      <c r="B3" s="3668" t="s">
        <v>1085</v>
      </c>
      <c r="C3" s="3668"/>
      <c r="D3" s="1302"/>
      <c r="E3" s="1300"/>
      <c r="F3" s="1303"/>
      <c r="G3" s="1303"/>
      <c r="H3" s="1304"/>
      <c r="I3" s="1305">
        <f>ROUND(D3*E3*F3*G3*H3/10000,0)</f>
        <v>0</v>
      </c>
    </row>
    <row r="4" spans="1:9">
      <c r="A4" s="3667"/>
      <c r="B4" s="3668" t="s">
        <v>1086</v>
      </c>
      <c r="C4" s="3668"/>
      <c r="D4" s="1302"/>
      <c r="E4" s="1300"/>
      <c r="F4" s="1303"/>
      <c r="G4" s="1303"/>
      <c r="H4" s="1304"/>
      <c r="I4" s="1305">
        <f t="shared" ref="I4:I9" si="0">ROUND(D4*E4*F4*G4*H4/10000,0)</f>
        <v>0</v>
      </c>
    </row>
    <row r="5" spans="1:9">
      <c r="A5" s="3667"/>
      <c r="B5" s="3668" t="s">
        <v>1087</v>
      </c>
      <c r="C5" s="3668"/>
      <c r="D5" s="1302"/>
      <c r="E5" s="1300"/>
      <c r="F5" s="1303"/>
      <c r="G5" s="1303"/>
      <c r="H5" s="1304"/>
      <c r="I5" s="1305">
        <f t="shared" si="0"/>
        <v>0</v>
      </c>
    </row>
    <row r="6" spans="1:9">
      <c r="A6" s="3667"/>
      <c r="B6" s="3668" t="s">
        <v>1088</v>
      </c>
      <c r="C6" s="3668"/>
      <c r="D6" s="1302"/>
      <c r="E6" s="1300"/>
      <c r="F6" s="1303"/>
      <c r="G6" s="1303"/>
      <c r="H6" s="1304"/>
      <c r="I6" s="1305">
        <f t="shared" si="0"/>
        <v>0</v>
      </c>
    </row>
    <row r="7" spans="1:9">
      <c r="A7" s="3667"/>
      <c r="B7" s="3668" t="s">
        <v>1089</v>
      </c>
      <c r="C7" s="3668"/>
      <c r="D7" s="1302"/>
      <c r="E7" s="1300"/>
      <c r="F7" s="1303"/>
      <c r="G7" s="1303"/>
      <c r="H7" s="1304"/>
      <c r="I7" s="1305">
        <f t="shared" si="0"/>
        <v>0</v>
      </c>
    </row>
    <row r="8" spans="1:9">
      <c r="A8" s="3667"/>
      <c r="B8" s="3668" t="s">
        <v>1090</v>
      </c>
      <c r="C8" s="3668"/>
      <c r="D8" s="1302"/>
      <c r="E8" s="1300"/>
      <c r="F8" s="1303"/>
      <c r="G8" s="1303"/>
      <c r="H8" s="1304"/>
      <c r="I8" s="1305">
        <f t="shared" si="0"/>
        <v>0</v>
      </c>
    </row>
    <row r="9" spans="1:9">
      <c r="A9" s="3667"/>
      <c r="B9" s="3668" t="s">
        <v>1091</v>
      </c>
      <c r="C9" s="3668"/>
      <c r="D9" s="1302"/>
      <c r="E9" s="1300"/>
      <c r="F9" s="1303"/>
      <c r="G9" s="1303"/>
      <c r="H9" s="1304"/>
      <c r="I9" s="1305">
        <f t="shared" si="0"/>
        <v>0</v>
      </c>
    </row>
    <row r="10" spans="1:9">
      <c r="A10" s="3667"/>
      <c r="B10" s="3669" t="s">
        <v>1092</v>
      </c>
      <c r="C10" s="3669"/>
      <c r="D10" s="1306"/>
      <c r="E10" s="1306" t="e">
        <f>ROUND(D1*10000/D10/H9,0)</f>
        <v>#DIV/0!</v>
      </c>
      <c r="F10" s="1307"/>
      <c r="G10" s="1307"/>
      <c r="H10" s="1308"/>
      <c r="I10" s="1309">
        <f>SUM(I3:I9)</f>
        <v>0</v>
      </c>
    </row>
    <row r="11" spans="1:9" ht="15.6">
      <c r="A11" s="3667" t="s">
        <v>1093</v>
      </c>
      <c r="B11" s="3668" t="s">
        <v>1094</v>
      </c>
      <c r="C11" s="3668"/>
      <c r="D11" s="1302" t="s">
        <v>1095</v>
      </c>
      <c r="E11" s="1302" t="s">
        <v>1096</v>
      </c>
      <c r="F11" s="1303" t="s">
        <v>1097</v>
      </c>
      <c r="G11" s="1303" t="s">
        <v>1083</v>
      </c>
      <c r="H11" s="1310" t="s">
        <v>1098</v>
      </c>
      <c r="I11" s="1301" t="s">
        <v>1084</v>
      </c>
    </row>
    <row r="12" spans="1:9">
      <c r="A12" s="3667"/>
      <c r="B12" s="3668" t="s">
        <v>1099</v>
      </c>
      <c r="C12" s="3668"/>
      <c r="D12" s="1302"/>
      <c r="E12" s="1302"/>
      <c r="F12" s="1303"/>
      <c r="G12" s="1304"/>
      <c r="H12" s="1311"/>
      <c r="I12" s="1301">
        <f>ROUND(D12*E12*F12*G12/10000,0)</f>
        <v>0</v>
      </c>
    </row>
    <row r="13" spans="1:9">
      <c r="A13" s="3667"/>
      <c r="B13" s="3668" t="s">
        <v>1100</v>
      </c>
      <c r="C13" s="3668"/>
      <c r="D13" s="1302"/>
      <c r="E13" s="1302"/>
      <c r="F13" s="1303"/>
      <c r="G13" s="1304"/>
      <c r="H13" s="1311"/>
      <c r="I13" s="1301">
        <f>ROUND(D13*E13*F13*G13/10000,0)</f>
        <v>0</v>
      </c>
    </row>
    <row r="14" spans="1:9">
      <c r="A14" s="3667"/>
      <c r="B14" s="3668" t="s">
        <v>1101</v>
      </c>
      <c r="C14" s="3668"/>
      <c r="D14" s="1302"/>
      <c r="E14" s="1302"/>
      <c r="F14" s="1303"/>
      <c r="G14" s="1304"/>
      <c r="H14" s="1311"/>
      <c r="I14" s="1301">
        <f>ROUND(D14*E14*F14*G14/10000,0)</f>
        <v>0</v>
      </c>
    </row>
    <row r="15" spans="1:9">
      <c r="A15" s="3667"/>
      <c r="B15" s="3669" t="s">
        <v>1092</v>
      </c>
      <c r="C15" s="3669"/>
      <c r="D15" s="1306"/>
      <c r="E15" s="1306">
        <f>SUM(E12:E14)</f>
        <v>0</v>
      </c>
      <c r="F15" s="1307"/>
      <c r="G15" s="1304"/>
      <c r="H15" s="1311"/>
      <c r="I15" s="1312">
        <f>SUM(I12:I14)</f>
        <v>0</v>
      </c>
    </row>
    <row r="16" spans="1:9" ht="24">
      <c r="A16" s="3667" t="s">
        <v>1102</v>
      </c>
      <c r="B16" s="3668" t="s">
        <v>1103</v>
      </c>
      <c r="C16" s="3668"/>
      <c r="D16" s="1302" t="s">
        <v>1079</v>
      </c>
      <c r="E16" s="1313" t="s">
        <v>1104</v>
      </c>
      <c r="F16" s="1303" t="s">
        <v>1105</v>
      </c>
      <c r="G16" s="1304" t="s">
        <v>1083</v>
      </c>
      <c r="H16" s="1310" t="s">
        <v>1098</v>
      </c>
      <c r="I16" s="1301" t="s">
        <v>1084</v>
      </c>
    </row>
    <row r="17" spans="1:9" ht="15.6">
      <c r="A17" s="3667"/>
      <c r="B17" s="3668" t="s">
        <v>1106</v>
      </c>
      <c r="C17" s="3668"/>
      <c r="D17" s="1302"/>
      <c r="E17" s="1302"/>
      <c r="F17" s="1303"/>
      <c r="G17" s="1304"/>
      <c r="H17" s="1314"/>
      <c r="I17" s="1315">
        <f>ROUND(D17*E17*F17*G17/10000,0)</f>
        <v>0</v>
      </c>
    </row>
    <row r="18" spans="1:9" ht="15.6">
      <c r="A18" s="3667"/>
      <c r="B18" s="3668" t="s">
        <v>1107</v>
      </c>
      <c r="C18" s="3668"/>
      <c r="D18" s="1302"/>
      <c r="E18" s="1302"/>
      <c r="F18" s="1303"/>
      <c r="G18" s="1304"/>
      <c r="H18" s="1314"/>
      <c r="I18" s="1315">
        <f>ROUND(D18*E18*F18*G18/10000,0)</f>
        <v>0</v>
      </c>
    </row>
    <row r="19" spans="1:9" ht="15.6">
      <c r="A19" s="3667"/>
      <c r="B19" s="3668" t="s">
        <v>1108</v>
      </c>
      <c r="C19" s="3668"/>
      <c r="D19" s="1302"/>
      <c r="E19" s="1302"/>
      <c r="F19" s="1303"/>
      <c r="G19" s="1304"/>
      <c r="H19" s="1314"/>
      <c r="I19" s="1315">
        <f>ROUND(D19*E19*F19*G19/10000,0)</f>
        <v>0</v>
      </c>
    </row>
    <row r="20" spans="1:9">
      <c r="A20" s="3667"/>
      <c r="B20" s="3669" t="s">
        <v>1092</v>
      </c>
      <c r="C20" s="3669"/>
      <c r="D20" s="1306">
        <f>SUM(D17:D19)</f>
        <v>0</v>
      </c>
      <c r="E20" s="1306"/>
      <c r="F20" s="1307"/>
      <c r="G20" s="1304"/>
      <c r="H20" s="1311"/>
      <c r="I20" s="1312">
        <f>SUM(I17:I19)</f>
        <v>0</v>
      </c>
    </row>
    <row r="21" spans="1:9">
      <c r="A21" s="3667" t="s">
        <v>1109</v>
      </c>
      <c r="B21" s="3670"/>
      <c r="C21" s="3670"/>
      <c r="D21" s="3670"/>
      <c r="E21" s="3670"/>
      <c r="F21" s="3670"/>
      <c r="G21" s="3670"/>
      <c r="H21" s="1764">
        <v>0.1</v>
      </c>
      <c r="I21" s="1309">
        <f>ROUND(I10*H21,0)</f>
        <v>0</v>
      </c>
    </row>
    <row r="22" spans="1:9" ht="15.6">
      <c r="A22" s="3671" t="s">
        <v>1110</v>
      </c>
      <c r="B22" s="3672"/>
      <c r="C22" s="3673"/>
      <c r="D22" s="1316" t="s">
        <v>1111</v>
      </c>
      <c r="E22" s="1316" t="s">
        <v>1112</v>
      </c>
      <c r="F22" s="1317" t="s">
        <v>1113</v>
      </c>
      <c r="G22" s="1317" t="s">
        <v>1114</v>
      </c>
      <c r="H22" s="1310" t="s">
        <v>1115</v>
      </c>
      <c r="I22" s="1301" t="s">
        <v>1116</v>
      </c>
    </row>
    <row r="23" spans="1:9" ht="15" thickBot="1">
      <c r="A23" s="3674"/>
      <c r="B23" s="3675"/>
      <c r="C23" s="3676"/>
      <c r="D23" s="1318"/>
      <c r="E23" s="1318"/>
      <c r="F23" s="1318"/>
      <c r="G23" s="1319"/>
      <c r="H23" s="1320"/>
      <c r="I23" s="1321">
        <f>ROUND(E23*D23*F23*(1-G23)/10000,0)</f>
        <v>0</v>
      </c>
    </row>
    <row r="26" spans="1:9">
      <c r="A26" s="1322" t="s">
        <v>1117</v>
      </c>
      <c r="B26" s="1322"/>
      <c r="C26" s="1322"/>
      <c r="D26" s="1322"/>
      <c r="E26" s="3664">
        <f>C27-C30-C31-C32</f>
        <v>0</v>
      </c>
      <c r="F26" s="3664"/>
      <c r="G26" s="3664"/>
      <c r="H26" s="1736" t="s">
        <v>1340</v>
      </c>
    </row>
    <row r="27" spans="1:9">
      <c r="A27" s="1323">
        <v>1</v>
      </c>
      <c r="B27" s="1324" t="s">
        <v>1118</v>
      </c>
      <c r="C27" s="1324">
        <f>C28+C29</f>
        <v>0</v>
      </c>
      <c r="D27" s="1324"/>
      <c r="E27" s="3665"/>
      <c r="F27" s="3665"/>
      <c r="G27" s="3665"/>
    </row>
    <row r="28" spans="1:9">
      <c r="A28" s="1325" t="s">
        <v>1119</v>
      </c>
      <c r="B28" s="1324" t="s">
        <v>1120</v>
      </c>
      <c r="C28" s="1324"/>
      <c r="D28" s="1324"/>
      <c r="E28" s="3665"/>
      <c r="F28" s="3665"/>
      <c r="G28" s="3665"/>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666"/>
      <c r="F32" s="3666"/>
      <c r="G32" s="3666"/>
    </row>
    <row r="33" spans="1:7" hidden="1">
      <c r="A33" s="3661" t="s">
        <v>1129</v>
      </c>
      <c r="B33" s="3662"/>
      <c r="C33" s="3662"/>
      <c r="D33" s="3663"/>
      <c r="E33" s="3664"/>
      <c r="F33" s="3664"/>
      <c r="G33" s="3664"/>
    </row>
    <row r="34" spans="1:7" hidden="1">
      <c r="A34" s="1327">
        <v>1</v>
      </c>
      <c r="B34" s="1324" t="s">
        <v>1130</v>
      </c>
      <c r="C34" s="1324"/>
      <c r="D34" s="1324"/>
      <c r="E34" s="3665"/>
      <c r="F34" s="3665"/>
      <c r="G34" s="3665"/>
    </row>
    <row r="35" spans="1:7" hidden="1">
      <c r="A35" s="1327">
        <v>2</v>
      </c>
      <c r="B35" s="1324" t="s">
        <v>1131</v>
      </c>
      <c r="C35" s="1324"/>
      <c r="D35" s="1324"/>
      <c r="E35" s="3665"/>
      <c r="F35" s="3665"/>
      <c r="G35" s="3665"/>
    </row>
    <row r="36" spans="1:7" hidden="1">
      <c r="A36" s="1327">
        <v>3</v>
      </c>
      <c r="B36" s="1324" t="s">
        <v>1132</v>
      </c>
      <c r="C36" s="1324"/>
      <c r="D36" s="1324"/>
      <c r="E36" s="3665"/>
      <c r="F36" s="3665"/>
      <c r="G36" s="3665"/>
    </row>
    <row r="37" spans="1:7" hidden="1">
      <c r="A37" s="1327">
        <v>4</v>
      </c>
      <c r="B37" s="1324" t="s">
        <v>1133</v>
      </c>
      <c r="C37" s="1324"/>
      <c r="D37" s="1324"/>
      <c r="E37" s="3665"/>
      <c r="F37" s="3665"/>
      <c r="G37" s="3665"/>
    </row>
    <row r="38" spans="1:7" hidden="1">
      <c r="A38" s="3661" t="s">
        <v>1134</v>
      </c>
      <c r="B38" s="3662"/>
      <c r="C38" s="3662"/>
      <c r="D38" s="3663"/>
      <c r="E38" s="3664"/>
      <c r="F38" s="3664"/>
      <c r="G38" s="36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2527</v>
      </c>
      <c r="B1" s="2580" t="s">
        <v>2528</v>
      </c>
      <c r="C1" s="1633" t="s">
        <v>2529</v>
      </c>
      <c r="D1" s="1620"/>
      <c r="E1" s="2581"/>
      <c r="F1" s="2582" t="s">
        <v>2530</v>
      </c>
      <c r="G1" s="1630" t="s">
        <v>2531</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1" customFormat="1" ht="28.5" customHeight="1" thickTop="1">
      <c r="A2" s="1616" t="s">
        <v>1394</v>
      </c>
      <c r="B2" s="1417" t="e">
        <f ca="1">IF(C2="——",ROUND(C49*D3/10000,0),ROUND(C49*D3/10000,0)-D2)</f>
        <v>#DIV/0!</v>
      </c>
      <c r="C2" s="2584"/>
      <c r="D2" s="1364" t="e">
        <f ca="1">SUMIF(INDIRECT("'"&amp;F2&amp;"'"&amp;"!A:A"),"承租人权益价值",INDIRECT("'"&amp;F2&amp;"'"&amp;"!c:c"))</f>
        <v>#REF!</v>
      </c>
      <c r="E2" s="2585" t="s">
        <v>2532</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2533</v>
      </c>
      <c r="D3" s="397">
        <f>IF(D1="",'数据-汇总表'!E3,SUMIF('数据-汇总表'!$C19:$C33,D1,'数据-汇总表'!$E19:$E33))</f>
        <v>103304.44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4.4">
      <c r="A4" s="399" t="s">
        <v>2534</v>
      </c>
      <c r="B4" s="400"/>
      <c r="C4" s="3553" t="s">
        <v>2535</v>
      </c>
      <c r="D4" s="3554"/>
      <c r="E4" s="3555" t="s">
        <v>2536</v>
      </c>
      <c r="F4" s="3556"/>
      <c r="G4" s="3553" t="s">
        <v>2537</v>
      </c>
      <c r="H4" s="3554"/>
      <c r="I4" s="3553" t="s">
        <v>2538</v>
      </c>
      <c r="J4" s="3554"/>
      <c r="K4" s="2594" t="s">
        <v>2539</v>
      </c>
      <c r="L4" s="1129"/>
      <c r="M4" s="1130"/>
      <c r="N4" s="1130"/>
      <c r="O4" s="1130"/>
      <c r="P4" s="3557" t="s">
        <v>2540</v>
      </c>
      <c r="Q4" s="3558"/>
      <c r="R4" s="3563" t="s">
        <v>2536</v>
      </c>
      <c r="S4" s="3564"/>
      <c r="T4" s="3563" t="s">
        <v>2537</v>
      </c>
      <c r="U4" s="3564"/>
      <c r="V4" s="3569" t="s">
        <v>2538</v>
      </c>
      <c r="W4" s="3569"/>
      <c r="X4" s="1812"/>
      <c r="Y4" s="3563" t="s">
        <v>2540</v>
      </c>
      <c r="Z4" s="3564"/>
      <c r="AA4" s="3550" t="s">
        <v>2536</v>
      </c>
      <c r="AB4" s="3550" t="s">
        <v>2537</v>
      </c>
      <c r="AC4" s="3550" t="s">
        <v>2538</v>
      </c>
    </row>
    <row r="5" spans="1:29">
      <c r="A5" s="402"/>
      <c r="B5" s="403"/>
      <c r="C5" s="3572" t="s">
        <v>2541</v>
      </c>
      <c r="D5" s="3573"/>
      <c r="E5" s="3579" t="s">
        <v>2542</v>
      </c>
      <c r="F5" s="3580"/>
      <c r="G5" s="3572" t="s">
        <v>2543</v>
      </c>
      <c r="H5" s="3573"/>
      <c r="I5" s="3572" t="s">
        <v>2544</v>
      </c>
      <c r="J5" s="3573"/>
      <c r="K5" s="2595"/>
      <c r="L5" s="1129"/>
      <c r="M5" s="1130"/>
      <c r="N5" s="1130"/>
      <c r="O5" s="1130"/>
      <c r="P5" s="3559"/>
      <c r="Q5" s="3560"/>
      <c r="R5" s="3565"/>
      <c r="S5" s="3566"/>
      <c r="T5" s="3565"/>
      <c r="U5" s="3566"/>
      <c r="V5" s="3569"/>
      <c r="W5" s="3569"/>
      <c r="X5" s="1812"/>
      <c r="Y5" s="3565"/>
      <c r="Z5" s="3566"/>
      <c r="AA5" s="3551"/>
      <c r="AB5" s="3551"/>
      <c r="AC5" s="3551"/>
    </row>
    <row r="6" spans="1:29" ht="15" thickBot="1">
      <c r="A6" s="404"/>
      <c r="B6" s="405"/>
      <c r="C6" s="3570" t="s">
        <v>2545</v>
      </c>
      <c r="D6" s="3571"/>
      <c r="E6" s="3577" t="s">
        <v>2545</v>
      </c>
      <c r="F6" s="3578"/>
      <c r="G6" s="3570" t="s">
        <v>2545</v>
      </c>
      <c r="H6" s="3571"/>
      <c r="I6" s="3570" t="s">
        <v>2545</v>
      </c>
      <c r="J6" s="3571"/>
      <c r="K6" s="2595" t="s">
        <v>2546</v>
      </c>
      <c r="L6" s="1129"/>
      <c r="M6" s="1130"/>
      <c r="N6" s="1130"/>
      <c r="O6" s="1130"/>
      <c r="P6" s="3561"/>
      <c r="Q6" s="3562"/>
      <c r="R6" s="3565"/>
      <c r="S6" s="3566"/>
      <c r="T6" s="3567"/>
      <c r="U6" s="3568"/>
      <c r="V6" s="3569"/>
      <c r="W6" s="3569"/>
      <c r="X6" s="1812"/>
      <c r="Y6" s="3567"/>
      <c r="Z6" s="3568"/>
      <c r="AA6" s="3552"/>
      <c r="AB6" s="3552"/>
      <c r="AC6" s="3552"/>
    </row>
    <row r="7" spans="1:29" s="115" customFormat="1" ht="15" thickBot="1">
      <c r="A7" s="406" t="s">
        <v>2547</v>
      </c>
      <c r="B7" s="407"/>
      <c r="C7" s="408">
        <f>'数据-取费表'!B2</f>
        <v>43424</v>
      </c>
      <c r="D7" s="409">
        <v>100</v>
      </c>
      <c r="E7" s="410"/>
      <c r="F7" s="411">
        <f>SUMIF(58:58,YEAR(E7)&amp;"-"&amp;MONTH(E7),59:59)</f>
        <v>0</v>
      </c>
      <c r="G7" s="410"/>
      <c r="H7" s="409">
        <f>SUMIF(58:58,YEAR(G7)&amp;"-"&amp;MONTH(G7),59:59)</f>
        <v>0</v>
      </c>
      <c r="I7" s="410"/>
      <c r="J7" s="409">
        <f>SUMIF(58:58,YEAR(I7)&amp;"-"&amp;MONTH(I7),59:59)</f>
        <v>0</v>
      </c>
      <c r="K7" s="2596"/>
      <c r="L7" s="1131"/>
      <c r="M7" s="1132"/>
      <c r="N7" s="1132"/>
      <c r="O7" s="1132"/>
      <c r="P7" s="3574" t="s">
        <v>2548</v>
      </c>
      <c r="Q7" s="3576"/>
      <c r="R7" s="767" t="s">
        <v>23</v>
      </c>
      <c r="S7" s="768">
        <f t="shared" ref="S7:S15" si="0">F7</f>
        <v>0</v>
      </c>
      <c r="T7" s="767" t="s">
        <v>23</v>
      </c>
      <c r="U7" s="768">
        <f t="shared" ref="U7:U15" si="1">H7</f>
        <v>0</v>
      </c>
      <c r="V7" s="767" t="s">
        <v>23</v>
      </c>
      <c r="W7" s="768">
        <f t="shared" ref="W7:W15" si="2">J7</f>
        <v>0</v>
      </c>
      <c r="X7" s="769"/>
      <c r="Y7" s="3574" t="s">
        <v>2548</v>
      </c>
      <c r="Z7" s="3575"/>
      <c r="AA7" s="770" t="e">
        <f>D7/F7</f>
        <v>#DIV/0!</v>
      </c>
      <c r="AB7" s="770" t="e">
        <f>D7/H7</f>
        <v>#DIV/0!</v>
      </c>
      <c r="AC7" s="770" t="e">
        <f>D7/J7</f>
        <v>#DIV/0!</v>
      </c>
    </row>
    <row r="8" spans="1:29" s="115" customFormat="1" ht="15" thickBot="1">
      <c r="A8" s="406" t="s">
        <v>2549</v>
      </c>
      <c r="B8" s="407"/>
      <c r="C8" s="412" t="s">
        <v>2550</v>
      </c>
      <c r="D8" s="409">
        <v>100</v>
      </c>
      <c r="E8" s="2597"/>
      <c r="F8" s="411">
        <f>SUMIF(61:61,E8,62:62)-SUMIF(61:61,C8,62:62)+100</f>
        <v>0</v>
      </c>
      <c r="G8" s="412"/>
      <c r="H8" s="409">
        <f>SUMIF(61:61,G8,62:62)-SUMIF(61:61,C8,62:62)+100</f>
        <v>0</v>
      </c>
      <c r="I8" s="2597"/>
      <c r="J8" s="409">
        <f>SUMIF(61:61,I8,62:62)-SUMIF(61:61,C8,62:62)+100</f>
        <v>0</v>
      </c>
      <c r="K8" s="2596"/>
      <c r="L8" s="1131"/>
      <c r="M8" s="1132"/>
      <c r="N8" s="1132"/>
      <c r="O8" s="1132"/>
      <c r="P8" s="3574" t="s">
        <v>2551</v>
      </c>
      <c r="Q8" s="3575"/>
      <c r="R8" s="767" t="s">
        <v>23</v>
      </c>
      <c r="S8" s="768">
        <f t="shared" si="0"/>
        <v>0</v>
      </c>
      <c r="T8" s="767" t="s">
        <v>23</v>
      </c>
      <c r="U8" s="768">
        <f t="shared" si="1"/>
        <v>0</v>
      </c>
      <c r="V8" s="767" t="s">
        <v>23</v>
      </c>
      <c r="W8" s="768">
        <f t="shared" si="2"/>
        <v>0</v>
      </c>
      <c r="X8" s="769"/>
      <c r="Y8" s="3574" t="s">
        <v>2551</v>
      </c>
      <c r="Z8" s="3575"/>
      <c r="AA8" s="770" t="e">
        <f t="shared" ref="AA8:AA19" si="3">D8/F8</f>
        <v>#DIV/0!</v>
      </c>
      <c r="AB8" s="770" t="e">
        <f t="shared" ref="AB8:AB19" si="4">D8/H8</f>
        <v>#DIV/0!</v>
      </c>
      <c r="AC8" s="770" t="e">
        <f t="shared" ref="AC8:AC19" si="5">D8/J8</f>
        <v>#DIV/0!</v>
      </c>
    </row>
    <row r="9" spans="1:29" s="115" customFormat="1" ht="14.4">
      <c r="A9" s="413" t="s">
        <v>2552</v>
      </c>
      <c r="B9" s="70" t="s">
        <v>2553</v>
      </c>
      <c r="C9" s="414"/>
      <c r="D9" s="133">
        <v>100</v>
      </c>
      <c r="E9" s="415"/>
      <c r="F9" s="416">
        <f>SUMIF(63:63,E9,64:64)-SUMIF(63:63,C9,64:64)+100</f>
        <v>100</v>
      </c>
      <c r="G9" s="417"/>
      <c r="H9" s="133">
        <f>SUMIF(63:63,G9,64:64)-SUMIF(63:63,C9,64:64)+100</f>
        <v>100</v>
      </c>
      <c r="I9" s="417"/>
      <c r="J9" s="133">
        <f>SUMIF(63:63,I9,64:64)-SUMIF(63:63,C9,64:64)+100</f>
        <v>100</v>
      </c>
      <c r="K9" s="2596"/>
      <c r="L9" s="1131"/>
      <c r="M9" s="1132"/>
      <c r="N9" s="1132"/>
      <c r="O9" s="1132"/>
      <c r="P9" s="3582" t="s">
        <v>2554</v>
      </c>
      <c r="Q9" s="1794" t="str">
        <f t="shared" ref="Q9:Q15" si="6">B9</f>
        <v>用途</v>
      </c>
      <c r="R9" s="767" t="s">
        <v>17</v>
      </c>
      <c r="S9" s="768">
        <f t="shared" si="0"/>
        <v>100</v>
      </c>
      <c r="T9" s="767" t="s">
        <v>17</v>
      </c>
      <c r="U9" s="768">
        <f t="shared" si="1"/>
        <v>100</v>
      </c>
      <c r="V9" s="767" t="s">
        <v>17</v>
      </c>
      <c r="W9" s="768">
        <f t="shared" si="2"/>
        <v>100</v>
      </c>
      <c r="X9" s="769"/>
      <c r="Y9" s="3390" t="s">
        <v>2555</v>
      </c>
      <c r="Z9" s="54" t="str">
        <f t="shared" ref="Z9:Z15" si="7">Q9</f>
        <v>用途</v>
      </c>
      <c r="AA9" s="770">
        <f t="shared" si="3"/>
        <v>1</v>
      </c>
      <c r="AB9" s="770">
        <f t="shared" si="4"/>
        <v>1</v>
      </c>
      <c r="AC9" s="770">
        <f t="shared" si="5"/>
        <v>1</v>
      </c>
    </row>
    <row r="10" spans="1:29" s="425" customFormat="1" ht="28.8">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424"/>
      <c r="L10" s="1134"/>
      <c r="M10" s="1135"/>
      <c r="N10" s="1135"/>
      <c r="O10" s="1135"/>
      <c r="P10" s="3582"/>
      <c r="Q10" s="1794" t="str">
        <f t="shared" si="6"/>
        <v>土地使用年限（年）</v>
      </c>
      <c r="R10" s="767" t="s">
        <v>17</v>
      </c>
      <c r="S10" s="768">
        <f t="shared" si="0"/>
        <v>100</v>
      </c>
      <c r="T10" s="767" t="s">
        <v>17</v>
      </c>
      <c r="U10" s="768">
        <f t="shared" si="1"/>
        <v>100</v>
      </c>
      <c r="V10" s="767" t="s">
        <v>17</v>
      </c>
      <c r="W10" s="768">
        <f t="shared" si="2"/>
        <v>100</v>
      </c>
      <c r="X10" s="769"/>
      <c r="Y10" s="3390"/>
      <c r="Z10" s="54"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7"/>
      <c r="M11" s="1130"/>
      <c r="N11" s="1130"/>
      <c r="O11" s="1130"/>
      <c r="P11" s="3582"/>
      <c r="Q11" s="1794" t="str">
        <f t="shared" si="6"/>
        <v>容积率</v>
      </c>
      <c r="R11" s="767" t="s">
        <v>21</v>
      </c>
      <c r="S11" s="768" t="e">
        <f t="shared" si="0"/>
        <v>#N/A</v>
      </c>
      <c r="T11" s="767" t="s">
        <v>21</v>
      </c>
      <c r="U11" s="768" t="e">
        <f t="shared" si="1"/>
        <v>#N/A</v>
      </c>
      <c r="V11" s="767" t="s">
        <v>21</v>
      </c>
      <c r="W11" s="768" t="e">
        <f t="shared" si="2"/>
        <v>#N/A</v>
      </c>
      <c r="X11" s="769"/>
      <c r="Y11" s="3390"/>
      <c r="Z11" s="54" t="str">
        <f t="shared" si="7"/>
        <v>容积率</v>
      </c>
      <c r="AA11" s="770" t="e">
        <f t="shared" si="3"/>
        <v>#N/A</v>
      </c>
      <c r="AB11" s="770" t="e">
        <f t="shared" si="4"/>
        <v>#N/A</v>
      </c>
      <c r="AC11" s="770"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1"/>
      <c r="M12" s="1132"/>
      <c r="N12" s="1132"/>
      <c r="O12" s="1132"/>
      <c r="P12" s="3582"/>
      <c r="Q12" s="1794">
        <f t="shared" si="6"/>
        <v>111</v>
      </c>
      <c r="R12" s="767" t="s">
        <v>21</v>
      </c>
      <c r="S12" s="768">
        <f t="shared" si="0"/>
        <v>100</v>
      </c>
      <c r="T12" s="767" t="s">
        <v>21</v>
      </c>
      <c r="U12" s="768">
        <f t="shared" si="1"/>
        <v>100</v>
      </c>
      <c r="V12" s="767" t="s">
        <v>21</v>
      </c>
      <c r="W12" s="768">
        <f t="shared" si="2"/>
        <v>100</v>
      </c>
      <c r="X12" s="769"/>
      <c r="Y12" s="3390"/>
      <c r="Z12" s="54">
        <f t="shared" si="7"/>
        <v>111</v>
      </c>
      <c r="AA12" s="770">
        <f>D12/F12</f>
        <v>1</v>
      </c>
      <c r="AB12" s="770">
        <f>D12/H12</f>
        <v>1</v>
      </c>
      <c r="AC12" s="770">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39"/>
      <c r="M13" s="1130"/>
      <c r="N13" s="1130"/>
      <c r="O13" s="1130"/>
      <c r="P13" s="3582"/>
      <c r="Q13" s="1794">
        <f t="shared" si="6"/>
        <v>111</v>
      </c>
      <c r="R13" s="767" t="s">
        <v>21</v>
      </c>
      <c r="S13" s="768">
        <f t="shared" si="0"/>
        <v>100</v>
      </c>
      <c r="T13" s="767" t="s">
        <v>21</v>
      </c>
      <c r="U13" s="768">
        <f t="shared" si="1"/>
        <v>100</v>
      </c>
      <c r="V13" s="767" t="s">
        <v>21</v>
      </c>
      <c r="W13" s="768">
        <f t="shared" si="2"/>
        <v>100</v>
      </c>
      <c r="X13" s="769"/>
      <c r="Y13" s="3390"/>
      <c r="Z13" s="54">
        <f t="shared" si="7"/>
        <v>111</v>
      </c>
      <c r="AA13" s="770">
        <f t="shared" si="3"/>
        <v>1</v>
      </c>
      <c r="AB13" s="770">
        <f t="shared" si="4"/>
        <v>1</v>
      </c>
      <c r="AC13" s="770">
        <f t="shared" si="5"/>
        <v>1</v>
      </c>
    </row>
    <row r="14" spans="1:29" ht="15.6"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39"/>
      <c r="M14" s="1130"/>
      <c r="N14" s="1130"/>
      <c r="O14" s="1130"/>
      <c r="P14" s="3582"/>
      <c r="Q14" s="1794">
        <f t="shared" si="6"/>
        <v>111</v>
      </c>
      <c r="R14" s="767" t="s">
        <v>21</v>
      </c>
      <c r="S14" s="768">
        <f t="shared" si="0"/>
        <v>100</v>
      </c>
      <c r="T14" s="767" t="s">
        <v>21</v>
      </c>
      <c r="U14" s="768">
        <f t="shared" si="1"/>
        <v>100</v>
      </c>
      <c r="V14" s="767" t="s">
        <v>21</v>
      </c>
      <c r="W14" s="768">
        <f t="shared" si="2"/>
        <v>100</v>
      </c>
      <c r="X14" s="769"/>
      <c r="Y14" s="3390"/>
      <c r="Z14" s="54">
        <f t="shared" si="7"/>
        <v>111</v>
      </c>
      <c r="AA14" s="770">
        <f t="shared" si="3"/>
        <v>1</v>
      </c>
      <c r="AB14" s="770">
        <f t="shared" si="4"/>
        <v>1</v>
      </c>
      <c r="AC14" s="770">
        <f t="shared" si="5"/>
        <v>1</v>
      </c>
    </row>
    <row r="15" spans="1:29" ht="96.6">
      <c r="A15" s="438" t="s">
        <v>2558</v>
      </c>
      <c r="B15" s="68" t="s">
        <v>2085</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9"/>
      <c r="M15" s="1130"/>
      <c r="N15" s="1130"/>
      <c r="O15" s="1130"/>
      <c r="P15" s="3685" t="s">
        <v>2559</v>
      </c>
      <c r="Q15" s="1809" t="str">
        <f t="shared" si="6"/>
        <v>居住社区成熟度</v>
      </c>
      <c r="R15" s="771" t="s">
        <v>21</v>
      </c>
      <c r="S15" s="772">
        <f t="shared" si="0"/>
        <v>100</v>
      </c>
      <c r="T15" s="771" t="s">
        <v>21</v>
      </c>
      <c r="U15" s="772">
        <f t="shared" si="1"/>
        <v>100</v>
      </c>
      <c r="V15" s="771" t="s">
        <v>21</v>
      </c>
      <c r="W15" s="772">
        <f t="shared" si="2"/>
        <v>100</v>
      </c>
      <c r="X15" s="1812"/>
      <c r="Y15" s="3545" t="s">
        <v>2559</v>
      </c>
      <c r="Z15" s="1813" t="str">
        <f t="shared" si="7"/>
        <v>居住社区成熟度</v>
      </c>
      <c r="AA15" s="1810">
        <f t="shared" si="3"/>
        <v>1</v>
      </c>
      <c r="AB15" s="1810">
        <f t="shared" si="4"/>
        <v>1</v>
      </c>
      <c r="AC15" s="1810">
        <f t="shared" si="5"/>
        <v>1</v>
      </c>
    </row>
    <row r="16" spans="1:29" ht="15">
      <c r="A16" s="426"/>
      <c r="B16" s="444"/>
      <c r="C16" s="445"/>
      <c r="D16" s="446"/>
      <c r="E16" s="2602"/>
      <c r="F16" s="446"/>
      <c r="G16" s="2603"/>
      <c r="H16" s="448"/>
      <c r="I16" s="2603"/>
      <c r="J16" s="446"/>
      <c r="K16" s="2604"/>
      <c r="L16" s="1139"/>
      <c r="M16" s="1130"/>
      <c r="N16" s="1130"/>
      <c r="O16" s="1130"/>
      <c r="P16" s="3686"/>
      <c r="Q16" s="1809"/>
      <c r="R16" s="771"/>
      <c r="S16" s="772"/>
      <c r="T16" s="771"/>
      <c r="U16" s="772"/>
      <c r="V16" s="771"/>
      <c r="W16" s="772"/>
      <c r="X16" s="1812"/>
      <c r="Y16" s="3546"/>
      <c r="Z16" s="1813"/>
      <c r="AA16" s="1810">
        <v>1</v>
      </c>
      <c r="AB16" s="1810">
        <v>1</v>
      </c>
      <c r="AC16" s="1810">
        <v>1</v>
      </c>
    </row>
    <row r="17" spans="1:29" ht="82.8">
      <c r="A17" s="426"/>
      <c r="B17" s="449" t="s">
        <v>2097</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9"/>
      <c r="M17" s="1130"/>
      <c r="N17" s="1130"/>
      <c r="O17" s="1130"/>
      <c r="P17" s="3686"/>
      <c r="Q17" s="1809" t="str">
        <f>B17</f>
        <v>交通便捷度</v>
      </c>
      <c r="R17" s="771" t="s">
        <v>21</v>
      </c>
      <c r="S17" s="772">
        <f>F17</f>
        <v>100</v>
      </c>
      <c r="T17" s="771" t="s">
        <v>21</v>
      </c>
      <c r="U17" s="772">
        <f>H17</f>
        <v>100</v>
      </c>
      <c r="V17" s="771" t="s">
        <v>21</v>
      </c>
      <c r="W17" s="772">
        <f>J17</f>
        <v>100</v>
      </c>
      <c r="X17" s="1812"/>
      <c r="Y17" s="3546"/>
      <c r="Z17" s="1813" t="str">
        <f>Q17</f>
        <v>交通便捷度</v>
      </c>
      <c r="AA17" s="1810">
        <f t="shared" si="3"/>
        <v>1</v>
      </c>
      <c r="AB17" s="1810">
        <f t="shared" si="4"/>
        <v>1</v>
      </c>
      <c r="AC17" s="1810">
        <f t="shared" si="5"/>
        <v>1</v>
      </c>
    </row>
    <row r="18" spans="1:29" ht="15">
      <c r="A18" s="426"/>
      <c r="B18" s="454"/>
      <c r="C18" s="2606"/>
      <c r="D18" s="448"/>
      <c r="E18" s="2607"/>
      <c r="F18" s="448"/>
      <c r="G18" s="2608"/>
      <c r="H18" s="446"/>
      <c r="I18" s="2608"/>
      <c r="J18" s="446"/>
      <c r="K18" s="2604"/>
      <c r="L18" s="1139"/>
      <c r="M18" s="1130"/>
      <c r="N18" s="1130"/>
      <c r="O18" s="1130"/>
      <c r="P18" s="3686"/>
      <c r="Q18" s="1809"/>
      <c r="R18" s="771"/>
      <c r="S18" s="772"/>
      <c r="T18" s="771"/>
      <c r="U18" s="772"/>
      <c r="V18" s="771"/>
      <c r="W18" s="772"/>
      <c r="X18" s="1812"/>
      <c r="Y18" s="3546"/>
      <c r="Z18" s="1813"/>
      <c r="AA18" s="1810">
        <v>1</v>
      </c>
      <c r="AB18" s="1810">
        <v>1</v>
      </c>
      <c r="AC18" s="1810">
        <v>1</v>
      </c>
    </row>
    <row r="19" spans="1:29" ht="41.4">
      <c r="A19" s="426"/>
      <c r="B19" s="449" t="s">
        <v>2095</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9"/>
      <c r="M19" s="1130"/>
      <c r="N19" s="1130"/>
      <c r="O19" s="1130"/>
      <c r="P19" s="3686"/>
      <c r="Q19" s="1809" t="str">
        <f>B19</f>
        <v>公共配套设施</v>
      </c>
      <c r="R19" s="771" t="s">
        <v>21</v>
      </c>
      <c r="S19" s="772">
        <f>F19</f>
        <v>100</v>
      </c>
      <c r="T19" s="771" t="s">
        <v>21</v>
      </c>
      <c r="U19" s="772">
        <f>H19</f>
        <v>100</v>
      </c>
      <c r="V19" s="771" t="s">
        <v>21</v>
      </c>
      <c r="W19" s="772">
        <f>J19</f>
        <v>100</v>
      </c>
      <c r="X19" s="1812"/>
      <c r="Y19" s="3546"/>
      <c r="Z19" s="1813" t="str">
        <f>Q19</f>
        <v>公共配套设施</v>
      </c>
      <c r="AA19" s="1810">
        <f t="shared" si="3"/>
        <v>1</v>
      </c>
      <c r="AB19" s="1810">
        <f t="shared" si="4"/>
        <v>1</v>
      </c>
      <c r="AC19" s="1810">
        <f t="shared" si="5"/>
        <v>1</v>
      </c>
    </row>
    <row r="20" spans="1:29" ht="15">
      <c r="A20" s="426"/>
      <c r="B20" s="454"/>
      <c r="C20" s="445"/>
      <c r="D20" s="446"/>
      <c r="E20" s="2602"/>
      <c r="F20" s="446"/>
      <c r="G20" s="2603"/>
      <c r="H20" s="446"/>
      <c r="I20" s="2603"/>
      <c r="J20" s="446"/>
      <c r="K20" s="2604"/>
      <c r="L20" s="1139"/>
      <c r="M20" s="1130"/>
      <c r="N20" s="1130"/>
      <c r="O20" s="1130"/>
      <c r="P20" s="3686"/>
      <c r="Q20" s="1809"/>
      <c r="R20" s="771"/>
      <c r="S20" s="772"/>
      <c r="T20" s="771"/>
      <c r="U20" s="772"/>
      <c r="V20" s="771"/>
      <c r="W20" s="772"/>
      <c r="X20" s="1812"/>
      <c r="Y20" s="3546"/>
      <c r="Z20" s="1813"/>
      <c r="AA20" s="1810">
        <v>1</v>
      </c>
      <c r="AB20" s="1810">
        <v>1</v>
      </c>
      <c r="AC20" s="1810">
        <v>1</v>
      </c>
    </row>
    <row r="21" spans="1:29" ht="27.6">
      <c r="A21" s="426"/>
      <c r="B21" s="1383" t="s">
        <v>2098</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9"/>
      <c r="M21" s="1130"/>
      <c r="N21" s="1130"/>
      <c r="O21" s="1130"/>
      <c r="P21" s="3686"/>
      <c r="Q21" s="1809" t="str">
        <f>B21</f>
        <v>基础设施水平</v>
      </c>
      <c r="R21" s="771" t="s">
        <v>17</v>
      </c>
      <c r="S21" s="772">
        <f>F21</f>
        <v>100</v>
      </c>
      <c r="T21" s="771" t="s">
        <v>17</v>
      </c>
      <c r="U21" s="772">
        <f>H21</f>
        <v>100</v>
      </c>
      <c r="V21" s="771" t="s">
        <v>17</v>
      </c>
      <c r="W21" s="772">
        <f>J21</f>
        <v>100</v>
      </c>
      <c r="X21" s="1812"/>
      <c r="Y21" s="3546"/>
      <c r="Z21" s="1813" t="str">
        <f>Q21</f>
        <v>基础设施水平</v>
      </c>
      <c r="AA21" s="1810">
        <f t="shared" ref="AA21" si="8">D21/F21</f>
        <v>1</v>
      </c>
      <c r="AB21" s="1810">
        <f t="shared" ref="AB21" si="9">D21/H21</f>
        <v>1</v>
      </c>
      <c r="AC21" s="1810">
        <f t="shared" ref="AC21" si="10">D21/J21</f>
        <v>1</v>
      </c>
    </row>
    <row r="22" spans="1:29" ht="15">
      <c r="A22" s="426"/>
      <c r="B22" s="1383"/>
      <c r="C22" s="2606"/>
      <c r="D22" s="446"/>
      <c r="E22" s="445"/>
      <c r="F22" s="446"/>
      <c r="G22" s="2609"/>
      <c r="H22" s="446"/>
      <c r="I22" s="445"/>
      <c r="J22" s="446"/>
      <c r="K22" s="2610"/>
      <c r="L22" s="1139"/>
      <c r="M22" s="1130"/>
      <c r="N22" s="1130"/>
      <c r="O22" s="1130"/>
      <c r="P22" s="3686"/>
      <c r="Q22" s="1809"/>
      <c r="R22" s="771"/>
      <c r="S22" s="772"/>
      <c r="T22" s="771"/>
      <c r="U22" s="772"/>
      <c r="V22" s="771"/>
      <c r="W22" s="772"/>
      <c r="X22" s="1812"/>
      <c r="Y22" s="3546"/>
      <c r="Z22" s="1813"/>
      <c r="AA22" s="1810">
        <v>1</v>
      </c>
      <c r="AB22" s="1810">
        <v>1</v>
      </c>
      <c r="AC22" s="1810">
        <v>1</v>
      </c>
    </row>
    <row r="23" spans="1:29" ht="55.2">
      <c r="A23" s="426"/>
      <c r="B23" s="449" t="s">
        <v>2102</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9"/>
      <c r="M23" s="1130"/>
      <c r="N23" s="1130"/>
      <c r="O23" s="1130"/>
      <c r="P23" s="3686"/>
      <c r="Q23" s="1809" t="str">
        <f>B23</f>
        <v>自然及人文环境</v>
      </c>
      <c r="R23" s="771" t="s">
        <v>21</v>
      </c>
      <c r="S23" s="772">
        <f>F23</f>
        <v>100</v>
      </c>
      <c r="T23" s="771" t="s">
        <v>21</v>
      </c>
      <c r="U23" s="772">
        <f>H23</f>
        <v>100</v>
      </c>
      <c r="V23" s="771" t="s">
        <v>21</v>
      </c>
      <c r="W23" s="772">
        <f>J23</f>
        <v>100</v>
      </c>
      <c r="X23" s="1812"/>
      <c r="Y23" s="3546"/>
      <c r="Z23" s="1813" t="str">
        <f>Q23</f>
        <v>自然及人文环境</v>
      </c>
      <c r="AA23" s="1810">
        <f>D23/F23</f>
        <v>1</v>
      </c>
      <c r="AB23" s="1810">
        <f>D23/H23</f>
        <v>1</v>
      </c>
      <c r="AC23" s="1810">
        <f>D23/J23</f>
        <v>1</v>
      </c>
    </row>
    <row r="24" spans="1:29" ht="15">
      <c r="A24" s="426"/>
      <c r="B24" s="454"/>
      <c r="C24" s="445"/>
      <c r="D24" s="446"/>
      <c r="E24" s="2602"/>
      <c r="F24" s="446"/>
      <c r="G24" s="2603"/>
      <c r="H24" s="446"/>
      <c r="I24" s="2603"/>
      <c r="J24" s="446"/>
      <c r="K24" s="2604"/>
      <c r="L24" s="1139"/>
      <c r="M24" s="1130"/>
      <c r="N24" s="1130"/>
      <c r="O24" s="1130"/>
      <c r="P24" s="3686"/>
      <c r="Q24" s="1809"/>
      <c r="R24" s="771"/>
      <c r="S24" s="772"/>
      <c r="T24" s="771"/>
      <c r="U24" s="772"/>
      <c r="V24" s="771"/>
      <c r="W24" s="772"/>
      <c r="X24" s="1812"/>
      <c r="Y24" s="3546"/>
      <c r="Z24" s="1813"/>
      <c r="AA24" s="1810">
        <v>1</v>
      </c>
      <c r="AB24" s="1810">
        <v>1</v>
      </c>
      <c r="AC24" s="1810">
        <v>1</v>
      </c>
    </row>
    <row r="25" spans="1:29" ht="15">
      <c r="A25" s="426"/>
      <c r="B25" s="420" t="s">
        <v>2560</v>
      </c>
      <c r="C25" s="458"/>
      <c r="D25" s="433">
        <v>100</v>
      </c>
      <c r="E25" s="2611"/>
      <c r="F25" s="433">
        <f>SUMIF(86:86,E25,87:87)-SUMIF(86:86,C25,87:87)+100</f>
        <v>100</v>
      </c>
      <c r="G25" s="2612"/>
      <c r="H25" s="433">
        <f>SUMIF(86:86,G25,87:87)-SUMIF(86:86,C25,87:87)+100</f>
        <v>100</v>
      </c>
      <c r="I25" s="2612"/>
      <c r="J25" s="433">
        <f>SUMIF(86:86,I25,87:87)-SUMIF(86:86,C25,87:87)+100</f>
        <v>100</v>
      </c>
      <c r="K25" s="424"/>
      <c r="L25" s="1139"/>
      <c r="M25" s="1130"/>
      <c r="N25" s="1130"/>
      <c r="O25" s="1130"/>
      <c r="P25" s="3686"/>
      <c r="Q25" s="1809" t="str">
        <f t="shared" ref="Q25:Q46" si="11">B25</f>
        <v>楼层-1</v>
      </c>
      <c r="R25" s="771" t="s">
        <v>21</v>
      </c>
      <c r="S25" s="772">
        <f t="shared" ref="S25:S46" si="12">F25</f>
        <v>100</v>
      </c>
      <c r="T25" s="771" t="s">
        <v>21</v>
      </c>
      <c r="U25" s="772">
        <f t="shared" ref="U25:U46" si="13">H25</f>
        <v>100</v>
      </c>
      <c r="V25" s="771" t="s">
        <v>21</v>
      </c>
      <c r="W25" s="772">
        <f t="shared" ref="W25:W46" si="14">J25</f>
        <v>100</v>
      </c>
      <c r="X25" s="1812"/>
      <c r="Y25" s="3546"/>
      <c r="Z25" s="1813" t="str">
        <f>Q25</f>
        <v>楼层-1</v>
      </c>
      <c r="AA25" s="1810">
        <f t="shared" ref="AA25:AA46" si="15">D25/F25</f>
        <v>1</v>
      </c>
      <c r="AB25" s="1810">
        <f t="shared" ref="AB25:AB46" si="16">D25/H25</f>
        <v>1</v>
      </c>
      <c r="AC25" s="1810">
        <f t="shared" ref="AC25:AC46" si="17">D25/J25</f>
        <v>1</v>
      </c>
    </row>
    <row r="26" spans="1:29" ht="15">
      <c r="A26" s="426"/>
      <c r="B26" s="420" t="s">
        <v>2561</v>
      </c>
      <c r="C26" s="458"/>
      <c r="D26" s="433">
        <v>100</v>
      </c>
      <c r="E26" s="2611"/>
      <c r="F26" s="433">
        <f>SUMIF(88:88,E26,89:89)-SUMIF(88:88,C26,89:89)+100</f>
        <v>100</v>
      </c>
      <c r="G26" s="2612"/>
      <c r="H26" s="433">
        <f>SUMIF(88:88,G26,89:89)-SUMIF(88:88,C26,89:89)+100</f>
        <v>100</v>
      </c>
      <c r="I26" s="2612"/>
      <c r="J26" s="433">
        <f>SUMIF(88:88,I26,89:89)-SUMIF(88:88,C26,89:89)+100</f>
        <v>100</v>
      </c>
      <c r="K26" s="424"/>
      <c r="L26" s="1139"/>
      <c r="M26" s="1130"/>
      <c r="N26" s="1130"/>
      <c r="O26" s="1130"/>
      <c r="P26" s="3686"/>
      <c r="Q26" s="1809" t="str">
        <f t="shared" si="11"/>
        <v>朝向</v>
      </c>
      <c r="R26" s="771" t="s">
        <v>21</v>
      </c>
      <c r="S26" s="772">
        <f t="shared" si="12"/>
        <v>100</v>
      </c>
      <c r="T26" s="771" t="s">
        <v>21</v>
      </c>
      <c r="U26" s="772">
        <f t="shared" si="13"/>
        <v>100</v>
      </c>
      <c r="V26" s="771" t="s">
        <v>21</v>
      </c>
      <c r="W26" s="772">
        <f t="shared" si="14"/>
        <v>100</v>
      </c>
      <c r="X26" s="1812"/>
      <c r="Y26" s="3546"/>
      <c r="Z26" s="1813" t="str">
        <f>Q26</f>
        <v>朝向</v>
      </c>
      <c r="AA26" s="1810">
        <f t="shared" si="15"/>
        <v>1</v>
      </c>
      <c r="AB26" s="1810">
        <f t="shared" si="16"/>
        <v>1</v>
      </c>
      <c r="AC26" s="1810">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1"/>
      <c r="M27" s="1132"/>
      <c r="N27" s="1132"/>
      <c r="O27" s="1132"/>
      <c r="P27" s="3686"/>
      <c r="Q27" s="1794">
        <f t="shared" si="11"/>
        <v>111</v>
      </c>
      <c r="R27" s="767" t="s">
        <v>21</v>
      </c>
      <c r="S27" s="768">
        <f t="shared" si="12"/>
        <v>100</v>
      </c>
      <c r="T27" s="767" t="s">
        <v>21</v>
      </c>
      <c r="U27" s="768">
        <f t="shared" si="13"/>
        <v>100</v>
      </c>
      <c r="V27" s="767" t="s">
        <v>21</v>
      </c>
      <c r="W27" s="768">
        <f t="shared" si="14"/>
        <v>100</v>
      </c>
      <c r="X27" s="769"/>
      <c r="Y27" s="3546"/>
      <c r="Z27" s="54">
        <f>Q27</f>
        <v>111</v>
      </c>
      <c r="AA27" s="1810">
        <f t="shared" si="15"/>
        <v>1</v>
      </c>
      <c r="AB27" s="1810">
        <f t="shared" si="16"/>
        <v>1</v>
      </c>
      <c r="AC27" s="1810">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39"/>
      <c r="M28" s="1130"/>
      <c r="N28" s="1130"/>
      <c r="O28" s="1130"/>
      <c r="P28" s="3686"/>
      <c r="Q28" s="1809">
        <f t="shared" si="11"/>
        <v>111</v>
      </c>
      <c r="R28" s="771" t="s">
        <v>21</v>
      </c>
      <c r="S28" s="772">
        <f t="shared" si="12"/>
        <v>100</v>
      </c>
      <c r="T28" s="771" t="s">
        <v>21</v>
      </c>
      <c r="U28" s="772">
        <f t="shared" si="13"/>
        <v>100</v>
      </c>
      <c r="V28" s="771" t="s">
        <v>21</v>
      </c>
      <c r="W28" s="772">
        <f t="shared" si="14"/>
        <v>100</v>
      </c>
      <c r="X28" s="1812"/>
      <c r="Y28" s="3546"/>
      <c r="Z28" s="1813">
        <f t="shared" ref="Z28:Z46" si="18">Q28</f>
        <v>111</v>
      </c>
      <c r="AA28" s="1810">
        <f t="shared" si="15"/>
        <v>1</v>
      </c>
      <c r="AB28" s="1810">
        <f t="shared" si="16"/>
        <v>1</v>
      </c>
      <c r="AC28" s="1810">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39"/>
      <c r="M29" s="1130"/>
      <c r="N29" s="1130"/>
      <c r="O29" s="1130"/>
      <c r="P29" s="3686"/>
      <c r="Q29" s="1809">
        <f t="shared" si="11"/>
        <v>111</v>
      </c>
      <c r="R29" s="771" t="s">
        <v>21</v>
      </c>
      <c r="S29" s="772">
        <f t="shared" si="12"/>
        <v>100</v>
      </c>
      <c r="T29" s="771" t="s">
        <v>21</v>
      </c>
      <c r="U29" s="772">
        <f t="shared" si="13"/>
        <v>100</v>
      </c>
      <c r="V29" s="771" t="s">
        <v>21</v>
      </c>
      <c r="W29" s="772">
        <f t="shared" si="14"/>
        <v>100</v>
      </c>
      <c r="X29" s="1812"/>
      <c r="Y29" s="3546"/>
      <c r="Z29" s="1813">
        <f t="shared" si="18"/>
        <v>111</v>
      </c>
      <c r="AA29" s="1810">
        <f t="shared" si="15"/>
        <v>1</v>
      </c>
      <c r="AB29" s="1810">
        <f t="shared" si="16"/>
        <v>1</v>
      </c>
      <c r="AC29" s="1810">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39"/>
      <c r="M30" s="1130"/>
      <c r="N30" s="1130"/>
      <c r="O30" s="1130"/>
      <c r="P30" s="3686"/>
      <c r="Q30" s="1809">
        <f t="shared" si="11"/>
        <v>111</v>
      </c>
      <c r="R30" s="771" t="s">
        <v>21</v>
      </c>
      <c r="S30" s="772">
        <f t="shared" si="12"/>
        <v>100</v>
      </c>
      <c r="T30" s="771" t="s">
        <v>21</v>
      </c>
      <c r="U30" s="772">
        <f t="shared" si="13"/>
        <v>100</v>
      </c>
      <c r="V30" s="771" t="s">
        <v>21</v>
      </c>
      <c r="W30" s="772">
        <f t="shared" si="14"/>
        <v>100</v>
      </c>
      <c r="X30" s="1812"/>
      <c r="Y30" s="3546"/>
      <c r="Z30" s="1813">
        <f t="shared" si="18"/>
        <v>111</v>
      </c>
      <c r="AA30" s="1810">
        <f t="shared" si="15"/>
        <v>1</v>
      </c>
      <c r="AB30" s="1810">
        <f t="shared" si="16"/>
        <v>1</v>
      </c>
      <c r="AC30" s="1810">
        <f t="shared" si="17"/>
        <v>1</v>
      </c>
    </row>
    <row r="31" spans="1:29" ht="15.6"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39"/>
      <c r="M31" s="1130"/>
      <c r="N31" s="1130"/>
      <c r="O31" s="1130"/>
      <c r="P31" s="3686"/>
      <c r="Q31" s="1809">
        <f t="shared" si="11"/>
        <v>111</v>
      </c>
      <c r="R31" s="771" t="s">
        <v>21</v>
      </c>
      <c r="S31" s="772">
        <f t="shared" si="12"/>
        <v>100</v>
      </c>
      <c r="T31" s="771" t="s">
        <v>21</v>
      </c>
      <c r="U31" s="772">
        <f t="shared" si="13"/>
        <v>100</v>
      </c>
      <c r="V31" s="771" t="s">
        <v>21</v>
      </c>
      <c r="W31" s="772">
        <f t="shared" si="14"/>
        <v>100</v>
      </c>
      <c r="X31" s="1812"/>
      <c r="Y31" s="3546"/>
      <c r="Z31" s="1813">
        <f t="shared" si="18"/>
        <v>111</v>
      </c>
      <c r="AA31" s="1810">
        <f t="shared" si="15"/>
        <v>1</v>
      </c>
      <c r="AB31" s="1810">
        <f t="shared" si="16"/>
        <v>1</v>
      </c>
      <c r="AC31" s="1810">
        <f t="shared" si="17"/>
        <v>1</v>
      </c>
    </row>
    <row r="32" spans="1:29" ht="15">
      <c r="A32" s="438" t="s">
        <v>2562</v>
      </c>
      <c r="B32" s="70" t="s">
        <v>2563</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39"/>
      <c r="M32" s="1130"/>
      <c r="N32" s="1130"/>
      <c r="O32" s="1130"/>
      <c r="P32" s="3682" t="s">
        <v>2564</v>
      </c>
      <c r="Q32" s="1809" t="str">
        <f t="shared" si="11"/>
        <v>建筑类型</v>
      </c>
      <c r="R32" s="771" t="s">
        <v>21</v>
      </c>
      <c r="S32" s="772">
        <f t="shared" si="12"/>
        <v>100</v>
      </c>
      <c r="T32" s="771" t="s">
        <v>21</v>
      </c>
      <c r="U32" s="772">
        <f t="shared" si="13"/>
        <v>100</v>
      </c>
      <c r="V32" s="771" t="s">
        <v>21</v>
      </c>
      <c r="W32" s="772">
        <f t="shared" si="14"/>
        <v>100</v>
      </c>
      <c r="X32" s="1812"/>
      <c r="Y32" s="3548" t="s">
        <v>2564</v>
      </c>
      <c r="Z32" s="1813" t="str">
        <f t="shared" si="18"/>
        <v>建筑类型</v>
      </c>
      <c r="AA32" s="1810">
        <f t="shared" si="15"/>
        <v>1</v>
      </c>
      <c r="AB32" s="1810">
        <f t="shared" si="16"/>
        <v>1</v>
      </c>
      <c r="AC32" s="1810">
        <f t="shared" si="17"/>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7"/>
      <c r="M33" s="1140"/>
      <c r="N33" s="1140"/>
      <c r="O33" s="1140"/>
      <c r="P33" s="3683"/>
      <c r="Q33" s="773" t="str">
        <f t="shared" si="11"/>
        <v>项目建筑规模</v>
      </c>
      <c r="R33" s="774" t="s">
        <v>21</v>
      </c>
      <c r="S33" s="775" t="e">
        <f t="shared" si="12"/>
        <v>#N/A</v>
      </c>
      <c r="T33" s="774" t="s">
        <v>21</v>
      </c>
      <c r="U33" s="775" t="e">
        <f t="shared" si="13"/>
        <v>#N/A</v>
      </c>
      <c r="V33" s="774" t="s">
        <v>21</v>
      </c>
      <c r="W33" s="775" t="e">
        <f t="shared" si="14"/>
        <v>#N/A</v>
      </c>
      <c r="X33" s="776"/>
      <c r="Y33" s="3548"/>
      <c r="Z33" s="777" t="str">
        <f t="shared" si="18"/>
        <v>项目建筑规模</v>
      </c>
      <c r="AA33" s="1810" t="e">
        <f t="shared" si="15"/>
        <v>#N/A</v>
      </c>
      <c r="AB33" s="1810" t="e">
        <f t="shared" si="16"/>
        <v>#N/A</v>
      </c>
      <c r="AC33" s="1810" t="e">
        <f t="shared" si="17"/>
        <v>#N/A</v>
      </c>
    </row>
    <row r="34" spans="1:29" ht="15">
      <c r="A34" s="470"/>
      <c r="B34" s="420" t="s">
        <v>2566</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39"/>
      <c r="M34" s="1130"/>
      <c r="N34" s="1130"/>
      <c r="O34" s="1130"/>
      <c r="P34" s="3683"/>
      <c r="Q34" s="1809" t="str">
        <f t="shared" si="11"/>
        <v>建筑结构</v>
      </c>
      <c r="R34" s="771" t="s">
        <v>21</v>
      </c>
      <c r="S34" s="772">
        <f t="shared" si="12"/>
        <v>100</v>
      </c>
      <c r="T34" s="771" t="s">
        <v>21</v>
      </c>
      <c r="U34" s="772">
        <f t="shared" si="13"/>
        <v>100</v>
      </c>
      <c r="V34" s="771" t="s">
        <v>21</v>
      </c>
      <c r="W34" s="772">
        <f t="shared" si="14"/>
        <v>100</v>
      </c>
      <c r="X34" s="1812"/>
      <c r="Y34" s="3548"/>
      <c r="Z34" s="1813" t="str">
        <f t="shared" si="18"/>
        <v>建筑结构</v>
      </c>
      <c r="AA34" s="1810">
        <f t="shared" si="15"/>
        <v>1</v>
      </c>
      <c r="AB34" s="1810">
        <f t="shared" si="16"/>
        <v>1</v>
      </c>
      <c r="AC34" s="1810">
        <f t="shared" si="17"/>
        <v>1</v>
      </c>
    </row>
    <row r="35" spans="1:29" ht="15">
      <c r="A35" s="470"/>
      <c r="B35" s="420" t="s">
        <v>2567</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39"/>
      <c r="M35" s="1130"/>
      <c r="N35" s="1130"/>
      <c r="O35" s="1130"/>
      <c r="P35" s="3683"/>
      <c r="Q35" s="1809" t="str">
        <f t="shared" si="11"/>
        <v>建筑品质</v>
      </c>
      <c r="R35" s="771" t="s">
        <v>21</v>
      </c>
      <c r="S35" s="772">
        <f t="shared" si="12"/>
        <v>100</v>
      </c>
      <c r="T35" s="771" t="s">
        <v>21</v>
      </c>
      <c r="U35" s="772">
        <f t="shared" si="13"/>
        <v>100</v>
      </c>
      <c r="V35" s="771" t="s">
        <v>21</v>
      </c>
      <c r="W35" s="772">
        <f t="shared" si="14"/>
        <v>100</v>
      </c>
      <c r="X35" s="1812"/>
      <c r="Y35" s="3548"/>
      <c r="Z35" s="1813" t="str">
        <f t="shared" si="18"/>
        <v>建筑品质</v>
      </c>
      <c r="AA35" s="1810">
        <f t="shared" si="15"/>
        <v>1</v>
      </c>
      <c r="AB35" s="1810">
        <f t="shared" si="16"/>
        <v>1</v>
      </c>
      <c r="AC35" s="1810">
        <f t="shared" si="17"/>
        <v>1</v>
      </c>
    </row>
    <row r="36" spans="1:29" ht="15">
      <c r="A36" s="470"/>
      <c r="B36" s="420" t="s">
        <v>2568</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39"/>
      <c r="M36" s="1130"/>
      <c r="N36" s="1130"/>
      <c r="O36" s="1130"/>
      <c r="P36" s="3683"/>
      <c r="Q36" s="1809" t="str">
        <f t="shared" si="11"/>
        <v>公共部分装修</v>
      </c>
      <c r="R36" s="771" t="s">
        <v>21</v>
      </c>
      <c r="S36" s="772">
        <f t="shared" si="12"/>
        <v>100</v>
      </c>
      <c r="T36" s="771" t="s">
        <v>21</v>
      </c>
      <c r="U36" s="772">
        <f t="shared" si="13"/>
        <v>100</v>
      </c>
      <c r="V36" s="771" t="s">
        <v>21</v>
      </c>
      <c r="W36" s="772">
        <f t="shared" si="14"/>
        <v>100</v>
      </c>
      <c r="X36" s="1812"/>
      <c r="Y36" s="3548"/>
      <c r="Z36" s="1813" t="str">
        <f t="shared" si="18"/>
        <v>公共部分装修</v>
      </c>
      <c r="AA36" s="1810">
        <f t="shared" si="15"/>
        <v>1</v>
      </c>
      <c r="AB36" s="1810">
        <f t="shared" si="16"/>
        <v>1</v>
      </c>
      <c r="AC36" s="1810">
        <f t="shared" si="17"/>
        <v>1</v>
      </c>
    </row>
    <row r="37" spans="1:29" s="115" customFormat="1" ht="15">
      <c r="A37" s="471"/>
      <c r="B37" s="420" t="s">
        <v>2569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1"/>
      <c r="M37" s="1132"/>
      <c r="N37" s="1132"/>
      <c r="O37" s="1132"/>
      <c r="P37" s="3683"/>
      <c r="Q37" s="1794" t="str">
        <f t="shared" si="11"/>
        <v>成新度</v>
      </c>
      <c r="R37" s="767" t="s">
        <v>21</v>
      </c>
      <c r="S37" s="768" t="e">
        <f t="shared" si="12"/>
        <v>#N/A</v>
      </c>
      <c r="T37" s="767" t="s">
        <v>21</v>
      </c>
      <c r="U37" s="768" t="e">
        <f t="shared" si="13"/>
        <v>#N/A</v>
      </c>
      <c r="V37" s="767" t="s">
        <v>21</v>
      </c>
      <c r="W37" s="768" t="e">
        <f t="shared" si="14"/>
        <v>#N/A</v>
      </c>
      <c r="X37" s="769"/>
      <c r="Y37" s="3548"/>
      <c r="Z37" s="54" t="str">
        <f t="shared" si="18"/>
        <v>成新度</v>
      </c>
      <c r="AA37" s="770" t="e">
        <f t="shared" si="15"/>
        <v>#N/A</v>
      </c>
      <c r="AB37" s="770" t="e">
        <f t="shared" si="16"/>
        <v>#N/A</v>
      </c>
      <c r="AC37" s="770" t="e">
        <f t="shared" si="17"/>
        <v>#N/A</v>
      </c>
    </row>
    <row r="38" spans="1:29" ht="15">
      <c r="A38" s="470"/>
      <c r="B38" s="420" t="s">
        <v>2570</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39"/>
      <c r="M38" s="1130"/>
      <c r="N38" s="1130"/>
      <c r="O38" s="1130"/>
      <c r="P38" s="3683" t="s">
        <v>2564</v>
      </c>
      <c r="Q38" s="1809" t="str">
        <f t="shared" si="11"/>
        <v>物业管理</v>
      </c>
      <c r="R38" s="771" t="s">
        <v>21</v>
      </c>
      <c r="S38" s="772">
        <f t="shared" si="12"/>
        <v>100</v>
      </c>
      <c r="T38" s="771" t="s">
        <v>21</v>
      </c>
      <c r="U38" s="772">
        <f t="shared" si="13"/>
        <v>100</v>
      </c>
      <c r="V38" s="771" t="s">
        <v>21</v>
      </c>
      <c r="W38" s="772">
        <f t="shared" si="14"/>
        <v>100</v>
      </c>
      <c r="X38" s="1812"/>
      <c r="Y38" s="3548" t="s">
        <v>2564</v>
      </c>
      <c r="Z38" s="1813" t="str">
        <f t="shared" si="18"/>
        <v>物业管理</v>
      </c>
      <c r="AA38" s="1810">
        <f t="shared" si="15"/>
        <v>1</v>
      </c>
      <c r="AB38" s="1810">
        <f t="shared" si="16"/>
        <v>1</v>
      </c>
      <c r="AC38" s="1810">
        <f t="shared" si="17"/>
        <v>1</v>
      </c>
    </row>
    <row r="39" spans="1:29" ht="15">
      <c r="A39" s="470"/>
      <c r="B39" s="420" t="s">
        <v>2571</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39"/>
      <c r="M39" s="1130"/>
      <c r="N39" s="1130"/>
      <c r="O39" s="1130"/>
      <c r="P39" s="3683"/>
      <c r="Q39" s="1809" t="str">
        <f t="shared" si="11"/>
        <v>市政基础设施</v>
      </c>
      <c r="R39" s="771" t="s">
        <v>21</v>
      </c>
      <c r="S39" s="772">
        <f t="shared" si="12"/>
        <v>100</v>
      </c>
      <c r="T39" s="771" t="s">
        <v>21</v>
      </c>
      <c r="U39" s="772">
        <f t="shared" si="13"/>
        <v>100</v>
      </c>
      <c r="V39" s="771" t="s">
        <v>21</v>
      </c>
      <c r="W39" s="772">
        <f t="shared" si="14"/>
        <v>100</v>
      </c>
      <c r="X39" s="1812"/>
      <c r="Y39" s="3548"/>
      <c r="Z39" s="1813" t="str">
        <f t="shared" si="18"/>
        <v>市政基础设施</v>
      </c>
      <c r="AA39" s="1810">
        <f t="shared" si="15"/>
        <v>1</v>
      </c>
      <c r="AB39" s="1810">
        <f t="shared" si="16"/>
        <v>1</v>
      </c>
      <c r="AC39" s="1810">
        <f t="shared" si="17"/>
        <v>1</v>
      </c>
    </row>
    <row r="40" spans="1:29" ht="15">
      <c r="A40" s="470"/>
      <c r="B40" s="420" t="s">
        <v>2572</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39"/>
      <c r="M40" s="1130"/>
      <c r="N40" s="1130"/>
      <c r="O40" s="1130"/>
      <c r="P40" s="3683"/>
      <c r="Q40" s="1809" t="str">
        <f t="shared" si="11"/>
        <v>房型</v>
      </c>
      <c r="R40" s="771" t="s">
        <v>21</v>
      </c>
      <c r="S40" s="772">
        <f t="shared" si="12"/>
        <v>100</v>
      </c>
      <c r="T40" s="771" t="s">
        <v>21</v>
      </c>
      <c r="U40" s="772">
        <f t="shared" si="13"/>
        <v>100</v>
      </c>
      <c r="V40" s="771" t="s">
        <v>21</v>
      </c>
      <c r="W40" s="772">
        <f t="shared" si="14"/>
        <v>100</v>
      </c>
      <c r="X40" s="1812"/>
      <c r="Y40" s="3548"/>
      <c r="Z40" s="1813" t="str">
        <f t="shared" si="18"/>
        <v>房型</v>
      </c>
      <c r="AA40" s="1810">
        <f t="shared" si="15"/>
        <v>1</v>
      </c>
      <c r="AB40" s="1810">
        <f t="shared" si="16"/>
        <v>1</v>
      </c>
      <c r="AC40" s="1810">
        <f t="shared" si="17"/>
        <v>1</v>
      </c>
    </row>
    <row r="41" spans="1:29" s="469" customFormat="1" ht="28.8">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7"/>
      <c r="M41" s="1140"/>
      <c r="N41" s="1140"/>
      <c r="O41" s="1140"/>
      <c r="P41" s="3683"/>
      <c r="Q41" s="773" t="str">
        <f t="shared" si="11"/>
        <v>单套/主力户型建筑面积</v>
      </c>
      <c r="R41" s="774" t="s">
        <v>21</v>
      </c>
      <c r="S41" s="775">
        <f t="shared" si="12"/>
        <v>100</v>
      </c>
      <c r="T41" s="774" t="s">
        <v>21</v>
      </c>
      <c r="U41" s="775">
        <f t="shared" si="13"/>
        <v>100</v>
      </c>
      <c r="V41" s="774" t="s">
        <v>21</v>
      </c>
      <c r="W41" s="775">
        <f t="shared" si="14"/>
        <v>100</v>
      </c>
      <c r="X41" s="776"/>
      <c r="Y41" s="3548"/>
      <c r="Z41" s="777" t="str">
        <f t="shared" si="18"/>
        <v>单套/主力户型建筑面积</v>
      </c>
      <c r="AA41" s="1810">
        <f t="shared" si="15"/>
        <v>1</v>
      </c>
      <c r="AB41" s="1810">
        <f t="shared" si="16"/>
        <v>1</v>
      </c>
      <c r="AC41" s="1810">
        <f t="shared" si="17"/>
        <v>1</v>
      </c>
    </row>
    <row r="42" spans="1:29" ht="15">
      <c r="A42" s="470"/>
      <c r="B42" s="420" t="s">
        <v>2574</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39"/>
      <c r="M42" s="1130"/>
      <c r="N42" s="1130"/>
      <c r="O42" s="1130"/>
      <c r="P42" s="3683"/>
      <c r="Q42" s="1809" t="str">
        <f t="shared" si="11"/>
        <v>内部装修</v>
      </c>
      <c r="R42" s="771" t="s">
        <v>21</v>
      </c>
      <c r="S42" s="772">
        <f t="shared" si="12"/>
        <v>100</v>
      </c>
      <c r="T42" s="771" t="s">
        <v>21</v>
      </c>
      <c r="U42" s="772">
        <f t="shared" si="13"/>
        <v>100</v>
      </c>
      <c r="V42" s="771" t="s">
        <v>21</v>
      </c>
      <c r="W42" s="772">
        <f t="shared" si="14"/>
        <v>100</v>
      </c>
      <c r="X42" s="1812"/>
      <c r="Y42" s="3548"/>
      <c r="Z42" s="1813" t="str">
        <f t="shared" si="18"/>
        <v>内部装修</v>
      </c>
      <c r="AA42" s="1810">
        <f t="shared" si="15"/>
        <v>1</v>
      </c>
      <c r="AB42" s="1810">
        <f t="shared" si="16"/>
        <v>1</v>
      </c>
      <c r="AC42" s="1810">
        <f t="shared" si="17"/>
        <v>1</v>
      </c>
    </row>
    <row r="43" spans="1:29" ht="28.8">
      <c r="A43" s="470"/>
      <c r="B43" s="420" t="s">
        <v>2575</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39"/>
      <c r="M43" s="1130"/>
      <c r="N43" s="1130"/>
      <c r="O43" s="1130"/>
      <c r="P43" s="3683"/>
      <c r="Q43" s="1809" t="str">
        <f t="shared" si="11"/>
        <v>内部装修维护情况</v>
      </c>
      <c r="R43" s="771" t="s">
        <v>21</v>
      </c>
      <c r="S43" s="772">
        <f t="shared" si="12"/>
        <v>100</v>
      </c>
      <c r="T43" s="771" t="s">
        <v>21</v>
      </c>
      <c r="U43" s="772">
        <f t="shared" si="13"/>
        <v>100</v>
      </c>
      <c r="V43" s="771" t="s">
        <v>21</v>
      </c>
      <c r="W43" s="772">
        <f t="shared" si="14"/>
        <v>100</v>
      </c>
      <c r="X43" s="1812"/>
      <c r="Y43" s="3548"/>
      <c r="Z43" s="1813" t="str">
        <f t="shared" si="18"/>
        <v>内部装修维护情况</v>
      </c>
      <c r="AA43" s="1810">
        <f t="shared" si="15"/>
        <v>1</v>
      </c>
      <c r="AB43" s="1810">
        <f t="shared" si="16"/>
        <v>1</v>
      </c>
      <c r="AC43" s="1810">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1"/>
      <c r="M44" s="1132"/>
      <c r="N44" s="1132"/>
      <c r="O44" s="1132"/>
      <c r="P44" s="3683"/>
      <c r="Q44" s="1794">
        <f t="shared" si="11"/>
        <v>111</v>
      </c>
      <c r="R44" s="767" t="s">
        <v>21</v>
      </c>
      <c r="S44" s="768">
        <f t="shared" si="12"/>
        <v>100</v>
      </c>
      <c r="T44" s="767" t="s">
        <v>21</v>
      </c>
      <c r="U44" s="768">
        <f t="shared" si="13"/>
        <v>100</v>
      </c>
      <c r="V44" s="767" t="s">
        <v>21</v>
      </c>
      <c r="W44" s="768">
        <f t="shared" si="14"/>
        <v>100</v>
      </c>
      <c r="X44" s="769"/>
      <c r="Y44" s="3548"/>
      <c r="Z44" s="54">
        <f t="shared" si="18"/>
        <v>111</v>
      </c>
      <c r="AA44" s="770">
        <f t="shared" si="15"/>
        <v>1</v>
      </c>
      <c r="AB44" s="770">
        <f t="shared" si="16"/>
        <v>1</v>
      </c>
      <c r="AC44" s="770">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9"/>
      <c r="M45" s="1130"/>
      <c r="N45" s="1130"/>
      <c r="O45" s="1130"/>
      <c r="P45" s="3683"/>
      <c r="Q45" s="1809">
        <f t="shared" si="11"/>
        <v>111</v>
      </c>
      <c r="R45" s="771" t="s">
        <v>21</v>
      </c>
      <c r="S45" s="772">
        <f t="shared" si="12"/>
        <v>100</v>
      </c>
      <c r="T45" s="771" t="s">
        <v>21</v>
      </c>
      <c r="U45" s="772">
        <f t="shared" si="13"/>
        <v>100</v>
      </c>
      <c r="V45" s="771" t="s">
        <v>21</v>
      </c>
      <c r="W45" s="772">
        <f t="shared" si="14"/>
        <v>100</v>
      </c>
      <c r="X45" s="1812"/>
      <c r="Y45" s="3548"/>
      <c r="Z45" s="1813">
        <f t="shared" si="18"/>
        <v>111</v>
      </c>
      <c r="AA45" s="1810">
        <f t="shared" si="15"/>
        <v>1</v>
      </c>
      <c r="AB45" s="1810">
        <f t="shared" si="16"/>
        <v>1</v>
      </c>
      <c r="AC45" s="1810">
        <f t="shared" si="17"/>
        <v>1</v>
      </c>
    </row>
    <row r="46" spans="1:29" ht="15.6"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9"/>
      <c r="M46" s="1130"/>
      <c r="N46" s="1130"/>
      <c r="O46" s="1130"/>
      <c r="P46" s="3684"/>
      <c r="Q46" s="1809">
        <f t="shared" si="11"/>
        <v>111</v>
      </c>
      <c r="R46" s="771" t="s">
        <v>20</v>
      </c>
      <c r="S46" s="772">
        <f t="shared" si="12"/>
        <v>100</v>
      </c>
      <c r="T46" s="771" t="s">
        <v>20</v>
      </c>
      <c r="U46" s="772">
        <f t="shared" si="13"/>
        <v>100</v>
      </c>
      <c r="V46" s="771" t="s">
        <v>20</v>
      </c>
      <c r="W46" s="772">
        <f t="shared" si="14"/>
        <v>100</v>
      </c>
      <c r="X46" s="1812"/>
      <c r="Y46" s="3549"/>
      <c r="Z46" s="1813">
        <f t="shared" si="18"/>
        <v>111</v>
      </c>
      <c r="AA46" s="1810">
        <f t="shared" si="15"/>
        <v>1</v>
      </c>
      <c r="AB46" s="1810">
        <f t="shared" si="16"/>
        <v>1</v>
      </c>
      <c r="AC46" s="1810">
        <f t="shared" si="17"/>
        <v>1</v>
      </c>
    </row>
    <row r="47" spans="1:29" ht="14.4">
      <c r="A47" s="477" t="s">
        <v>2576</v>
      </c>
      <c r="B47" s="478"/>
      <c r="C47" s="1406" t="s">
        <v>19</v>
      </c>
      <c r="D47" s="1407"/>
      <c r="E47" s="1408"/>
      <c r="F47" s="1409"/>
      <c r="G47" s="1410"/>
      <c r="H47" s="1411"/>
      <c r="I47" s="1408"/>
      <c r="J47" s="1411"/>
      <c r="K47" s="2619"/>
      <c r="L47" s="1142"/>
      <c r="M47" s="1143"/>
      <c r="N47" s="1130"/>
      <c r="O47" s="1143"/>
      <c r="P47" s="3540" t="str">
        <f>A47</f>
        <v>成交单价（元/平方米）</v>
      </c>
      <c r="Q47" s="3540"/>
      <c r="R47" s="3541">
        <f>E47</f>
        <v>0</v>
      </c>
      <c r="S47" s="3541"/>
      <c r="T47" s="3541">
        <f>G47</f>
        <v>0</v>
      </c>
      <c r="U47" s="3541"/>
      <c r="V47" s="3541">
        <f>I47</f>
        <v>0</v>
      </c>
      <c r="W47" s="3541"/>
      <c r="X47" s="756"/>
      <c r="Y47" s="778"/>
      <c r="Z47" s="756"/>
      <c r="AA47" s="756"/>
      <c r="AB47" s="756"/>
      <c r="AC47" s="756"/>
    </row>
    <row r="48" spans="1:29" ht="15" thickBot="1">
      <c r="A48" s="484" t="s">
        <v>2577</v>
      </c>
      <c r="B48" s="485"/>
      <c r="C48" s="1412" t="e">
        <f>R49</f>
        <v>#DIV/0!</v>
      </c>
      <c r="D48" s="1413"/>
      <c r="E48" s="1414" t="e">
        <f>R48</f>
        <v>#DIV/0!</v>
      </c>
      <c r="F48" s="1414"/>
      <c r="G48" s="1412" t="e">
        <f>T48</f>
        <v>#DIV/0!</v>
      </c>
      <c r="H48" s="1413"/>
      <c r="I48" s="1414" t="e">
        <f>V48</f>
        <v>#DIV/0!</v>
      </c>
      <c r="J48" s="1413"/>
      <c r="K48" s="2620"/>
      <c r="L48" s="1142"/>
      <c r="M48" s="1143"/>
      <c r="N48" s="1143"/>
      <c r="O48" s="1143"/>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6"/>
      <c r="Y48" s="756"/>
      <c r="Z48" s="756"/>
      <c r="AA48" s="756"/>
      <c r="AB48" s="756"/>
      <c r="AC48" s="756"/>
    </row>
    <row r="49" spans="1:29" ht="15" thickBot="1">
      <c r="A49" s="490" t="s">
        <v>2578</v>
      </c>
      <c r="B49" s="491"/>
      <c r="C49" s="1415" t="e">
        <f>R49</f>
        <v>#DIV/0!</v>
      </c>
      <c r="D49" s="1416"/>
      <c r="E49" s="1416"/>
      <c r="F49" s="1416"/>
      <c r="G49" s="1416"/>
      <c r="H49" s="1416"/>
      <c r="I49" s="1416"/>
      <c r="J49" s="1416"/>
      <c r="K49" s="2621"/>
      <c r="L49" s="1142"/>
      <c r="M49" s="1143"/>
      <c r="N49" s="1143"/>
      <c r="O49" s="1143"/>
      <c r="P49" s="3542" t="str">
        <f>A49</f>
        <v>估价对象XX用房的比较价值（楼面单价，元/平方米）</v>
      </c>
      <c r="Q49" s="3543"/>
      <c r="R49" s="3544" t="e">
        <f>IF(F1="售价",ROUND(AVERAGE(R48:V48),0),ROUND(AVERAGE(R48:V48),1))</f>
        <v>#DIV/0!</v>
      </c>
      <c r="S49" s="3544"/>
      <c r="T49" s="3544"/>
      <c r="U49" s="3544"/>
      <c r="V49" s="3544"/>
      <c r="W49" s="3544"/>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5" t="s">
        <v>2579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row>
    <row r="53" spans="1:29" ht="13.5" customHeight="1">
      <c r="A53" s="1143"/>
      <c r="B53" s="1143"/>
      <c r="C53" s="495" t="s">
        <v>2580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row>
    <row r="54" spans="1:29" s="500" customFormat="1" ht="13.5" customHeight="1">
      <c r="A54" s="1144"/>
      <c r="B54" s="1144"/>
      <c r="C54" s="495" t="s">
        <v>2581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23"/>
    </row>
    <row r="55" spans="1:29" s="500"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2.2" thickBot="1">
      <c r="A57" s="760" t="s">
        <v>2582</v>
      </c>
      <c r="B57" s="756"/>
      <c r="C57" s="761"/>
      <c r="D57" s="761"/>
      <c r="E57" s="761"/>
      <c r="F57" s="762"/>
      <c r="G57" s="762"/>
      <c r="H57" s="761"/>
      <c r="I57" s="761"/>
      <c r="J57" s="761"/>
      <c r="K57" s="1159"/>
      <c r="L57" s="1160"/>
      <c r="M57" s="1158"/>
      <c r="N57" s="1158"/>
      <c r="O57" s="1158"/>
      <c r="P57" s="2624"/>
      <c r="Q57" s="502"/>
    </row>
    <row r="58" spans="1:29" s="506" customFormat="1" ht="14.4">
      <c r="A58" s="503" t="s">
        <v>2583</v>
      </c>
      <c r="B58" s="504"/>
      <c r="C58" s="1575" t="str">
        <f>YEAR(C7)&amp;"-"&amp;MONTH(C7)</f>
        <v>2018-11</v>
      </c>
      <c r="D58" s="1574">
        <f>EDATE(C58,-1)</f>
        <v>43374</v>
      </c>
      <c r="E58" s="1574">
        <f>EDATE(D58,-1)</f>
        <v>43344</v>
      </c>
      <c r="F58" s="1574">
        <f t="shared" ref="F58:O58" si="19">EDATE(E58,-1)</f>
        <v>43313</v>
      </c>
      <c r="G58" s="1574">
        <f t="shared" si="19"/>
        <v>43282</v>
      </c>
      <c r="H58" s="1574">
        <f t="shared" si="19"/>
        <v>43252</v>
      </c>
      <c r="I58" s="1574">
        <f t="shared" si="19"/>
        <v>43221</v>
      </c>
      <c r="J58" s="1574">
        <f t="shared" si="19"/>
        <v>43191</v>
      </c>
      <c r="K58" s="1574">
        <f t="shared" si="19"/>
        <v>43160</v>
      </c>
      <c r="L58" s="1574">
        <f t="shared" si="19"/>
        <v>43132</v>
      </c>
      <c r="M58" s="1574">
        <f t="shared" si="19"/>
        <v>43101</v>
      </c>
      <c r="N58" s="1574">
        <f t="shared" si="19"/>
        <v>43070</v>
      </c>
      <c r="O58" s="1574">
        <f t="shared" si="19"/>
        <v>43040</v>
      </c>
      <c r="P58" s="1569"/>
    </row>
    <row r="59" spans="1:29" s="115" customFormat="1">
      <c r="A59" s="507"/>
      <c r="B59" s="2625"/>
      <c r="C59" s="1572">
        <v>100</v>
      </c>
      <c r="D59" s="509"/>
      <c r="E59" s="510"/>
      <c r="F59" s="510"/>
      <c r="G59" s="510"/>
      <c r="H59" s="510"/>
      <c r="I59" s="510"/>
      <c r="J59" s="510"/>
      <c r="K59" s="510"/>
      <c r="L59" s="510"/>
      <c r="M59" s="511"/>
      <c r="N59" s="510"/>
      <c r="O59" s="511"/>
      <c r="P59" s="2626"/>
    </row>
    <row r="60" spans="1:29" s="115" customFormat="1" ht="15" thickBot="1">
      <c r="A60" s="513" t="s">
        <v>2584</v>
      </c>
      <c r="B60" s="514"/>
      <c r="C60" s="515"/>
      <c r="D60" s="516"/>
      <c r="E60" s="516"/>
      <c r="F60" s="516"/>
      <c r="G60" s="516"/>
      <c r="H60" s="516"/>
      <c r="I60" s="516"/>
      <c r="J60" s="516"/>
      <c r="K60" s="516"/>
      <c r="L60" s="516"/>
      <c r="M60" s="517"/>
      <c r="N60" s="516"/>
      <c r="O60" s="517"/>
      <c r="P60" s="2626"/>
      <c r="Q60" s="502"/>
    </row>
    <row r="61" spans="1:29" s="115" customFormat="1" ht="14.4">
      <c r="A61" s="519" t="s">
        <v>2585</v>
      </c>
      <c r="B61" s="508"/>
      <c r="C61" s="520" t="s">
        <v>2586</v>
      </c>
      <c r="D61" s="521"/>
      <c r="E61" s="521"/>
      <c r="F61" s="521"/>
      <c r="G61" s="521"/>
      <c r="H61" s="521"/>
      <c r="I61" s="521"/>
      <c r="J61" s="521"/>
      <c r="K61" s="521"/>
      <c r="L61" s="522"/>
      <c r="M61" s="523"/>
      <c r="N61" s="1150"/>
      <c r="O61" s="1150"/>
      <c r="P61" s="2627"/>
      <c r="Q61" s="502"/>
    </row>
    <row r="62" spans="1:29" s="115" customFormat="1" ht="14.4" thickBot="1">
      <c r="A62" s="519"/>
      <c r="B62" s="508"/>
      <c r="C62" s="509">
        <v>100</v>
      </c>
      <c r="D62" s="510"/>
      <c r="E62" s="510"/>
      <c r="F62" s="510"/>
      <c r="G62" s="510"/>
      <c r="H62" s="510"/>
      <c r="I62" s="510"/>
      <c r="J62" s="510"/>
      <c r="K62" s="510"/>
      <c r="L62" s="510"/>
      <c r="M62" s="512"/>
      <c r="N62" s="1150"/>
      <c r="O62" s="1150"/>
      <c r="P62" s="2626"/>
      <c r="Q62" s="502"/>
    </row>
    <row r="63" spans="1:29" ht="14.4">
      <c r="A63" s="525" t="s">
        <v>2587</v>
      </c>
      <c r="B63" s="526" t="s">
        <v>2553</v>
      </c>
      <c r="C63" s="527">
        <f>C9</f>
        <v>0</v>
      </c>
      <c r="D63" s="528"/>
      <c r="E63" s="528"/>
      <c r="F63" s="528"/>
      <c r="G63" s="528"/>
      <c r="H63" s="528"/>
      <c r="I63" s="528"/>
      <c r="J63" s="528"/>
      <c r="K63" s="529"/>
      <c r="L63" s="530"/>
      <c r="M63" s="531"/>
      <c r="N63" s="1151"/>
      <c r="O63" s="1151"/>
      <c r="P63" s="2628"/>
      <c r="Q63" s="502"/>
    </row>
    <row r="64" spans="1:29" ht="14.4" thickBot="1">
      <c r="A64" s="532"/>
      <c r="B64" s="533"/>
      <c r="C64" s="534">
        <v>100</v>
      </c>
      <c r="D64" s="534"/>
      <c r="E64" s="534"/>
      <c r="F64" s="534"/>
      <c r="G64" s="534"/>
      <c r="H64" s="534"/>
      <c r="I64" s="534"/>
      <c r="J64" s="534"/>
      <c r="K64" s="534"/>
      <c r="L64" s="534"/>
      <c r="M64" s="535"/>
      <c r="N64" s="1152"/>
      <c r="O64" s="1152"/>
      <c r="P64" s="2628"/>
      <c r="Q64" s="502"/>
    </row>
    <row r="65" spans="1:17" ht="29.4" thickTop="1">
      <c r="A65" s="532"/>
      <c r="B65" s="536" t="s">
        <v>2556</v>
      </c>
      <c r="C65" s="537" t="s">
        <v>2588</v>
      </c>
      <c r="D65" s="537" t="s">
        <v>2589</v>
      </c>
      <c r="E65" s="537" t="s">
        <v>2590</v>
      </c>
      <c r="F65" s="537" t="s">
        <v>2591</v>
      </c>
      <c r="G65" s="537" t="s">
        <v>2592</v>
      </c>
      <c r="H65" s="537" t="s">
        <v>2593</v>
      </c>
      <c r="I65" s="537" t="s">
        <v>2594</v>
      </c>
      <c r="J65" s="537"/>
      <c r="K65" s="538"/>
      <c r="L65" s="539"/>
      <c r="M65" s="540"/>
      <c r="N65" s="1151"/>
      <c r="O65" s="1151"/>
      <c r="P65" s="2628"/>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2"/>
      <c r="O66" s="1152"/>
      <c r="P66" s="2628"/>
      <c r="Q66" s="502"/>
    </row>
    <row r="67" spans="1:17" ht="15" thickTop="1">
      <c r="A67" s="532"/>
      <c r="B67" s="544" t="s">
        <v>2557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2"/>
      <c r="O67" s="1152"/>
      <c r="P67" s="2628"/>
      <c r="Q67" s="502"/>
    </row>
    <row r="68" spans="1:17">
      <c r="A68" s="532"/>
      <c r="B68" s="546"/>
      <c r="C68" s="547"/>
      <c r="D68" s="547"/>
      <c r="E68" s="547"/>
      <c r="F68" s="547"/>
      <c r="G68" s="547"/>
      <c r="H68" s="547"/>
      <c r="I68" s="547"/>
      <c r="J68" s="547"/>
      <c r="K68" s="548"/>
      <c r="L68" s="549"/>
      <c r="M68" s="550"/>
      <c r="N68" s="1151"/>
      <c r="O68" s="1151"/>
      <c r="P68" s="2628"/>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2"/>
      <c r="O69" s="1152"/>
      <c r="P69" s="2628"/>
      <c r="Q69" s="502"/>
    </row>
    <row r="70" spans="1:17" s="469" customFormat="1" ht="14.4" thickTop="1">
      <c r="A70" s="551"/>
      <c r="B70" s="536">
        <f>B12</f>
        <v>111</v>
      </c>
      <c r="C70" s="552"/>
      <c r="D70" s="552"/>
      <c r="E70" s="552"/>
      <c r="F70" s="552"/>
      <c r="G70" s="552"/>
      <c r="H70" s="553"/>
      <c r="I70" s="553"/>
      <c r="J70" s="553"/>
      <c r="K70" s="553"/>
      <c r="L70" s="554"/>
      <c r="M70" s="555"/>
      <c r="N70" s="1153"/>
      <c r="O70" s="1153"/>
      <c r="P70" s="2629"/>
      <c r="Q70" s="557"/>
    </row>
    <row r="71" spans="1:17" s="469" customFormat="1" ht="14.4" thickBot="1">
      <c r="A71" s="551"/>
      <c r="B71" s="541"/>
      <c r="C71" s="558"/>
      <c r="D71" s="534"/>
      <c r="E71" s="534"/>
      <c r="F71" s="534"/>
      <c r="G71" s="534"/>
      <c r="H71" s="534"/>
      <c r="I71" s="534"/>
      <c r="J71" s="534"/>
      <c r="K71" s="534"/>
      <c r="L71" s="534"/>
      <c r="M71" s="535"/>
      <c r="N71" s="1152"/>
      <c r="O71" s="1152"/>
      <c r="P71" s="2629"/>
      <c r="Q71" s="557"/>
    </row>
    <row r="72" spans="1:17" s="469" customFormat="1" ht="14.4" thickTop="1">
      <c r="A72" s="551"/>
      <c r="B72" s="536">
        <f>B13</f>
        <v>111</v>
      </c>
      <c r="C72" s="552"/>
      <c r="D72" s="552"/>
      <c r="E72" s="552"/>
      <c r="F72" s="552"/>
      <c r="G72" s="552"/>
      <c r="H72" s="553"/>
      <c r="I72" s="553"/>
      <c r="J72" s="553"/>
      <c r="K72" s="553"/>
      <c r="L72" s="554"/>
      <c r="M72" s="555"/>
      <c r="N72" s="1153"/>
      <c r="O72" s="1153"/>
      <c r="P72" s="2630"/>
      <c r="Q72" s="559"/>
    </row>
    <row r="73" spans="1:17" s="469" customFormat="1" ht="14.4" thickBot="1">
      <c r="A73" s="551"/>
      <c r="B73" s="541"/>
      <c r="C73" s="558"/>
      <c r="D73" s="558"/>
      <c r="E73" s="558"/>
      <c r="F73" s="558"/>
      <c r="G73" s="558"/>
      <c r="H73" s="560"/>
      <c r="I73" s="560"/>
      <c r="J73" s="560"/>
      <c r="K73" s="560"/>
      <c r="L73" s="560"/>
      <c r="M73" s="561"/>
      <c r="N73" s="1153"/>
      <c r="O73" s="1153"/>
      <c r="P73" s="2629"/>
      <c r="Q73" s="557"/>
    </row>
    <row r="74" spans="1:17" s="469" customFormat="1" ht="14.4" thickTop="1">
      <c r="A74" s="551"/>
      <c r="B74" s="544">
        <f>B14</f>
        <v>111</v>
      </c>
      <c r="C74" s="552"/>
      <c r="D74" s="552"/>
      <c r="E74" s="552"/>
      <c r="F74" s="552"/>
      <c r="G74" s="521"/>
      <c r="H74" s="562"/>
      <c r="I74" s="562"/>
      <c r="J74" s="562"/>
      <c r="K74" s="562"/>
      <c r="L74" s="563"/>
      <c r="M74" s="564"/>
      <c r="N74" s="1153"/>
      <c r="O74" s="1153"/>
      <c r="P74" s="2631"/>
      <c r="Q74" s="557"/>
    </row>
    <row r="75" spans="1:17" s="469" customFormat="1" ht="14.4" thickBot="1">
      <c r="A75" s="566"/>
      <c r="B75" s="567"/>
      <c r="C75" s="568"/>
      <c r="D75" s="568"/>
      <c r="E75" s="568"/>
      <c r="F75" s="568"/>
      <c r="G75" s="568"/>
      <c r="H75" s="569"/>
      <c r="I75" s="569"/>
      <c r="J75" s="569"/>
      <c r="K75" s="569"/>
      <c r="L75" s="569"/>
      <c r="M75" s="570"/>
      <c r="N75" s="1153"/>
      <c r="O75" s="1153"/>
      <c r="P75" s="2629"/>
      <c r="Q75" s="557"/>
    </row>
    <row r="76" spans="1:17" ht="14.4">
      <c r="A76" s="525" t="s">
        <v>2558</v>
      </c>
      <c r="B76" s="526" t="s">
        <v>2595</v>
      </c>
      <c r="C76" s="571" t="s">
        <v>2596</v>
      </c>
      <c r="D76" s="571" t="s">
        <v>2597</v>
      </c>
      <c r="E76" s="571" t="s">
        <v>2598</v>
      </c>
      <c r="F76" s="571" t="s">
        <v>2599</v>
      </c>
      <c r="G76" s="571" t="s">
        <v>2600</v>
      </c>
      <c r="H76" s="527"/>
      <c r="I76" s="527"/>
      <c r="J76" s="527"/>
      <c r="K76" s="572"/>
      <c r="L76" s="573"/>
      <c r="M76" s="574"/>
      <c r="N76" s="1151"/>
      <c r="O76" s="1151"/>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8"/>
      <c r="Q77" s="502"/>
    </row>
    <row r="78" spans="1:17" ht="15" thickTop="1">
      <c r="A78" s="532"/>
      <c r="B78" s="536" t="s">
        <v>2601</v>
      </c>
      <c r="C78" s="576" t="s">
        <v>2596</v>
      </c>
      <c r="D78" s="576" t="s">
        <v>2597</v>
      </c>
      <c r="E78" s="576" t="s">
        <v>2598</v>
      </c>
      <c r="F78" s="576" t="s">
        <v>2599</v>
      </c>
      <c r="G78" s="576" t="s">
        <v>2600</v>
      </c>
      <c r="H78" s="537"/>
      <c r="I78" s="537"/>
      <c r="J78" s="537"/>
      <c r="K78" s="538"/>
      <c r="L78" s="539"/>
      <c r="M78" s="540"/>
      <c r="N78" s="1151"/>
      <c r="O78" s="1151"/>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8"/>
      <c r="Q79" s="502"/>
    </row>
    <row r="80" spans="1:17" ht="15" thickTop="1">
      <c r="A80" s="532"/>
      <c r="B80" s="536" t="s">
        <v>2602</v>
      </c>
      <c r="C80" s="576" t="s">
        <v>2596</v>
      </c>
      <c r="D80" s="576" t="s">
        <v>2597</v>
      </c>
      <c r="E80" s="576" t="s">
        <v>2598</v>
      </c>
      <c r="F80" s="576" t="s">
        <v>2599</v>
      </c>
      <c r="G80" s="576" t="s">
        <v>2600</v>
      </c>
      <c r="H80" s="537"/>
      <c r="I80" s="537"/>
      <c r="J80" s="537"/>
      <c r="K80" s="538"/>
      <c r="L80" s="539"/>
      <c r="M80" s="540"/>
      <c r="N80" s="1151"/>
      <c r="O80" s="1151"/>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8"/>
      <c r="Q81" s="502"/>
    </row>
    <row r="82" spans="1:17" ht="15" thickTop="1">
      <c r="A82" s="532"/>
      <c r="B82" s="544" t="s">
        <v>2098</v>
      </c>
      <c r="C82" s="537" t="s">
        <v>2603</v>
      </c>
      <c r="D82" s="537" t="s">
        <v>2604</v>
      </c>
      <c r="E82" s="537" t="s">
        <v>2605</v>
      </c>
      <c r="F82" s="537" t="s">
        <v>2606</v>
      </c>
      <c r="G82" s="537" t="s">
        <v>2607</v>
      </c>
      <c r="H82" s="537"/>
      <c r="I82" s="537"/>
      <c r="J82" s="537"/>
      <c r="K82" s="537"/>
      <c r="L82" s="537"/>
      <c r="M82" s="1381"/>
      <c r="N82" s="1152"/>
      <c r="O82" s="1152"/>
      <c r="P82" s="2628"/>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2"/>
      <c r="O83" s="1152"/>
      <c r="P83" s="2628"/>
      <c r="Q83" s="502"/>
    </row>
    <row r="84" spans="1:17" ht="15" thickTop="1">
      <c r="A84" s="532"/>
      <c r="B84" s="536" t="s">
        <v>2608</v>
      </c>
      <c r="C84" s="576" t="s">
        <v>2596</v>
      </c>
      <c r="D84" s="576" t="s">
        <v>2597</v>
      </c>
      <c r="E84" s="576" t="s">
        <v>2598</v>
      </c>
      <c r="F84" s="576" t="s">
        <v>2599</v>
      </c>
      <c r="G84" s="576" t="s">
        <v>2600</v>
      </c>
      <c r="H84" s="537"/>
      <c r="I84" s="537"/>
      <c r="J84" s="537"/>
      <c r="K84" s="538"/>
      <c r="L84" s="539"/>
      <c r="M84" s="540"/>
      <c r="N84" s="1151"/>
      <c r="O84" s="1151"/>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8"/>
      <c r="Q85" s="502"/>
    </row>
    <row r="86" spans="1:17" s="115" customFormat="1" ht="15" thickTop="1">
      <c r="A86" s="577"/>
      <c r="B86" s="536" t="s">
        <v>2609</v>
      </c>
      <c r="C86" s="552"/>
      <c r="D86" s="552"/>
      <c r="E86" s="552"/>
      <c r="F86" s="552"/>
      <c r="G86" s="552"/>
      <c r="H86" s="552"/>
      <c r="I86" s="552"/>
      <c r="J86" s="552"/>
      <c r="K86" s="552"/>
      <c r="L86" s="578"/>
      <c r="M86" s="579"/>
      <c r="N86" s="1150"/>
      <c r="O86" s="1150"/>
      <c r="P86" s="2628"/>
      <c r="Q86" s="502"/>
    </row>
    <row r="87" spans="1:17" s="115"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2"/>
      <c r="O87" s="1152"/>
      <c r="P87" s="2628"/>
      <c r="Q87" s="502"/>
    </row>
    <row r="88" spans="1:17" s="115" customFormat="1" ht="15" thickTop="1">
      <c r="A88" s="577"/>
      <c r="B88" s="536" t="s">
        <v>2610</v>
      </c>
      <c r="C88" s="552"/>
      <c r="D88" s="552"/>
      <c r="E88" s="552"/>
      <c r="F88" s="2633"/>
      <c r="G88" s="552"/>
      <c r="H88" s="552"/>
      <c r="I88" s="552"/>
      <c r="J88" s="552"/>
      <c r="K88" s="552"/>
      <c r="L88" s="552"/>
      <c r="M88" s="579"/>
      <c r="N88" s="1150"/>
      <c r="O88" s="1150"/>
      <c r="P88" s="2628"/>
      <c r="Q88" s="502"/>
    </row>
    <row r="89" spans="1:17" s="115"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2"/>
      <c r="O89" s="1152"/>
      <c r="P89" s="2628"/>
      <c r="Q89" s="502"/>
    </row>
    <row r="90" spans="1:17" s="469" customFormat="1" ht="14.4" thickTop="1">
      <c r="A90" s="551"/>
      <c r="B90" s="536">
        <f>B27</f>
        <v>111</v>
      </c>
      <c r="C90" s="552"/>
      <c r="D90" s="552"/>
      <c r="E90" s="552"/>
      <c r="F90" s="552"/>
      <c r="G90" s="552"/>
      <c r="H90" s="553"/>
      <c r="I90" s="553"/>
      <c r="J90" s="553"/>
      <c r="K90" s="553"/>
      <c r="L90" s="554"/>
      <c r="M90" s="555"/>
      <c r="N90" s="1153"/>
      <c r="O90" s="1153"/>
      <c r="P90" s="2629"/>
      <c r="Q90" s="557"/>
    </row>
    <row r="91" spans="1:17" s="469" customFormat="1" ht="14.4" thickBot="1">
      <c r="A91" s="551"/>
      <c r="B91" s="541"/>
      <c r="C91" s="558"/>
      <c r="D91" s="558"/>
      <c r="E91" s="558"/>
      <c r="F91" s="558"/>
      <c r="G91" s="558"/>
      <c r="H91" s="560"/>
      <c r="I91" s="560"/>
      <c r="J91" s="560"/>
      <c r="K91" s="560"/>
      <c r="L91" s="560"/>
      <c r="M91" s="561"/>
      <c r="N91" s="1153"/>
      <c r="O91" s="1153"/>
      <c r="P91" s="2629"/>
      <c r="Q91" s="557"/>
    </row>
    <row r="92" spans="1:17" ht="14.4" thickTop="1">
      <c r="A92" s="532"/>
      <c r="B92" s="536">
        <f>B28</f>
        <v>111</v>
      </c>
      <c r="C92" s="552"/>
      <c r="D92" s="552"/>
      <c r="E92" s="552"/>
      <c r="F92" s="552"/>
      <c r="G92" s="581"/>
      <c r="H92" s="581"/>
      <c r="I92" s="581"/>
      <c r="J92" s="581"/>
      <c r="K92" s="582"/>
      <c r="L92" s="583"/>
      <c r="M92" s="584"/>
      <c r="N92" s="1151"/>
      <c r="O92" s="1151"/>
      <c r="P92" s="2628"/>
      <c r="Q92" s="502"/>
    </row>
    <row r="93" spans="1:17" ht="14.4" thickBot="1">
      <c r="A93" s="532"/>
      <c r="B93" s="541"/>
      <c r="C93" s="558"/>
      <c r="D93" s="534"/>
      <c r="E93" s="534"/>
      <c r="F93" s="534"/>
      <c r="G93" s="534"/>
      <c r="H93" s="534"/>
      <c r="I93" s="534"/>
      <c r="J93" s="534"/>
      <c r="K93" s="534"/>
      <c r="L93" s="534"/>
      <c r="M93" s="535"/>
      <c r="N93" s="1152"/>
      <c r="O93" s="1152"/>
      <c r="P93" s="2628"/>
      <c r="Q93" s="502"/>
    </row>
    <row r="94" spans="1:17" ht="14.4" thickTop="1">
      <c r="A94" s="532"/>
      <c r="B94" s="536">
        <f>B29</f>
        <v>111</v>
      </c>
      <c r="C94" s="552"/>
      <c r="D94" s="552"/>
      <c r="E94" s="552"/>
      <c r="F94" s="552"/>
      <c r="G94" s="581"/>
      <c r="H94" s="581"/>
      <c r="I94" s="581"/>
      <c r="J94" s="581"/>
      <c r="K94" s="582"/>
      <c r="L94" s="583"/>
      <c r="M94" s="584"/>
      <c r="N94" s="1151"/>
      <c r="O94" s="1151"/>
      <c r="P94" s="2628"/>
      <c r="Q94" s="502"/>
    </row>
    <row r="95" spans="1:17" ht="14.4" thickBot="1">
      <c r="A95" s="532"/>
      <c r="B95" s="541"/>
      <c r="C95" s="558"/>
      <c r="D95" s="558"/>
      <c r="E95" s="558"/>
      <c r="F95" s="558"/>
      <c r="G95" s="534"/>
      <c r="H95" s="534"/>
      <c r="I95" s="534"/>
      <c r="J95" s="534"/>
      <c r="K95" s="534"/>
      <c r="L95" s="534"/>
      <c r="M95" s="535"/>
      <c r="N95" s="1152"/>
      <c r="O95" s="1152"/>
      <c r="P95" s="2628"/>
      <c r="Q95" s="502"/>
    </row>
    <row r="96" spans="1:17" ht="14.4" thickTop="1">
      <c r="A96" s="532"/>
      <c r="B96" s="536">
        <f>B30</f>
        <v>111</v>
      </c>
      <c r="C96" s="552"/>
      <c r="D96" s="552"/>
      <c r="E96" s="552"/>
      <c r="F96" s="552"/>
      <c r="G96" s="581"/>
      <c r="H96" s="581"/>
      <c r="I96" s="581"/>
      <c r="J96" s="581"/>
      <c r="K96" s="582"/>
      <c r="L96" s="583"/>
      <c r="M96" s="584"/>
      <c r="N96" s="1151"/>
      <c r="O96" s="1151"/>
      <c r="P96" s="2628"/>
      <c r="Q96" s="502"/>
    </row>
    <row r="97" spans="1:17" ht="14.4" thickBot="1">
      <c r="A97" s="532"/>
      <c r="B97" s="541"/>
      <c r="C97" s="568"/>
      <c r="D97" s="568"/>
      <c r="E97" s="568"/>
      <c r="F97" s="568"/>
      <c r="G97" s="534"/>
      <c r="H97" s="534"/>
      <c r="I97" s="534"/>
      <c r="J97" s="534"/>
      <c r="K97" s="534"/>
      <c r="L97" s="534"/>
      <c r="M97" s="535"/>
      <c r="N97" s="1152"/>
      <c r="O97" s="1152"/>
      <c r="P97" s="2628"/>
      <c r="Q97" s="502"/>
    </row>
    <row r="98" spans="1:17" ht="14.4" thickTop="1">
      <c r="A98" s="532"/>
      <c r="B98" s="544">
        <f>B31</f>
        <v>111</v>
      </c>
      <c r="C98" s="585"/>
      <c r="D98" s="585"/>
      <c r="E98" s="585"/>
      <c r="F98" s="585"/>
      <c r="G98" s="585"/>
      <c r="H98" s="585"/>
      <c r="I98" s="585"/>
      <c r="J98" s="585"/>
      <c r="K98" s="586"/>
      <c r="L98" s="587"/>
      <c r="M98" s="588"/>
      <c r="N98" s="1151"/>
      <c r="O98" s="1151"/>
      <c r="P98" s="2628"/>
      <c r="Q98" s="502"/>
    </row>
    <row r="99" spans="1:17" ht="14.4" thickBot="1">
      <c r="A99" s="2634"/>
      <c r="B99" s="567"/>
      <c r="C99" s="589"/>
      <c r="D99" s="589"/>
      <c r="E99" s="589"/>
      <c r="F99" s="589"/>
      <c r="G99" s="589"/>
      <c r="H99" s="589"/>
      <c r="I99" s="589"/>
      <c r="J99" s="589"/>
      <c r="K99" s="589"/>
      <c r="L99" s="589"/>
      <c r="M99" s="590"/>
      <c r="N99" s="1152"/>
      <c r="O99" s="1152"/>
      <c r="P99" s="2628"/>
      <c r="Q99" s="502"/>
    </row>
    <row r="100" spans="1:17" ht="14.4">
      <c r="A100" s="525" t="s">
        <v>2562</v>
      </c>
      <c r="B100" s="526" t="s">
        <v>2611</v>
      </c>
      <c r="C100" s="528"/>
      <c r="D100" s="528"/>
      <c r="E100" s="528"/>
      <c r="F100" s="528"/>
      <c r="G100" s="528"/>
      <c r="H100" s="528"/>
      <c r="I100" s="528"/>
      <c r="J100" s="528"/>
      <c r="K100" s="529"/>
      <c r="L100" s="530"/>
      <c r="M100" s="531"/>
      <c r="N100" s="1151"/>
      <c r="O100" s="1151"/>
      <c r="P100" s="2628"/>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2"/>
      <c r="O101" s="1152"/>
      <c r="P101" s="2628"/>
      <c r="Q101" s="502"/>
    </row>
    <row r="102" spans="1:17" ht="15" thickTop="1">
      <c r="A102" s="532"/>
      <c r="B102" s="536" t="s">
        <v>2612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0"/>
      <c r="O102" s="1150"/>
      <c r="P102" s="2628"/>
      <c r="Q102" s="502"/>
    </row>
    <row r="103" spans="1:17" s="469" customFormat="1">
      <c r="A103" s="591"/>
      <c r="B103" s="592"/>
      <c r="C103" s="593"/>
      <c r="D103" s="593"/>
      <c r="E103" s="593"/>
      <c r="F103" s="593"/>
      <c r="G103" s="593"/>
      <c r="H103" s="593"/>
      <c r="I103" s="593"/>
      <c r="J103" s="594"/>
      <c r="K103" s="594"/>
      <c r="L103" s="595"/>
      <c r="M103" s="596"/>
      <c r="N103" s="1153"/>
      <c r="O103" s="1153"/>
      <c r="P103" s="2629"/>
      <c r="Q103" s="557"/>
    </row>
    <row r="104" spans="1:17" s="469" customFormat="1" ht="14.4" thickBot="1">
      <c r="A104" s="551"/>
      <c r="B104" s="541"/>
      <c r="C104" s="558"/>
      <c r="D104" s="534"/>
      <c r="E104" s="534"/>
      <c r="F104" s="534"/>
      <c r="G104" s="534"/>
      <c r="H104" s="534"/>
      <c r="I104" s="534"/>
      <c r="J104" s="534"/>
      <c r="K104" s="534"/>
      <c r="L104" s="534"/>
      <c r="M104" s="534"/>
      <c r="N104" s="1152"/>
      <c r="O104" s="1152"/>
      <c r="P104" s="2629"/>
      <c r="Q104" s="557"/>
    </row>
    <row r="105" spans="1:17" ht="15" thickTop="1">
      <c r="A105" s="597"/>
      <c r="B105" s="536" t="s">
        <v>2613</v>
      </c>
      <c r="C105" s="552"/>
      <c r="D105" s="552"/>
      <c r="E105" s="581"/>
      <c r="F105" s="581"/>
      <c r="G105" s="581"/>
      <c r="H105" s="581"/>
      <c r="I105" s="581"/>
      <c r="J105" s="581"/>
      <c r="K105" s="582"/>
      <c r="L105" s="583"/>
      <c r="M105" s="584"/>
      <c r="N105" s="1151"/>
      <c r="O105" s="1151"/>
      <c r="P105" s="2628"/>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2"/>
      <c r="O106" s="1152"/>
      <c r="P106" s="2628"/>
      <c r="Q106" s="502"/>
    </row>
    <row r="107" spans="1:17" ht="15" thickTop="1">
      <c r="A107" s="597"/>
      <c r="B107" s="536" t="s">
        <v>2614</v>
      </c>
      <c r="C107" s="581"/>
      <c r="D107" s="581"/>
      <c r="E107" s="581"/>
      <c r="F107" s="581"/>
      <c r="G107" s="581"/>
      <c r="H107" s="581"/>
      <c r="I107" s="581"/>
      <c r="J107" s="581"/>
      <c r="K107" s="582"/>
      <c r="L107" s="583"/>
      <c r="M107" s="584"/>
      <c r="N107" s="1151"/>
      <c r="O107" s="1151"/>
      <c r="P107" s="2628"/>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2"/>
      <c r="O108" s="1152"/>
      <c r="P108" s="2628"/>
      <c r="Q108" s="502"/>
    </row>
    <row r="109" spans="1:17" ht="15" thickTop="1">
      <c r="A109" s="597"/>
      <c r="B109" s="536" t="s">
        <v>2615</v>
      </c>
      <c r="C109" s="552"/>
      <c r="D109" s="552"/>
      <c r="E109" s="552"/>
      <c r="F109" s="581"/>
      <c r="G109" s="581"/>
      <c r="H109" s="581"/>
      <c r="I109" s="581"/>
      <c r="J109" s="581"/>
      <c r="K109" s="582"/>
      <c r="L109" s="583"/>
      <c r="M109" s="584"/>
      <c r="N109" s="1151"/>
      <c r="O109" s="1151"/>
      <c r="P109" s="2628"/>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2"/>
      <c r="O110" s="1152"/>
      <c r="P110" s="2628"/>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3"/>
      <c r="O111" s="1153"/>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3"/>
      <c r="O112" s="1153"/>
      <c r="P112" s="2629"/>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3"/>
      <c r="O113" s="1153"/>
      <c r="P113" s="2629"/>
      <c r="Q113" s="557"/>
    </row>
    <row r="114" spans="1:17" ht="15" thickTop="1">
      <c r="A114" s="597"/>
      <c r="B114" s="536" t="s">
        <v>2616</v>
      </c>
      <c r="C114" s="552"/>
      <c r="D114" s="552"/>
      <c r="E114" s="581"/>
      <c r="F114" s="581"/>
      <c r="G114" s="581"/>
      <c r="H114" s="581"/>
      <c r="I114" s="581"/>
      <c r="J114" s="581"/>
      <c r="K114" s="582"/>
      <c r="L114" s="583"/>
      <c r="M114" s="584"/>
      <c r="N114" s="1151"/>
      <c r="O114" s="1151"/>
      <c r="P114" s="2628"/>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2"/>
      <c r="O115" s="1152"/>
      <c r="P115" s="2628"/>
      <c r="Q115" s="502"/>
    </row>
    <row r="116" spans="1:17" ht="15" thickTop="1">
      <c r="A116" s="597"/>
      <c r="B116" s="536" t="s">
        <v>2617</v>
      </c>
      <c r="C116" s="552"/>
      <c r="D116" s="552"/>
      <c r="E116" s="552"/>
      <c r="F116" s="552"/>
      <c r="G116" s="552"/>
      <c r="H116" s="581"/>
      <c r="I116" s="581"/>
      <c r="J116" s="581"/>
      <c r="K116" s="582"/>
      <c r="L116" s="583"/>
      <c r="M116" s="584"/>
      <c r="N116" s="1151"/>
      <c r="O116" s="1151"/>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8"/>
      <c r="Q117" s="502"/>
    </row>
    <row r="118" spans="1:17" ht="15" thickTop="1">
      <c r="A118" s="597"/>
      <c r="B118" s="536" t="s">
        <v>2618</v>
      </c>
      <c r="C118" s="581"/>
      <c r="D118" s="581"/>
      <c r="E118" s="581"/>
      <c r="F118" s="581"/>
      <c r="G118" s="581"/>
      <c r="H118" s="581"/>
      <c r="I118" s="581"/>
      <c r="J118" s="581"/>
      <c r="K118" s="582"/>
      <c r="L118" s="583"/>
      <c r="M118" s="584"/>
      <c r="N118" s="1151"/>
      <c r="O118" s="1151"/>
      <c r="P118" s="2628"/>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2"/>
      <c r="O119" s="1152"/>
      <c r="P119" s="2628"/>
      <c r="Q119" s="502"/>
    </row>
    <row r="120" spans="1:17" s="469" customFormat="1" ht="29.4" thickTop="1">
      <c r="A120" s="591"/>
      <c r="B120" s="536" t="s">
        <v>2573</v>
      </c>
      <c r="C120" s="552"/>
      <c r="D120" s="552"/>
      <c r="E120" s="552"/>
      <c r="F120" s="552"/>
      <c r="G120" s="552"/>
      <c r="H120" s="552"/>
      <c r="I120" s="552"/>
      <c r="J120" s="552"/>
      <c r="K120" s="552"/>
      <c r="L120" s="578"/>
      <c r="M120" s="579"/>
      <c r="N120" s="1153"/>
      <c r="O120" s="1153"/>
      <c r="P120" s="2629"/>
      <c r="Q120" s="557"/>
    </row>
    <row r="121" spans="1:17" s="469" customFormat="1" ht="14.4" thickBot="1">
      <c r="A121" s="551"/>
      <c r="B121" s="533"/>
      <c r="C121" s="558"/>
      <c r="D121" s="534"/>
      <c r="E121" s="534"/>
      <c r="F121" s="534"/>
      <c r="G121" s="534"/>
      <c r="H121" s="534"/>
      <c r="I121" s="534"/>
      <c r="J121" s="534"/>
      <c r="K121" s="534"/>
      <c r="L121" s="534"/>
      <c r="M121" s="534"/>
      <c r="N121" s="1153"/>
      <c r="O121" s="1153"/>
      <c r="P121" s="2629"/>
      <c r="Q121" s="557"/>
    </row>
    <row r="122" spans="1:17" ht="15" thickTop="1">
      <c r="A122" s="597"/>
      <c r="B122" s="536" t="s">
        <v>2619</v>
      </c>
      <c r="C122" s="552"/>
      <c r="D122" s="552"/>
      <c r="E122" s="552"/>
      <c r="F122" s="581"/>
      <c r="G122" s="581"/>
      <c r="H122" s="581"/>
      <c r="I122" s="581"/>
      <c r="J122" s="581"/>
      <c r="K122" s="582"/>
      <c r="L122" s="583"/>
      <c r="M122" s="584"/>
      <c r="N122" s="1151"/>
      <c r="O122" s="1151"/>
      <c r="P122" s="2628"/>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2"/>
      <c r="O123" s="1152"/>
      <c r="P123" s="2628"/>
      <c r="Q123" s="502"/>
    </row>
    <row r="124" spans="1:17" ht="29.4" thickTop="1">
      <c r="A124" s="597"/>
      <c r="B124" s="536" t="s">
        <v>2620</v>
      </c>
      <c r="C124" s="576" t="s">
        <v>2596</v>
      </c>
      <c r="D124" s="576" t="s">
        <v>2597</v>
      </c>
      <c r="E124" s="576" t="s">
        <v>2598</v>
      </c>
      <c r="F124" s="576" t="s">
        <v>2599</v>
      </c>
      <c r="G124" s="576" t="s">
        <v>2600</v>
      </c>
      <c r="H124" s="537"/>
      <c r="I124" s="537"/>
      <c r="J124" s="537"/>
      <c r="K124" s="538"/>
      <c r="L124" s="539"/>
      <c r="M124" s="540"/>
      <c r="N124" s="1151"/>
      <c r="O124" s="1151"/>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9"/>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9"/>
      <c r="Q127" s="557"/>
    </row>
    <row r="128" spans="1:17" ht="14.4" thickTop="1">
      <c r="A128" s="597"/>
      <c r="B128" s="536">
        <f>B45</f>
        <v>111</v>
      </c>
      <c r="C128" s="552"/>
      <c r="D128" s="552"/>
      <c r="E128" s="552"/>
      <c r="F128" s="552"/>
      <c r="G128" s="581"/>
      <c r="H128" s="581"/>
      <c r="I128" s="581"/>
      <c r="J128" s="581"/>
      <c r="K128" s="582"/>
      <c r="L128" s="583"/>
      <c r="M128" s="584"/>
      <c r="N128" s="1151"/>
      <c r="O128" s="1151"/>
      <c r="P128" s="2628"/>
      <c r="Q128" s="502"/>
    </row>
    <row r="129" spans="1:17" ht="14.4" thickBot="1">
      <c r="A129" s="532"/>
      <c r="B129" s="541"/>
      <c r="C129" s="558"/>
      <c r="D129" s="558"/>
      <c r="E129" s="558"/>
      <c r="F129" s="558"/>
      <c r="G129" s="534"/>
      <c r="H129" s="534"/>
      <c r="I129" s="534"/>
      <c r="J129" s="534"/>
      <c r="K129" s="534"/>
      <c r="L129" s="534"/>
      <c r="M129" s="535"/>
      <c r="N129" s="1152"/>
      <c r="O129" s="1152"/>
      <c r="P129" s="2628"/>
      <c r="Q129" s="502"/>
    </row>
    <row r="130" spans="1:17" ht="14.4" thickTop="1">
      <c r="A130" s="597"/>
      <c r="B130" s="544">
        <f>B46</f>
        <v>111</v>
      </c>
      <c r="C130" s="552"/>
      <c r="D130" s="552"/>
      <c r="E130" s="552"/>
      <c r="F130" s="552"/>
      <c r="G130" s="585"/>
      <c r="H130" s="585"/>
      <c r="I130" s="585"/>
      <c r="J130" s="585"/>
      <c r="K130" s="521"/>
      <c r="L130" s="522"/>
      <c r="M130" s="588"/>
      <c r="N130" s="1151"/>
      <c r="O130" s="1151"/>
      <c r="P130" s="2628"/>
      <c r="Q130" s="502"/>
    </row>
    <row r="131" spans="1:17" ht="14.4" thickBot="1">
      <c r="A131" s="2634"/>
      <c r="B131" s="567"/>
      <c r="C131" s="568"/>
      <c r="D131" s="568"/>
      <c r="E131" s="568"/>
      <c r="F131" s="568"/>
      <c r="G131" s="589"/>
      <c r="H131" s="589"/>
      <c r="I131" s="589"/>
      <c r="J131" s="589"/>
      <c r="K131" s="589"/>
      <c r="L131" s="589"/>
      <c r="M131" s="590"/>
      <c r="N131" s="1152"/>
      <c r="O131" s="1152"/>
      <c r="P131" s="2628"/>
      <c r="Q131" s="502"/>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4" t="s">
        <v>2624</v>
      </c>
      <c r="D138" s="144" t="s">
        <v>2625</v>
      </c>
      <c r="E138" s="2643" t="s">
        <v>2626</v>
      </c>
      <c r="F138" s="2644" t="s">
        <v>2627</v>
      </c>
      <c r="G138" s="144" t="s">
        <v>2625</v>
      </c>
      <c r="H138" s="145" t="s">
        <v>2626</v>
      </c>
      <c r="I138" s="2645"/>
      <c r="J138" s="144" t="s">
        <v>2628</v>
      </c>
      <c r="K138" s="145" t="s">
        <v>2629</v>
      </c>
    </row>
    <row r="139" spans="1:17" ht="15">
      <c r="B139" s="1083">
        <v>6</v>
      </c>
      <c r="C139" s="1084">
        <v>96</v>
      </c>
      <c r="D139" s="2646" t="s">
        <v>2630</v>
      </c>
      <c r="E139" s="1085">
        <v>100</v>
      </c>
      <c r="F139" s="1086">
        <v>102.5</v>
      </c>
      <c r="G139" s="2646" t="s">
        <v>2630</v>
      </c>
      <c r="H139" s="1087">
        <v>105</v>
      </c>
      <c r="I139" s="2647" t="s">
        <v>2631</v>
      </c>
      <c r="J139" s="1084">
        <v>20</v>
      </c>
      <c r="K139" s="1088">
        <f>C145/(J139-2)</f>
        <v>4.0555555555555553E-3</v>
      </c>
    </row>
    <row r="140" spans="1:17" ht="15">
      <c r="B140" s="1089">
        <v>5</v>
      </c>
      <c r="C140" s="1090">
        <v>100</v>
      </c>
      <c r="D140" s="1090"/>
      <c r="E140" s="1091"/>
      <c r="F140" s="1092">
        <v>102</v>
      </c>
      <c r="G140" s="1090"/>
      <c r="H140" s="1093"/>
      <c r="I140" s="2648" t="s">
        <v>2632</v>
      </c>
      <c r="J140" s="313">
        <f>ROUNDUP((J139-1)/2,0)</f>
        <v>10</v>
      </c>
      <c r="K140" s="1094">
        <v>100</v>
      </c>
    </row>
    <row r="141" spans="1:17" ht="15">
      <c r="B141" s="1089">
        <v>4</v>
      </c>
      <c r="C141" s="1090">
        <v>102</v>
      </c>
      <c r="D141" s="1090"/>
      <c r="E141" s="1091"/>
      <c r="F141" s="1092">
        <v>101.5</v>
      </c>
      <c r="G141" s="1090"/>
      <c r="H141" s="1093"/>
      <c r="I141" s="2648" t="s">
        <v>2633</v>
      </c>
      <c r="J141" s="313">
        <v>1</v>
      </c>
      <c r="K141" s="1095">
        <f>ROUND(100+(J141-J140)*K139*100,1)</f>
        <v>96.4</v>
      </c>
    </row>
    <row r="142" spans="1:17" ht="15">
      <c r="B142" s="1089">
        <v>3</v>
      </c>
      <c r="C142" s="1090">
        <v>103</v>
      </c>
      <c r="D142" s="1090"/>
      <c r="E142" s="1091"/>
      <c r="F142" s="1092">
        <v>101</v>
      </c>
      <c r="G142" s="1090"/>
      <c r="H142" s="1093"/>
      <c r="I142" s="2648" t="s">
        <v>2634</v>
      </c>
      <c r="J142" s="313">
        <f>J139</f>
        <v>20</v>
      </c>
      <c r="K142" s="1096">
        <v>95</v>
      </c>
    </row>
    <row r="143" spans="1:17" ht="15">
      <c r="B143" s="1089">
        <v>2</v>
      </c>
      <c r="C143" s="1090">
        <v>100</v>
      </c>
      <c r="D143" s="1090"/>
      <c r="E143" s="1091"/>
      <c r="F143" s="1092">
        <v>100.5</v>
      </c>
      <c r="G143" s="1090"/>
      <c r="H143" s="1093"/>
      <c r="I143" s="2648" t="s">
        <v>2635</v>
      </c>
      <c r="J143" s="1090">
        <v>15</v>
      </c>
      <c r="K143" s="1095">
        <f>ROUND(100+(J143-J140)*K139*100,1)</f>
        <v>102</v>
      </c>
    </row>
    <row r="144" spans="1:17" ht="15">
      <c r="B144" s="1089">
        <v>1</v>
      </c>
      <c r="C144" s="1090">
        <v>98</v>
      </c>
      <c r="D144" s="2649" t="s">
        <v>2636</v>
      </c>
      <c r="E144" s="1091">
        <v>102</v>
      </c>
      <c r="F144" s="1097">
        <v>100</v>
      </c>
      <c r="G144" s="2649" t="s">
        <v>2636</v>
      </c>
      <c r="H144" s="1093">
        <v>105</v>
      </c>
      <c r="I144" s="2648" t="s">
        <v>2635</v>
      </c>
      <c r="J144" s="1090">
        <v>18</v>
      </c>
      <c r="K144" s="1095">
        <f>ROUND(100+(J144-J140)*K139*100,1)</f>
        <v>103.2</v>
      </c>
    </row>
    <row r="145" spans="2:11" ht="16.2" thickBot="1">
      <c r="B145" s="2650" t="s">
        <v>2637</v>
      </c>
      <c r="C145" s="1098">
        <f>ROUND(MAX(C139:C144)/MIN(C139:C144)-1,3)</f>
        <v>7.2999999999999995E-2</v>
      </c>
      <c r="D145" s="1099"/>
      <c r="E145" s="1099"/>
      <c r="F145" s="2651" t="s">
        <v>2638</v>
      </c>
      <c r="G145" s="2652"/>
      <c r="H145" s="2653"/>
      <c r="I145" s="2654" t="s">
        <v>2635</v>
      </c>
      <c r="J145" s="1100">
        <v>8</v>
      </c>
      <c r="K145" s="1101">
        <f>ROUND(100+(J145-J140)*K139*100,1)</f>
        <v>99.2</v>
      </c>
    </row>
    <row r="147" spans="2:11" ht="14.4">
      <c r="B147" s="2635" t="s">
        <v>2639</v>
      </c>
    </row>
    <row r="148" spans="2:11" ht="14.4">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2527</v>
      </c>
      <c r="B1" s="2580" t="s">
        <v>2641</v>
      </c>
      <c r="C1" s="1633" t="s">
        <v>2529</v>
      </c>
      <c r="D1" s="1620"/>
      <c r="E1" s="2655"/>
      <c r="F1" s="2582"/>
      <c r="G1" s="1630" t="s">
        <v>2642</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6" customFormat="1" ht="28.5" customHeight="1" thickTop="1">
      <c r="A2" s="1616" t="s">
        <v>2329</v>
      </c>
      <c r="B2" s="1417" t="e">
        <f ca="1">IF(C2="——",ROUND(C49*D3/10000,0),ROUND(C49*D3/10000,0)-D2)</f>
        <v>#DIV/0!</v>
      </c>
      <c r="C2" s="2584"/>
      <c r="D2" s="1364" t="e">
        <f ca="1">SUMIF(INDIRECT("'"&amp;F2&amp;"'"&amp;"!A:A"),"承租人权益价值",INDIRECT("'"&amp;F2&amp;"'"&amp;"!c:c"))</f>
        <v>#REF!</v>
      </c>
      <c r="E2" s="2585" t="s">
        <v>2330</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6" customFormat="1" ht="28.5" customHeight="1" thickBot="1">
      <c r="A3" s="245" t="s">
        <v>2331</v>
      </c>
      <c r="B3" s="607" t="e">
        <f ca="1">IF(C2="——",C49,ROUND(B2*10000/D3,0))</f>
        <v>#DIV/0!</v>
      </c>
      <c r="C3" s="398" t="s">
        <v>2643</v>
      </c>
      <c r="D3" s="397">
        <f>IF(D1="",'数据-汇总表'!E3,SUMIF('数据-汇总表'!$C19:$C33,D1,'数据-汇总表'!$E19:$E33))</f>
        <v>103304.44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4.4">
      <c r="A4" s="399" t="s">
        <v>2644</v>
      </c>
      <c r="B4" s="400"/>
      <c r="C4" s="3553" t="s">
        <v>2645</v>
      </c>
      <c r="D4" s="3554"/>
      <c r="E4" s="3555" t="s">
        <v>2646</v>
      </c>
      <c r="F4" s="3556"/>
      <c r="G4" s="3553" t="s">
        <v>2647</v>
      </c>
      <c r="H4" s="3554"/>
      <c r="I4" s="3553" t="s">
        <v>2648</v>
      </c>
      <c r="J4" s="3554"/>
      <c r="K4" s="608" t="s">
        <v>2649</v>
      </c>
      <c r="L4" s="1129"/>
      <c r="M4" s="1130"/>
      <c r="N4" s="1130"/>
      <c r="O4" s="1130"/>
      <c r="P4" s="3557" t="s">
        <v>2650</v>
      </c>
      <c r="Q4" s="3558"/>
      <c r="R4" s="3563" t="s">
        <v>2646</v>
      </c>
      <c r="S4" s="3564"/>
      <c r="T4" s="3563" t="s">
        <v>2647</v>
      </c>
      <c r="U4" s="3564"/>
      <c r="V4" s="3569" t="s">
        <v>2648</v>
      </c>
      <c r="W4" s="3569"/>
      <c r="X4" s="1812"/>
      <c r="Y4" s="3563" t="s">
        <v>2650</v>
      </c>
      <c r="Z4" s="3564"/>
      <c r="AA4" s="3550" t="s">
        <v>2646</v>
      </c>
      <c r="AB4" s="3569" t="s">
        <v>2647</v>
      </c>
      <c r="AC4" s="3550" t="s">
        <v>2648</v>
      </c>
    </row>
    <row r="5" spans="1:29">
      <c r="A5" s="402"/>
      <c r="B5" s="403"/>
      <c r="C5" s="3572" t="s">
        <v>2541</v>
      </c>
      <c r="D5" s="3573"/>
      <c r="E5" s="3579" t="s">
        <v>2542</v>
      </c>
      <c r="F5" s="3580"/>
      <c r="G5" s="3572" t="s">
        <v>2543</v>
      </c>
      <c r="H5" s="3573"/>
      <c r="I5" s="3572" t="s">
        <v>2544</v>
      </c>
      <c r="J5" s="3573"/>
      <c r="K5" s="608"/>
      <c r="L5" s="1129"/>
      <c r="M5" s="1130"/>
      <c r="N5" s="1130"/>
      <c r="O5" s="1130"/>
      <c r="P5" s="3559"/>
      <c r="Q5" s="3560"/>
      <c r="R5" s="3565"/>
      <c r="S5" s="3566"/>
      <c r="T5" s="3565"/>
      <c r="U5" s="3566"/>
      <c r="V5" s="3569"/>
      <c r="W5" s="3569"/>
      <c r="X5" s="1812"/>
      <c r="Y5" s="3565"/>
      <c r="Z5" s="3566"/>
      <c r="AA5" s="3551"/>
      <c r="AB5" s="3569"/>
      <c r="AC5" s="3551"/>
    </row>
    <row r="6" spans="1:29" ht="15" thickBot="1">
      <c r="A6" s="404"/>
      <c r="B6" s="405"/>
      <c r="C6" s="3570" t="s">
        <v>2545</v>
      </c>
      <c r="D6" s="3571"/>
      <c r="E6" s="3577" t="s">
        <v>2545</v>
      </c>
      <c r="F6" s="3578"/>
      <c r="G6" s="3570" t="s">
        <v>2545</v>
      </c>
      <c r="H6" s="3571"/>
      <c r="I6" s="3570" t="s">
        <v>2545</v>
      </c>
      <c r="J6" s="3571"/>
      <c r="K6" s="608" t="s">
        <v>2546</v>
      </c>
      <c r="L6" s="1129"/>
      <c r="M6" s="1130"/>
      <c r="N6" s="1130"/>
      <c r="O6" s="1130"/>
      <c r="P6" s="3561"/>
      <c r="Q6" s="3562"/>
      <c r="R6" s="3565"/>
      <c r="S6" s="3566"/>
      <c r="T6" s="3567"/>
      <c r="U6" s="3568"/>
      <c r="V6" s="3569"/>
      <c r="W6" s="3569"/>
      <c r="X6" s="1812"/>
      <c r="Y6" s="3567"/>
      <c r="Z6" s="3568"/>
      <c r="AA6" s="3552"/>
      <c r="AB6" s="3569"/>
      <c r="AC6" s="3552"/>
    </row>
    <row r="7" spans="1:29" s="115" customFormat="1" ht="15" thickBot="1">
      <c r="A7" s="406" t="s">
        <v>2547</v>
      </c>
      <c r="B7" s="407"/>
      <c r="C7" s="408">
        <f>'数据-取费表'!B2</f>
        <v>43424</v>
      </c>
      <c r="D7" s="409">
        <v>100</v>
      </c>
      <c r="E7" s="410"/>
      <c r="F7" s="411">
        <f>SUMIF(58:58,YEAR(E7)&amp;"-"&amp;MONTH(E7),59:59)</f>
        <v>0</v>
      </c>
      <c r="G7" s="410"/>
      <c r="H7" s="409">
        <f>SUMIF(58:58,YEAR(G7)&amp;"-"&amp;MONTH(G7),59:59)</f>
        <v>0</v>
      </c>
      <c r="I7" s="410"/>
      <c r="J7" s="409">
        <f>SUMIF(58:58,YEAR(I7)&amp;"-"&amp;MONTH(I7),59:59)</f>
        <v>0</v>
      </c>
      <c r="K7" s="609"/>
      <c r="L7" s="1131"/>
      <c r="M7" s="1132"/>
      <c r="N7" s="1132"/>
      <c r="O7" s="1132"/>
      <c r="P7" s="3574" t="s">
        <v>2548</v>
      </c>
      <c r="Q7" s="3576"/>
      <c r="R7" s="767" t="s">
        <v>17</v>
      </c>
      <c r="S7" s="768">
        <f t="shared" ref="S7:S15" si="0">F7</f>
        <v>0</v>
      </c>
      <c r="T7" s="767" t="s">
        <v>17</v>
      </c>
      <c r="U7" s="768">
        <f t="shared" ref="U7:U15" si="1">H7</f>
        <v>0</v>
      </c>
      <c r="V7" s="767" t="s">
        <v>17</v>
      </c>
      <c r="W7" s="768">
        <f t="shared" ref="W7:W15" si="2">J7</f>
        <v>0</v>
      </c>
      <c r="X7" s="769"/>
      <c r="Y7" s="3574" t="s">
        <v>2548</v>
      </c>
      <c r="Z7" s="3575"/>
      <c r="AA7" s="770" t="e">
        <f>D7/F7</f>
        <v>#DIV/0!</v>
      </c>
      <c r="AB7" s="770" t="e">
        <f>D7/H7</f>
        <v>#DIV/0!</v>
      </c>
      <c r="AC7" s="770" t="e">
        <f>D7/J7</f>
        <v>#DIV/0!</v>
      </c>
    </row>
    <row r="8" spans="1:29" s="115" customFormat="1" ht="1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31"/>
      <c r="M8" s="1132"/>
      <c r="N8" s="1132"/>
      <c r="O8" s="1132"/>
      <c r="P8" s="3574" t="s">
        <v>2551</v>
      </c>
      <c r="Q8" s="3575"/>
      <c r="R8" s="767" t="s">
        <v>17</v>
      </c>
      <c r="S8" s="768">
        <f t="shared" si="0"/>
        <v>0</v>
      </c>
      <c r="T8" s="767" t="s">
        <v>17</v>
      </c>
      <c r="U8" s="768">
        <f t="shared" si="1"/>
        <v>0</v>
      </c>
      <c r="V8" s="767" t="s">
        <v>17</v>
      </c>
      <c r="W8" s="768">
        <f t="shared" si="2"/>
        <v>0</v>
      </c>
      <c r="X8" s="769"/>
      <c r="Y8" s="3574" t="s">
        <v>2551</v>
      </c>
      <c r="Z8" s="3575"/>
      <c r="AA8" s="770" t="e">
        <f t="shared" ref="AA8:AA46" si="3">D8/F8</f>
        <v>#DIV/0!</v>
      </c>
      <c r="AB8" s="770" t="e">
        <f t="shared" ref="AB8:AB46" si="4">D8/H8</f>
        <v>#DIV/0!</v>
      </c>
      <c r="AC8" s="770" t="e">
        <f t="shared" ref="AC8:AC46" si="5">D8/J8</f>
        <v>#DIV/0!</v>
      </c>
    </row>
    <row r="9" spans="1:29" s="115" customFormat="1" ht="14.4">
      <c r="A9" s="413" t="s">
        <v>2552</v>
      </c>
      <c r="B9" s="70" t="s">
        <v>2553</v>
      </c>
      <c r="C9" s="414"/>
      <c r="D9" s="133">
        <v>100</v>
      </c>
      <c r="E9" s="415"/>
      <c r="F9" s="416">
        <f>SUMIF(63:63,E9,64:64)-SUMIF(63:63,C9,64:64)+100</f>
        <v>100</v>
      </c>
      <c r="G9" s="415"/>
      <c r="H9" s="133">
        <f>SUMIF(63:63,G9,64:64)-SUMIF(63:63,C9,64:64)+100</f>
        <v>100</v>
      </c>
      <c r="I9" s="415"/>
      <c r="J9" s="133">
        <f>SUMIF(63:63,I9,64:64)-SUMIF(63:63,C9,64:64)+100</f>
        <v>100</v>
      </c>
      <c r="K9" s="609"/>
      <c r="L9" s="1131"/>
      <c r="M9" s="1132"/>
      <c r="N9" s="1132"/>
      <c r="O9" s="1132"/>
      <c r="P9" s="3582" t="s">
        <v>2554</v>
      </c>
      <c r="Q9" s="1794" t="str">
        <f t="shared" ref="Q9:Q15" si="6">B9</f>
        <v>用途</v>
      </c>
      <c r="R9" s="767" t="s">
        <v>17</v>
      </c>
      <c r="S9" s="768">
        <f t="shared" si="0"/>
        <v>100</v>
      </c>
      <c r="T9" s="767" t="s">
        <v>17</v>
      </c>
      <c r="U9" s="768">
        <f t="shared" si="1"/>
        <v>100</v>
      </c>
      <c r="V9" s="767" t="s">
        <v>17</v>
      </c>
      <c r="W9" s="768">
        <f t="shared" si="2"/>
        <v>100</v>
      </c>
      <c r="X9" s="769"/>
      <c r="Y9" s="3390" t="s">
        <v>2555</v>
      </c>
      <c r="Z9" s="54" t="str">
        <f t="shared" ref="Z9:Z15" si="7">Q9</f>
        <v>用途</v>
      </c>
      <c r="AA9" s="770">
        <f t="shared" si="3"/>
        <v>1</v>
      </c>
      <c r="AB9" s="770">
        <f t="shared" si="4"/>
        <v>1</v>
      </c>
      <c r="AC9" s="770">
        <f t="shared" si="5"/>
        <v>1</v>
      </c>
    </row>
    <row r="10" spans="1:29" s="425" customFormat="1" ht="28.8">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34"/>
      <c r="M10" s="1135"/>
      <c r="N10" s="1135"/>
      <c r="O10" s="1135"/>
      <c r="P10" s="3582"/>
      <c r="Q10" s="1794" t="str">
        <f t="shared" si="6"/>
        <v>土地使用年限（年）</v>
      </c>
      <c r="R10" s="767" t="s">
        <v>17</v>
      </c>
      <c r="S10" s="768">
        <f t="shared" si="0"/>
        <v>100</v>
      </c>
      <c r="T10" s="767" t="s">
        <v>17</v>
      </c>
      <c r="U10" s="768">
        <f t="shared" si="1"/>
        <v>100</v>
      </c>
      <c r="V10" s="767" t="s">
        <v>17</v>
      </c>
      <c r="W10" s="768">
        <f t="shared" si="2"/>
        <v>100</v>
      </c>
      <c r="X10" s="769"/>
      <c r="Y10" s="3390"/>
      <c r="Z10" s="54"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7"/>
      <c r="M11" s="1130"/>
      <c r="N11" s="1130"/>
      <c r="O11" s="1130"/>
      <c r="P11" s="3582"/>
      <c r="Q11" s="1794" t="str">
        <f t="shared" si="6"/>
        <v>容积率</v>
      </c>
      <c r="R11" s="767" t="s">
        <v>17</v>
      </c>
      <c r="S11" s="768" t="e">
        <f t="shared" si="0"/>
        <v>#N/A</v>
      </c>
      <c r="T11" s="767" t="s">
        <v>17</v>
      </c>
      <c r="U11" s="768" t="e">
        <f t="shared" si="1"/>
        <v>#N/A</v>
      </c>
      <c r="V11" s="767" t="s">
        <v>17</v>
      </c>
      <c r="W11" s="768" t="e">
        <f t="shared" si="2"/>
        <v>#N/A</v>
      </c>
      <c r="X11" s="769"/>
      <c r="Y11" s="3390"/>
      <c r="Z11" s="54" t="str">
        <f t="shared" si="7"/>
        <v>容积率</v>
      </c>
      <c r="AA11" s="770" t="e">
        <f t="shared" si="3"/>
        <v>#N/A</v>
      </c>
      <c r="AB11" s="770" t="e">
        <f t="shared" si="4"/>
        <v>#N/A</v>
      </c>
      <c r="AC11" s="770"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1"/>
      <c r="M12" s="1132"/>
      <c r="N12" s="1132"/>
      <c r="O12" s="1132"/>
      <c r="P12" s="3582"/>
      <c r="Q12" s="1794">
        <f t="shared" si="6"/>
        <v>111</v>
      </c>
      <c r="R12" s="767" t="s">
        <v>17</v>
      </c>
      <c r="S12" s="768">
        <f t="shared" si="0"/>
        <v>100</v>
      </c>
      <c r="T12" s="767" t="s">
        <v>17</v>
      </c>
      <c r="U12" s="768">
        <f t="shared" si="1"/>
        <v>100</v>
      </c>
      <c r="V12" s="767" t="s">
        <v>17</v>
      </c>
      <c r="W12" s="768">
        <f t="shared" si="2"/>
        <v>100</v>
      </c>
      <c r="X12" s="769"/>
      <c r="Y12" s="3390"/>
      <c r="Z12" s="54">
        <f t="shared" si="7"/>
        <v>111</v>
      </c>
      <c r="AA12" s="770">
        <f>D12/F12</f>
        <v>1</v>
      </c>
      <c r="AB12" s="770">
        <f>D12/H12</f>
        <v>1</v>
      </c>
      <c r="AC12" s="770">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39"/>
      <c r="M13" s="1130"/>
      <c r="N13" s="1130"/>
      <c r="O13" s="1130"/>
      <c r="P13" s="3582"/>
      <c r="Q13" s="1794">
        <f t="shared" si="6"/>
        <v>111</v>
      </c>
      <c r="R13" s="767" t="s">
        <v>17</v>
      </c>
      <c r="S13" s="768">
        <f t="shared" si="0"/>
        <v>100</v>
      </c>
      <c r="T13" s="767" t="s">
        <v>17</v>
      </c>
      <c r="U13" s="768">
        <f t="shared" si="1"/>
        <v>100</v>
      </c>
      <c r="V13" s="767" t="s">
        <v>17</v>
      </c>
      <c r="W13" s="768">
        <f t="shared" si="2"/>
        <v>100</v>
      </c>
      <c r="X13" s="769"/>
      <c r="Y13" s="3390"/>
      <c r="Z13" s="54">
        <f t="shared" si="7"/>
        <v>111</v>
      </c>
      <c r="AA13" s="770">
        <f t="shared" si="3"/>
        <v>1</v>
      </c>
      <c r="AB13" s="770">
        <f t="shared" si="4"/>
        <v>1</v>
      </c>
      <c r="AC13" s="770">
        <f t="shared" si="5"/>
        <v>1</v>
      </c>
    </row>
    <row r="14" spans="1:29" ht="15.6"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39"/>
      <c r="M14" s="1130"/>
      <c r="N14" s="1130"/>
      <c r="O14" s="1130"/>
      <c r="P14" s="3582"/>
      <c r="Q14" s="1794">
        <f t="shared" si="6"/>
        <v>111</v>
      </c>
      <c r="R14" s="767" t="s">
        <v>17</v>
      </c>
      <c r="S14" s="768">
        <f t="shared" si="0"/>
        <v>100</v>
      </c>
      <c r="T14" s="767" t="s">
        <v>17</v>
      </c>
      <c r="U14" s="768">
        <f t="shared" si="1"/>
        <v>100</v>
      </c>
      <c r="V14" s="767" t="s">
        <v>17</v>
      </c>
      <c r="W14" s="768">
        <f t="shared" si="2"/>
        <v>100</v>
      </c>
      <c r="X14" s="769"/>
      <c r="Y14" s="3390"/>
      <c r="Z14" s="54">
        <f t="shared" si="7"/>
        <v>111</v>
      </c>
      <c r="AA14" s="770">
        <f t="shared" si="3"/>
        <v>1</v>
      </c>
      <c r="AB14" s="770">
        <f t="shared" si="4"/>
        <v>1</v>
      </c>
      <c r="AC14" s="770">
        <f t="shared" si="5"/>
        <v>1</v>
      </c>
    </row>
    <row r="15" spans="1:29" ht="69">
      <c r="A15" s="438" t="s">
        <v>2558</v>
      </c>
      <c r="B15" s="68" t="s">
        <v>2652</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9"/>
      <c r="M15" s="1130"/>
      <c r="N15" s="1130"/>
      <c r="O15" s="1130"/>
      <c r="P15" s="3685" t="s">
        <v>2559</v>
      </c>
      <c r="Q15" s="1809" t="str">
        <f t="shared" si="6"/>
        <v>商业繁华度</v>
      </c>
      <c r="R15" s="771" t="s">
        <v>17</v>
      </c>
      <c r="S15" s="772">
        <f t="shared" si="0"/>
        <v>100</v>
      </c>
      <c r="T15" s="771" t="s">
        <v>17</v>
      </c>
      <c r="U15" s="772">
        <f t="shared" si="1"/>
        <v>100</v>
      </c>
      <c r="V15" s="771" t="s">
        <v>17</v>
      </c>
      <c r="W15" s="772">
        <f t="shared" si="2"/>
        <v>100</v>
      </c>
      <c r="X15" s="1812"/>
      <c r="Y15" s="3545" t="s">
        <v>2559</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39"/>
      <c r="M16" s="1130"/>
      <c r="N16" s="1130"/>
      <c r="O16" s="1130"/>
      <c r="P16" s="3686"/>
      <c r="Q16" s="1809"/>
      <c r="R16" s="771"/>
      <c r="S16" s="772"/>
      <c r="T16" s="771"/>
      <c r="U16" s="772"/>
      <c r="V16" s="771"/>
      <c r="W16" s="772"/>
      <c r="X16" s="1812"/>
      <c r="Y16" s="3546"/>
      <c r="Z16" s="1813"/>
      <c r="AA16" s="1810">
        <v>1</v>
      </c>
      <c r="AB16" s="1810">
        <v>1</v>
      </c>
      <c r="AC16" s="1810">
        <v>1</v>
      </c>
    </row>
    <row r="17" spans="1:29" ht="82.8">
      <c r="A17" s="426"/>
      <c r="B17" s="449" t="s">
        <v>2097</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9"/>
      <c r="M17" s="1130"/>
      <c r="N17" s="1130"/>
      <c r="O17" s="1130"/>
      <c r="P17" s="3686"/>
      <c r="Q17" s="1809" t="str">
        <f>B17</f>
        <v>交通便捷度</v>
      </c>
      <c r="R17" s="771" t="s">
        <v>17</v>
      </c>
      <c r="S17" s="772">
        <f>F17</f>
        <v>100</v>
      </c>
      <c r="T17" s="771" t="s">
        <v>17</v>
      </c>
      <c r="U17" s="772">
        <f>H17</f>
        <v>100</v>
      </c>
      <c r="V17" s="771" t="s">
        <v>17</v>
      </c>
      <c r="W17" s="772">
        <f>J17</f>
        <v>100</v>
      </c>
      <c r="X17" s="1812"/>
      <c r="Y17" s="3546"/>
      <c r="Z17" s="1813" t="str">
        <f>Q17</f>
        <v>交通便捷度</v>
      </c>
      <c r="AA17" s="1810">
        <f t="shared" si="3"/>
        <v>1</v>
      </c>
      <c r="AB17" s="1810">
        <f t="shared" si="4"/>
        <v>1</v>
      </c>
      <c r="AC17" s="1810">
        <f t="shared" si="5"/>
        <v>1</v>
      </c>
    </row>
    <row r="18" spans="1:29" ht="15">
      <c r="A18" s="426"/>
      <c r="B18" s="454"/>
      <c r="C18" s="2606"/>
      <c r="D18" s="448"/>
      <c r="E18" s="2608"/>
      <c r="F18" s="451"/>
      <c r="G18" s="2607"/>
      <c r="H18" s="446"/>
      <c r="I18" s="2608"/>
      <c r="J18" s="446"/>
      <c r="K18" s="613"/>
      <c r="L18" s="1139"/>
      <c r="M18" s="1130"/>
      <c r="N18" s="1130"/>
      <c r="O18" s="1130"/>
      <c r="P18" s="3686"/>
      <c r="Q18" s="1809"/>
      <c r="R18" s="771"/>
      <c r="S18" s="772"/>
      <c r="T18" s="771"/>
      <c r="U18" s="772"/>
      <c r="V18" s="771"/>
      <c r="W18" s="772"/>
      <c r="X18" s="1812"/>
      <c r="Y18" s="3546"/>
      <c r="Z18" s="1813"/>
      <c r="AA18" s="1810">
        <v>1</v>
      </c>
      <c r="AB18" s="1810">
        <v>1</v>
      </c>
      <c r="AC18" s="1810">
        <v>1</v>
      </c>
    </row>
    <row r="19" spans="1:29" ht="41.4">
      <c r="A19" s="426"/>
      <c r="B19" s="449" t="s">
        <v>2653</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9"/>
      <c r="M19" s="1130"/>
      <c r="N19" s="1130"/>
      <c r="O19" s="1130"/>
      <c r="P19" s="3686"/>
      <c r="Q19" s="1809" t="str">
        <f>B19</f>
        <v>公共配套设施</v>
      </c>
      <c r="R19" s="771" t="s">
        <v>17</v>
      </c>
      <c r="S19" s="772">
        <f>F19</f>
        <v>100</v>
      </c>
      <c r="T19" s="771" t="s">
        <v>17</v>
      </c>
      <c r="U19" s="772">
        <f>H19</f>
        <v>100</v>
      </c>
      <c r="V19" s="771" t="s">
        <v>17</v>
      </c>
      <c r="W19" s="772">
        <f>J19</f>
        <v>100</v>
      </c>
      <c r="X19" s="1812"/>
      <c r="Y19" s="3546"/>
      <c r="Z19" s="1813" t="str">
        <f>Q19</f>
        <v>公共配套设施</v>
      </c>
      <c r="AA19" s="1810">
        <f t="shared" si="3"/>
        <v>1</v>
      </c>
      <c r="AB19" s="1810">
        <f t="shared" si="4"/>
        <v>1</v>
      </c>
      <c r="AC19" s="1810">
        <f t="shared" si="5"/>
        <v>1</v>
      </c>
    </row>
    <row r="20" spans="1:29" ht="15">
      <c r="A20" s="426"/>
      <c r="B20" s="454"/>
      <c r="C20" s="445"/>
      <c r="D20" s="446"/>
      <c r="E20" s="2603"/>
      <c r="F20" s="447"/>
      <c r="G20" s="2602"/>
      <c r="H20" s="446"/>
      <c r="I20" s="2603"/>
      <c r="J20" s="446"/>
      <c r="K20" s="613"/>
      <c r="L20" s="1139"/>
      <c r="M20" s="1130"/>
      <c r="N20" s="1130"/>
      <c r="O20" s="1130"/>
      <c r="P20" s="3686"/>
      <c r="Q20" s="1809"/>
      <c r="R20" s="771"/>
      <c r="S20" s="772"/>
      <c r="T20" s="771"/>
      <c r="U20" s="772"/>
      <c r="V20" s="771"/>
      <c r="W20" s="772"/>
      <c r="X20" s="1812"/>
      <c r="Y20" s="3546"/>
      <c r="Z20" s="1813"/>
      <c r="AA20" s="1810">
        <v>1</v>
      </c>
      <c r="AB20" s="1810">
        <v>1</v>
      </c>
      <c r="AC20" s="1810">
        <v>1</v>
      </c>
    </row>
    <row r="21" spans="1:29" ht="27.6">
      <c r="A21" s="426"/>
      <c r="B21" s="1383" t="s">
        <v>2654</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9"/>
      <c r="M21" s="1130"/>
      <c r="N21" s="1130"/>
      <c r="O21" s="1130"/>
      <c r="P21" s="3686"/>
      <c r="Q21" s="1809" t="str">
        <f>B21</f>
        <v>基础设施水平</v>
      </c>
      <c r="R21" s="771" t="s">
        <v>17</v>
      </c>
      <c r="S21" s="772">
        <f>F21</f>
        <v>100</v>
      </c>
      <c r="T21" s="771" t="s">
        <v>17</v>
      </c>
      <c r="U21" s="772">
        <f>H21</f>
        <v>100</v>
      </c>
      <c r="V21" s="771" t="s">
        <v>17</v>
      </c>
      <c r="W21" s="772">
        <f>J21</f>
        <v>100</v>
      </c>
      <c r="X21" s="1812"/>
      <c r="Y21" s="3546"/>
      <c r="Z21" s="1813" t="str">
        <f>Q21</f>
        <v>基础设施水平</v>
      </c>
      <c r="AA21" s="1810">
        <f t="shared" ref="AA21" si="8">D21/F21</f>
        <v>1</v>
      </c>
      <c r="AB21" s="1810">
        <f t="shared" ref="AB21" si="9">D21/H21</f>
        <v>1</v>
      </c>
      <c r="AC21" s="1810">
        <f t="shared" ref="AC21" si="10">D21/J21</f>
        <v>1</v>
      </c>
    </row>
    <row r="22" spans="1:29" ht="15">
      <c r="A22" s="426"/>
      <c r="B22" s="1383"/>
      <c r="C22" s="2606"/>
      <c r="D22" s="446"/>
      <c r="E22" s="445"/>
      <c r="F22" s="447"/>
      <c r="G22" s="445"/>
      <c r="H22" s="446"/>
      <c r="I22" s="445"/>
      <c r="J22" s="446"/>
      <c r="K22" s="1382"/>
      <c r="L22" s="1139"/>
      <c r="M22" s="1130"/>
      <c r="N22" s="1130"/>
      <c r="O22" s="1130"/>
      <c r="P22" s="3686"/>
      <c r="Q22" s="1809"/>
      <c r="R22" s="771"/>
      <c r="S22" s="772"/>
      <c r="T22" s="771"/>
      <c r="U22" s="772"/>
      <c r="V22" s="771"/>
      <c r="W22" s="772"/>
      <c r="X22" s="1812"/>
      <c r="Y22" s="3546"/>
      <c r="Z22" s="1813"/>
      <c r="AA22" s="1810">
        <v>1</v>
      </c>
      <c r="AB22" s="1810">
        <v>1</v>
      </c>
      <c r="AC22" s="1810">
        <v>1</v>
      </c>
    </row>
    <row r="23" spans="1:29" ht="55.2">
      <c r="A23" s="426"/>
      <c r="B23" s="449" t="s">
        <v>2102</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9"/>
      <c r="M23" s="1130"/>
      <c r="N23" s="1130"/>
      <c r="O23" s="1130"/>
      <c r="P23" s="3686"/>
      <c r="Q23" s="1809" t="str">
        <f>B23</f>
        <v>自然及人文环境</v>
      </c>
      <c r="R23" s="771" t="s">
        <v>17</v>
      </c>
      <c r="S23" s="772">
        <f>F23</f>
        <v>100</v>
      </c>
      <c r="T23" s="771" t="s">
        <v>17</v>
      </c>
      <c r="U23" s="772">
        <f>H23</f>
        <v>100</v>
      </c>
      <c r="V23" s="771" t="s">
        <v>17</v>
      </c>
      <c r="W23" s="772">
        <f>J23</f>
        <v>100</v>
      </c>
      <c r="X23" s="1812"/>
      <c r="Y23" s="3546"/>
      <c r="Z23" s="1813" t="str">
        <f>Q23</f>
        <v>自然及人文环境</v>
      </c>
      <c r="AA23" s="1810">
        <f t="shared" si="3"/>
        <v>1</v>
      </c>
      <c r="AB23" s="1810">
        <f t="shared" si="4"/>
        <v>1</v>
      </c>
      <c r="AC23" s="1810">
        <f t="shared" si="5"/>
        <v>1</v>
      </c>
    </row>
    <row r="24" spans="1:29" ht="15">
      <c r="A24" s="426"/>
      <c r="B24" s="454"/>
      <c r="C24" s="445"/>
      <c r="D24" s="446"/>
      <c r="E24" s="2603"/>
      <c r="F24" s="447"/>
      <c r="G24" s="2602"/>
      <c r="H24" s="446"/>
      <c r="I24" s="2603"/>
      <c r="J24" s="446"/>
      <c r="K24" s="613"/>
      <c r="L24" s="1139"/>
      <c r="M24" s="1130"/>
      <c r="N24" s="1130"/>
      <c r="O24" s="1130"/>
      <c r="P24" s="3686"/>
      <c r="Q24" s="1809"/>
      <c r="R24" s="771"/>
      <c r="S24" s="772"/>
      <c r="T24" s="771"/>
      <c r="U24" s="772"/>
      <c r="V24" s="771"/>
      <c r="W24" s="772"/>
      <c r="X24" s="1812"/>
      <c r="Y24" s="3546"/>
      <c r="Z24" s="1813"/>
      <c r="AA24" s="1810">
        <v>1</v>
      </c>
      <c r="AB24" s="1810">
        <v>1</v>
      </c>
      <c r="AC24" s="1810">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39"/>
      <c r="M25" s="1130"/>
      <c r="N25" s="1130"/>
      <c r="O25" s="1130"/>
      <c r="P25" s="3686"/>
      <c r="Q25" s="1809" t="str">
        <f t="shared" ref="Q25:Q46" si="11">B25</f>
        <v>临街状况</v>
      </c>
      <c r="R25" s="771" t="s">
        <v>17</v>
      </c>
      <c r="S25" s="772">
        <f>F25</f>
        <v>100</v>
      </c>
      <c r="T25" s="771" t="s">
        <v>17</v>
      </c>
      <c r="U25" s="772">
        <f>H25</f>
        <v>100</v>
      </c>
      <c r="V25" s="771" t="s">
        <v>17</v>
      </c>
      <c r="W25" s="772">
        <f>J25</f>
        <v>100</v>
      </c>
      <c r="X25" s="1812"/>
      <c r="Y25" s="3546"/>
      <c r="Z25" s="1813" t="str">
        <f>Q25</f>
        <v>临街状况</v>
      </c>
      <c r="AA25" s="1810">
        <f t="shared" si="3"/>
        <v>1</v>
      </c>
      <c r="AB25" s="1810">
        <f t="shared" si="4"/>
        <v>1</v>
      </c>
      <c r="AC25" s="1810">
        <f t="shared" si="5"/>
        <v>1</v>
      </c>
    </row>
    <row r="26" spans="1:29" ht="15">
      <c r="A26" s="426"/>
      <c r="B26" s="1385" t="s">
        <v>2656</v>
      </c>
      <c r="C26" s="432"/>
      <c r="D26" s="433">
        <v>100</v>
      </c>
      <c r="E26" s="432"/>
      <c r="F26" s="459">
        <f>SUMIF(88:88,E26,89:89)-SUMIF(88:88,C26,89:89)+100</f>
        <v>100</v>
      </c>
      <c r="G26" s="432"/>
      <c r="H26" s="433">
        <f>SUMIF(88:88,G26,89:89)-SUMIF(88:88,C26,89:89)+100</f>
        <v>100</v>
      </c>
      <c r="I26" s="432"/>
      <c r="J26" s="433">
        <f>SUMIF(88:88,I26,89:89)-SUMIF(88:88,C26,89:89)+100</f>
        <v>100</v>
      </c>
      <c r="K26" s="611"/>
      <c r="L26" s="1139"/>
      <c r="M26" s="1130"/>
      <c r="N26" s="1130"/>
      <c r="O26" s="1130"/>
      <c r="P26" s="3686"/>
      <c r="Q26" s="1809" t="str">
        <f t="shared" si="11"/>
        <v>平面位置/可视性</v>
      </c>
      <c r="R26" s="771" t="s">
        <v>17</v>
      </c>
      <c r="S26" s="772">
        <f>F26</f>
        <v>100</v>
      </c>
      <c r="T26" s="771" t="s">
        <v>17</v>
      </c>
      <c r="U26" s="772">
        <f>H26</f>
        <v>100</v>
      </c>
      <c r="V26" s="771" t="s">
        <v>17</v>
      </c>
      <c r="W26" s="772">
        <f>J26</f>
        <v>100</v>
      </c>
      <c r="X26" s="1812"/>
      <c r="Y26" s="3546"/>
      <c r="Z26" s="1813" t="str">
        <f>Q26</f>
        <v>平面位置/可视性</v>
      </c>
      <c r="AA26" s="1810">
        <f t="shared" si="3"/>
        <v>1</v>
      </c>
      <c r="AB26" s="1810">
        <f t="shared" si="4"/>
        <v>1</v>
      </c>
      <c r="AC26" s="1810">
        <f t="shared" si="5"/>
        <v>1</v>
      </c>
    </row>
    <row r="27" spans="1:29" s="115" customFormat="1" ht="15">
      <c r="A27" s="429"/>
      <c r="B27" s="449" t="s">
        <v>2657</v>
      </c>
      <c r="C27" s="2663"/>
      <c r="D27" s="460">
        <v>100</v>
      </c>
      <c r="E27" s="2663"/>
      <c r="F27" s="462">
        <f>SUMIF(90:90,E27,91:91)-SUMIF(90:90,C27,91:91)+100</f>
        <v>100</v>
      </c>
      <c r="G27" s="2663"/>
      <c r="H27" s="460">
        <f>SUMIF(90:90,G27,91:91)-SUMIF(90:90,C27,91:91)+100</f>
        <v>100</v>
      </c>
      <c r="I27" s="2663"/>
      <c r="J27" s="460">
        <f>SUMIF(90:90,I27,91:91)-SUMIF(90:90,C27,91:91)+100</f>
        <v>100</v>
      </c>
      <c r="K27" s="610"/>
      <c r="L27" s="1131"/>
      <c r="M27" s="1132"/>
      <c r="N27" s="1132"/>
      <c r="O27" s="1132"/>
      <c r="P27" s="3686"/>
      <c r="Q27" s="1794" t="str">
        <f t="shared" si="11"/>
        <v>人流量</v>
      </c>
      <c r="R27" s="767" t="s">
        <v>17</v>
      </c>
      <c r="S27" s="768">
        <f>F27</f>
        <v>100</v>
      </c>
      <c r="T27" s="767" t="s">
        <v>17</v>
      </c>
      <c r="U27" s="768">
        <f>H27</f>
        <v>100</v>
      </c>
      <c r="V27" s="767" t="s">
        <v>17</v>
      </c>
      <c r="W27" s="768">
        <f>J27</f>
        <v>100</v>
      </c>
      <c r="X27" s="769"/>
      <c r="Y27" s="3546"/>
      <c r="Z27" s="54" t="str">
        <f>Q27</f>
        <v>人流量</v>
      </c>
      <c r="AA27" s="1810">
        <f>D27/F27</f>
        <v>1</v>
      </c>
      <c r="AB27" s="1810">
        <f>D27/H27</f>
        <v>1</v>
      </c>
      <c r="AC27" s="1810">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39"/>
      <c r="M28" s="1130"/>
      <c r="N28" s="1130"/>
      <c r="O28" s="1130"/>
      <c r="P28" s="3686"/>
      <c r="Q28" s="1809" t="str">
        <f t="shared" si="11"/>
        <v>楼层</v>
      </c>
      <c r="R28" s="771" t="s">
        <v>17</v>
      </c>
      <c r="S28" s="772">
        <f t="shared" ref="S28:S46" si="12">F28</f>
        <v>100</v>
      </c>
      <c r="T28" s="771" t="s">
        <v>17</v>
      </c>
      <c r="U28" s="772">
        <f t="shared" ref="U28:U46" si="13">H28</f>
        <v>100</v>
      </c>
      <c r="V28" s="771" t="s">
        <v>17</v>
      </c>
      <c r="W28" s="772">
        <f t="shared" ref="W28:W46" si="14">J28</f>
        <v>100</v>
      </c>
      <c r="X28" s="1812"/>
      <c r="Y28" s="3546"/>
      <c r="Z28" s="1813" t="str">
        <f t="shared" ref="Z28:Z46" si="15">Q28</f>
        <v>楼层</v>
      </c>
      <c r="AA28" s="1810">
        <f t="shared" si="3"/>
        <v>1</v>
      </c>
      <c r="AB28" s="1810">
        <f t="shared" si="4"/>
        <v>1</v>
      </c>
      <c r="AC28" s="1810">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39"/>
      <c r="M29" s="1130"/>
      <c r="N29" s="1130"/>
      <c r="O29" s="1130"/>
      <c r="P29" s="3686"/>
      <c r="Q29" s="1809">
        <f t="shared" si="11"/>
        <v>111</v>
      </c>
      <c r="R29" s="771" t="s">
        <v>17</v>
      </c>
      <c r="S29" s="772">
        <f t="shared" si="12"/>
        <v>100</v>
      </c>
      <c r="T29" s="771" t="s">
        <v>17</v>
      </c>
      <c r="U29" s="772">
        <f t="shared" si="13"/>
        <v>100</v>
      </c>
      <c r="V29" s="771" t="s">
        <v>17</v>
      </c>
      <c r="W29" s="772">
        <f t="shared" si="14"/>
        <v>100</v>
      </c>
      <c r="X29" s="1812"/>
      <c r="Y29" s="3546"/>
      <c r="Z29" s="1813">
        <f t="shared" si="15"/>
        <v>111</v>
      </c>
      <c r="AA29" s="1810">
        <f t="shared" si="3"/>
        <v>1</v>
      </c>
      <c r="AB29" s="1810">
        <f t="shared" si="4"/>
        <v>1</v>
      </c>
      <c r="AC29" s="1810">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39"/>
      <c r="M30" s="1130"/>
      <c r="N30" s="1130"/>
      <c r="O30" s="1130"/>
      <c r="P30" s="3686"/>
      <c r="Q30" s="1809">
        <f t="shared" si="11"/>
        <v>111</v>
      </c>
      <c r="R30" s="771" t="s">
        <v>17</v>
      </c>
      <c r="S30" s="772">
        <f t="shared" si="12"/>
        <v>100</v>
      </c>
      <c r="T30" s="771" t="s">
        <v>17</v>
      </c>
      <c r="U30" s="772">
        <f t="shared" si="13"/>
        <v>100</v>
      </c>
      <c r="V30" s="771" t="s">
        <v>17</v>
      </c>
      <c r="W30" s="772">
        <f t="shared" si="14"/>
        <v>100</v>
      </c>
      <c r="X30" s="1812"/>
      <c r="Y30" s="3546"/>
      <c r="Z30" s="1813">
        <f t="shared" si="15"/>
        <v>111</v>
      </c>
      <c r="AA30" s="1810">
        <f t="shared" si="3"/>
        <v>1</v>
      </c>
      <c r="AB30" s="1810">
        <f t="shared" si="4"/>
        <v>1</v>
      </c>
      <c r="AC30" s="1810">
        <f t="shared" si="5"/>
        <v>1</v>
      </c>
    </row>
    <row r="31" spans="1:29" ht="15.6"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39"/>
      <c r="M31" s="1130"/>
      <c r="N31" s="1130"/>
      <c r="O31" s="1130"/>
      <c r="P31" s="3686"/>
      <c r="Q31" s="1809">
        <f t="shared" si="11"/>
        <v>111</v>
      </c>
      <c r="R31" s="771" t="s">
        <v>17</v>
      </c>
      <c r="S31" s="772">
        <f t="shared" si="12"/>
        <v>100</v>
      </c>
      <c r="T31" s="771" t="s">
        <v>17</v>
      </c>
      <c r="U31" s="772">
        <f t="shared" si="13"/>
        <v>100</v>
      </c>
      <c r="V31" s="771" t="s">
        <v>17</v>
      </c>
      <c r="W31" s="772">
        <f t="shared" si="14"/>
        <v>100</v>
      </c>
      <c r="X31" s="1812"/>
      <c r="Y31" s="3546"/>
      <c r="Z31" s="1813">
        <f t="shared" si="15"/>
        <v>111</v>
      </c>
      <c r="AA31" s="1810">
        <f t="shared" si="3"/>
        <v>1</v>
      </c>
      <c r="AB31" s="1810">
        <f t="shared" si="4"/>
        <v>1</v>
      </c>
      <c r="AC31" s="1810">
        <f t="shared" si="5"/>
        <v>1</v>
      </c>
    </row>
    <row r="32" spans="1:29" ht="15">
      <c r="A32" s="438" t="s">
        <v>2562</v>
      </c>
      <c r="B32" s="70" t="s">
        <v>2659</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39"/>
      <c r="M32" s="1130"/>
      <c r="N32" s="1130"/>
      <c r="O32" s="1130"/>
      <c r="P32" s="3682" t="s">
        <v>2564</v>
      </c>
      <c r="Q32" s="1809" t="str">
        <f t="shared" si="11"/>
        <v>商业类型</v>
      </c>
      <c r="R32" s="771" t="s">
        <v>17</v>
      </c>
      <c r="S32" s="772">
        <f t="shared" si="12"/>
        <v>100</v>
      </c>
      <c r="T32" s="771" t="s">
        <v>17</v>
      </c>
      <c r="U32" s="772">
        <f t="shared" si="13"/>
        <v>100</v>
      </c>
      <c r="V32" s="771" t="s">
        <v>17</v>
      </c>
      <c r="W32" s="772">
        <f t="shared" si="14"/>
        <v>100</v>
      </c>
      <c r="X32" s="1812"/>
      <c r="Y32" s="3548" t="s">
        <v>2564</v>
      </c>
      <c r="Z32" s="1813" t="str">
        <f t="shared" si="15"/>
        <v>商业类型</v>
      </c>
      <c r="AA32" s="1810">
        <f t="shared" si="3"/>
        <v>1</v>
      </c>
      <c r="AB32" s="1810">
        <f t="shared" si="4"/>
        <v>1</v>
      </c>
      <c r="AC32" s="1810">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7"/>
      <c r="M33" s="1140"/>
      <c r="N33" s="1140"/>
      <c r="O33" s="1140"/>
      <c r="P33" s="3683"/>
      <c r="Q33" s="773" t="str">
        <f t="shared" si="11"/>
        <v>项目建筑规模</v>
      </c>
      <c r="R33" s="774" t="s">
        <v>17</v>
      </c>
      <c r="S33" s="775" t="e">
        <f t="shared" si="12"/>
        <v>#N/A</v>
      </c>
      <c r="T33" s="774" t="s">
        <v>17</v>
      </c>
      <c r="U33" s="775" t="e">
        <f t="shared" si="13"/>
        <v>#N/A</v>
      </c>
      <c r="V33" s="774" t="s">
        <v>17</v>
      </c>
      <c r="W33" s="775" t="e">
        <f t="shared" si="14"/>
        <v>#N/A</v>
      </c>
      <c r="X33" s="776"/>
      <c r="Y33" s="3548"/>
      <c r="Z33" s="777" t="str">
        <f t="shared" si="15"/>
        <v>项目建筑规模</v>
      </c>
      <c r="AA33" s="1810" t="e">
        <f t="shared" si="3"/>
        <v>#N/A</v>
      </c>
      <c r="AB33" s="1810" t="e">
        <f t="shared" si="4"/>
        <v>#N/A</v>
      </c>
      <c r="AC33" s="1810" t="e">
        <f t="shared" si="5"/>
        <v>#N/A</v>
      </c>
    </row>
    <row r="34" spans="1:29" ht="15">
      <c r="A34" s="470"/>
      <c r="B34" s="420" t="s">
        <v>2566</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39"/>
      <c r="M34" s="1130"/>
      <c r="N34" s="1130"/>
      <c r="O34" s="1130"/>
      <c r="P34" s="3683"/>
      <c r="Q34" s="1809" t="str">
        <f t="shared" si="11"/>
        <v>建筑结构</v>
      </c>
      <c r="R34" s="771" t="s">
        <v>17</v>
      </c>
      <c r="S34" s="772">
        <f t="shared" si="12"/>
        <v>100</v>
      </c>
      <c r="T34" s="771" t="s">
        <v>17</v>
      </c>
      <c r="U34" s="772">
        <f t="shared" si="13"/>
        <v>100</v>
      </c>
      <c r="V34" s="771" t="s">
        <v>17</v>
      </c>
      <c r="W34" s="772">
        <f t="shared" si="14"/>
        <v>100</v>
      </c>
      <c r="X34" s="1812"/>
      <c r="Y34" s="3548"/>
      <c r="Z34" s="1813" t="str">
        <f t="shared" si="15"/>
        <v>建筑结构</v>
      </c>
      <c r="AA34" s="1810">
        <f t="shared" si="3"/>
        <v>1</v>
      </c>
      <c r="AB34" s="1810">
        <f t="shared" si="4"/>
        <v>1</v>
      </c>
      <c r="AC34" s="1810">
        <f t="shared" si="5"/>
        <v>1</v>
      </c>
    </row>
    <row r="35" spans="1:29" ht="15">
      <c r="A35" s="470"/>
      <c r="B35" s="420" t="s">
        <v>2660</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39"/>
      <c r="M35" s="1130"/>
      <c r="N35" s="1130"/>
      <c r="O35" s="1130"/>
      <c r="P35" s="3683"/>
      <c r="Q35" s="1809" t="str">
        <f t="shared" si="11"/>
        <v>公共部分装修</v>
      </c>
      <c r="R35" s="771" t="s">
        <v>17</v>
      </c>
      <c r="S35" s="772">
        <f t="shared" si="12"/>
        <v>100</v>
      </c>
      <c r="T35" s="771" t="s">
        <v>17</v>
      </c>
      <c r="U35" s="772">
        <f t="shared" si="13"/>
        <v>100</v>
      </c>
      <c r="V35" s="771" t="s">
        <v>17</v>
      </c>
      <c r="W35" s="772">
        <f t="shared" si="14"/>
        <v>100</v>
      </c>
      <c r="X35" s="1812"/>
      <c r="Y35" s="3548"/>
      <c r="Z35" s="1813" t="str">
        <f t="shared" si="15"/>
        <v>公共部分装修</v>
      </c>
      <c r="AA35" s="1810">
        <f t="shared" si="3"/>
        <v>1</v>
      </c>
      <c r="AB35" s="1810">
        <f t="shared" si="4"/>
        <v>1</v>
      </c>
      <c r="AC35" s="1810">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9"/>
      <c r="M36" s="1130"/>
      <c r="N36" s="1130"/>
      <c r="O36" s="1130"/>
      <c r="P36" s="3683"/>
      <c r="Q36" s="1809" t="str">
        <f t="shared" si="11"/>
        <v>成新度</v>
      </c>
      <c r="R36" s="771" t="s">
        <v>17</v>
      </c>
      <c r="S36" s="772" t="e">
        <f t="shared" si="12"/>
        <v>#N/A</v>
      </c>
      <c r="T36" s="771" t="s">
        <v>17</v>
      </c>
      <c r="U36" s="772" t="e">
        <f t="shared" si="13"/>
        <v>#N/A</v>
      </c>
      <c r="V36" s="771" t="s">
        <v>17</v>
      </c>
      <c r="W36" s="772" t="e">
        <f t="shared" si="14"/>
        <v>#N/A</v>
      </c>
      <c r="X36" s="1812"/>
      <c r="Y36" s="3548"/>
      <c r="Z36" s="1813" t="str">
        <f t="shared" si="15"/>
        <v>成新度</v>
      </c>
      <c r="AA36" s="1810" t="e">
        <f t="shared" si="3"/>
        <v>#N/A</v>
      </c>
      <c r="AB36" s="1810" t="e">
        <f t="shared" si="4"/>
        <v>#N/A</v>
      </c>
      <c r="AC36" s="1810" t="e">
        <f t="shared" si="5"/>
        <v>#N/A</v>
      </c>
    </row>
    <row r="37" spans="1:29" s="115" customFormat="1" ht="15">
      <c r="A37" s="471"/>
      <c r="B37" s="420" t="s">
        <v>2662</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1"/>
      <c r="M37" s="1132"/>
      <c r="N37" s="1132"/>
      <c r="O37" s="1132"/>
      <c r="P37" s="3683"/>
      <c r="Q37" s="1794" t="str">
        <f t="shared" si="11"/>
        <v>市政基础设施</v>
      </c>
      <c r="R37" s="767" t="s">
        <v>17</v>
      </c>
      <c r="S37" s="768">
        <f t="shared" si="12"/>
        <v>100</v>
      </c>
      <c r="T37" s="767" t="s">
        <v>17</v>
      </c>
      <c r="U37" s="768">
        <f t="shared" si="13"/>
        <v>100</v>
      </c>
      <c r="V37" s="767" t="s">
        <v>17</v>
      </c>
      <c r="W37" s="768">
        <f t="shared" si="14"/>
        <v>100</v>
      </c>
      <c r="X37" s="769"/>
      <c r="Y37" s="3548"/>
      <c r="Z37" s="54" t="str">
        <f t="shared" si="15"/>
        <v>市政基础设施</v>
      </c>
      <c r="AA37" s="770">
        <f t="shared" si="3"/>
        <v>1</v>
      </c>
      <c r="AB37" s="770">
        <f t="shared" si="4"/>
        <v>1</v>
      </c>
      <c r="AC37" s="770">
        <f t="shared" si="5"/>
        <v>1</v>
      </c>
    </row>
    <row r="38" spans="1:29" ht="15">
      <c r="A38" s="470"/>
      <c r="B38" s="420" t="s">
        <v>2663</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39"/>
      <c r="M38" s="1130"/>
      <c r="N38" s="1130"/>
      <c r="O38" s="1130"/>
      <c r="P38" s="3683" t="s">
        <v>2564</v>
      </c>
      <c r="Q38" s="1809" t="str">
        <f t="shared" si="11"/>
        <v>业态</v>
      </c>
      <c r="R38" s="771" t="s">
        <v>17</v>
      </c>
      <c r="S38" s="772">
        <f t="shared" si="12"/>
        <v>100</v>
      </c>
      <c r="T38" s="771" t="s">
        <v>17</v>
      </c>
      <c r="U38" s="772">
        <f t="shared" si="13"/>
        <v>100</v>
      </c>
      <c r="V38" s="771" t="s">
        <v>17</v>
      </c>
      <c r="W38" s="772">
        <f t="shared" si="14"/>
        <v>100</v>
      </c>
      <c r="X38" s="1812"/>
      <c r="Y38" s="3548" t="s">
        <v>2564</v>
      </c>
      <c r="Z38" s="1813" t="str">
        <f t="shared" si="15"/>
        <v>业态</v>
      </c>
      <c r="AA38" s="1810">
        <f t="shared" si="3"/>
        <v>1</v>
      </c>
      <c r="AB38" s="1810">
        <f t="shared" si="4"/>
        <v>1</v>
      </c>
      <c r="AC38" s="1810">
        <f t="shared" si="5"/>
        <v>1</v>
      </c>
    </row>
    <row r="39" spans="1:29" ht="15">
      <c r="A39" s="470"/>
      <c r="B39" s="420" t="s">
        <v>2664</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39"/>
      <c r="M39" s="1130"/>
      <c r="N39" s="1130"/>
      <c r="O39" s="1130"/>
      <c r="P39" s="3683"/>
      <c r="Q39" s="1809" t="str">
        <f t="shared" si="11"/>
        <v>层高</v>
      </c>
      <c r="R39" s="771" t="s">
        <v>17</v>
      </c>
      <c r="S39" s="772">
        <f t="shared" si="12"/>
        <v>100</v>
      </c>
      <c r="T39" s="771" t="s">
        <v>17</v>
      </c>
      <c r="U39" s="772">
        <f t="shared" si="13"/>
        <v>100</v>
      </c>
      <c r="V39" s="771" t="s">
        <v>17</v>
      </c>
      <c r="W39" s="772">
        <f t="shared" si="14"/>
        <v>100</v>
      </c>
      <c r="X39" s="1812"/>
      <c r="Y39" s="3548"/>
      <c r="Z39" s="1813" t="str">
        <f t="shared" si="15"/>
        <v>层高</v>
      </c>
      <c r="AA39" s="1810">
        <f t="shared" si="3"/>
        <v>1</v>
      </c>
      <c r="AB39" s="1810">
        <f t="shared" si="4"/>
        <v>1</v>
      </c>
      <c r="AC39" s="1810">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9"/>
      <c r="M40" s="1130"/>
      <c r="N40" s="1130"/>
      <c r="O40" s="1130"/>
      <c r="P40" s="3683"/>
      <c r="Q40" s="1809" t="str">
        <f t="shared" si="11"/>
        <v>单套建筑面积</v>
      </c>
      <c r="R40" s="771" t="s">
        <v>17</v>
      </c>
      <c r="S40" s="772">
        <f t="shared" si="12"/>
        <v>100</v>
      </c>
      <c r="T40" s="771" t="s">
        <v>17</v>
      </c>
      <c r="U40" s="772">
        <f t="shared" si="13"/>
        <v>100</v>
      </c>
      <c r="V40" s="771" t="s">
        <v>17</v>
      </c>
      <c r="W40" s="772">
        <f t="shared" si="14"/>
        <v>100</v>
      </c>
      <c r="X40" s="1812"/>
      <c r="Y40" s="3548"/>
      <c r="Z40" s="1813" t="str">
        <f t="shared" si="15"/>
        <v>单套建筑面积</v>
      </c>
      <c r="AA40" s="1810">
        <f t="shared" si="3"/>
        <v>1</v>
      </c>
      <c r="AB40" s="1810">
        <f t="shared" si="4"/>
        <v>1</v>
      </c>
      <c r="AC40" s="1810">
        <f t="shared" si="5"/>
        <v>1</v>
      </c>
    </row>
    <row r="41" spans="1:29" s="469" customFormat="1" ht="15">
      <c r="A41" s="466"/>
      <c r="B41" s="1811"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7"/>
      <c r="M41" s="1140"/>
      <c r="N41" s="1140"/>
      <c r="O41" s="1140"/>
      <c r="P41" s="3683"/>
      <c r="Q41" s="773" t="str">
        <f t="shared" si="11"/>
        <v>进深比</v>
      </c>
      <c r="R41" s="774" t="s">
        <v>17</v>
      </c>
      <c r="S41" s="775">
        <f t="shared" si="12"/>
        <v>100</v>
      </c>
      <c r="T41" s="774" t="s">
        <v>17</v>
      </c>
      <c r="U41" s="775">
        <f t="shared" si="13"/>
        <v>100</v>
      </c>
      <c r="V41" s="774" t="s">
        <v>17</v>
      </c>
      <c r="W41" s="775">
        <f t="shared" si="14"/>
        <v>100</v>
      </c>
      <c r="X41" s="776"/>
      <c r="Y41" s="3548"/>
      <c r="Z41" s="777" t="str">
        <f t="shared" si="15"/>
        <v>进深比</v>
      </c>
      <c r="AA41" s="1810">
        <f t="shared" si="3"/>
        <v>1</v>
      </c>
      <c r="AB41" s="1810">
        <f t="shared" si="4"/>
        <v>1</v>
      </c>
      <c r="AC41" s="1810">
        <f t="shared" si="5"/>
        <v>1</v>
      </c>
    </row>
    <row r="42" spans="1:29" ht="15">
      <c r="A42" s="470"/>
      <c r="B42" s="420" t="s">
        <v>2667</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39"/>
      <c r="M42" s="1130"/>
      <c r="N42" s="1130"/>
      <c r="O42" s="1130"/>
      <c r="P42" s="3683"/>
      <c r="Q42" s="1809" t="str">
        <f t="shared" si="11"/>
        <v>内部装修</v>
      </c>
      <c r="R42" s="771" t="s">
        <v>17</v>
      </c>
      <c r="S42" s="772">
        <f t="shared" si="12"/>
        <v>100</v>
      </c>
      <c r="T42" s="771" t="s">
        <v>17</v>
      </c>
      <c r="U42" s="772">
        <f t="shared" si="13"/>
        <v>100</v>
      </c>
      <c r="V42" s="771" t="s">
        <v>17</v>
      </c>
      <c r="W42" s="772">
        <f t="shared" si="14"/>
        <v>100</v>
      </c>
      <c r="X42" s="1812"/>
      <c r="Y42" s="3548"/>
      <c r="Z42" s="1813" t="str">
        <f t="shared" si="15"/>
        <v>内部装修</v>
      </c>
      <c r="AA42" s="1810">
        <f t="shared" si="3"/>
        <v>1</v>
      </c>
      <c r="AB42" s="1810">
        <f t="shared" si="4"/>
        <v>1</v>
      </c>
      <c r="AC42" s="1810">
        <f t="shared" si="5"/>
        <v>1</v>
      </c>
    </row>
    <row r="43" spans="1:29" ht="28.8">
      <c r="A43" s="470"/>
      <c r="B43" s="420" t="s">
        <v>2575</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39"/>
      <c r="M43" s="1130"/>
      <c r="N43" s="1130"/>
      <c r="O43" s="1130"/>
      <c r="P43" s="3683"/>
      <c r="Q43" s="1809" t="str">
        <f t="shared" si="11"/>
        <v>内部装修维护情况</v>
      </c>
      <c r="R43" s="771" t="s">
        <v>17</v>
      </c>
      <c r="S43" s="772">
        <f t="shared" si="12"/>
        <v>100</v>
      </c>
      <c r="T43" s="771" t="s">
        <v>17</v>
      </c>
      <c r="U43" s="772">
        <f t="shared" si="13"/>
        <v>100</v>
      </c>
      <c r="V43" s="771" t="s">
        <v>17</v>
      </c>
      <c r="W43" s="772">
        <f t="shared" si="14"/>
        <v>100</v>
      </c>
      <c r="X43" s="1812"/>
      <c r="Y43" s="3548"/>
      <c r="Z43" s="1813" t="str">
        <f t="shared" si="15"/>
        <v>内部装修维护情况</v>
      </c>
      <c r="AA43" s="1810">
        <f t="shared" si="3"/>
        <v>1</v>
      </c>
      <c r="AB43" s="1810">
        <f t="shared" si="4"/>
        <v>1</v>
      </c>
      <c r="AC43" s="1810">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1"/>
      <c r="M44" s="1132"/>
      <c r="N44" s="1132"/>
      <c r="O44" s="1132"/>
      <c r="P44" s="3683"/>
      <c r="Q44" s="1794">
        <f t="shared" si="11"/>
        <v>111</v>
      </c>
      <c r="R44" s="767" t="s">
        <v>17</v>
      </c>
      <c r="S44" s="768">
        <f t="shared" si="12"/>
        <v>100</v>
      </c>
      <c r="T44" s="767" t="s">
        <v>17</v>
      </c>
      <c r="U44" s="768">
        <f t="shared" si="13"/>
        <v>100</v>
      </c>
      <c r="V44" s="767" t="s">
        <v>17</v>
      </c>
      <c r="W44" s="768">
        <f t="shared" si="14"/>
        <v>100</v>
      </c>
      <c r="X44" s="769"/>
      <c r="Y44" s="3548"/>
      <c r="Z44" s="54">
        <f t="shared" si="15"/>
        <v>111</v>
      </c>
      <c r="AA44" s="770">
        <f t="shared" si="3"/>
        <v>1</v>
      </c>
      <c r="AB44" s="770">
        <f t="shared" si="4"/>
        <v>1</v>
      </c>
      <c r="AC44" s="770">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9"/>
      <c r="M45" s="1130"/>
      <c r="N45" s="1130"/>
      <c r="O45" s="1130"/>
      <c r="P45" s="3683"/>
      <c r="Q45" s="1809">
        <f t="shared" si="11"/>
        <v>111</v>
      </c>
      <c r="R45" s="771" t="s">
        <v>17</v>
      </c>
      <c r="S45" s="772">
        <f t="shared" si="12"/>
        <v>100</v>
      </c>
      <c r="T45" s="771" t="s">
        <v>17</v>
      </c>
      <c r="U45" s="772">
        <f t="shared" si="13"/>
        <v>100</v>
      </c>
      <c r="V45" s="771" t="s">
        <v>17</v>
      </c>
      <c r="W45" s="772">
        <f t="shared" si="14"/>
        <v>100</v>
      </c>
      <c r="X45" s="1812"/>
      <c r="Y45" s="3548"/>
      <c r="Z45" s="1813">
        <f t="shared" si="15"/>
        <v>111</v>
      </c>
      <c r="AA45" s="1810">
        <f t="shared" si="3"/>
        <v>1</v>
      </c>
      <c r="AB45" s="1810">
        <f t="shared" si="4"/>
        <v>1</v>
      </c>
      <c r="AC45" s="1810">
        <f t="shared" si="5"/>
        <v>1</v>
      </c>
    </row>
    <row r="46" spans="1:29" ht="15.6"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9"/>
      <c r="M46" s="1130"/>
      <c r="N46" s="1130"/>
      <c r="O46" s="1130"/>
      <c r="P46" s="3684"/>
      <c r="Q46" s="1809">
        <f t="shared" si="11"/>
        <v>111</v>
      </c>
      <c r="R46" s="771" t="s">
        <v>17</v>
      </c>
      <c r="S46" s="772">
        <f t="shared" si="12"/>
        <v>100</v>
      </c>
      <c r="T46" s="771" t="s">
        <v>17</v>
      </c>
      <c r="U46" s="772">
        <f t="shared" si="13"/>
        <v>100</v>
      </c>
      <c r="V46" s="771" t="s">
        <v>17</v>
      </c>
      <c r="W46" s="772">
        <f t="shared" si="14"/>
        <v>100</v>
      </c>
      <c r="X46" s="1812"/>
      <c r="Y46" s="3549"/>
      <c r="Z46" s="1813">
        <f t="shared" si="15"/>
        <v>111</v>
      </c>
      <c r="AA46" s="1810">
        <f t="shared" si="3"/>
        <v>1</v>
      </c>
      <c r="AB46" s="1810">
        <f t="shared" si="4"/>
        <v>1</v>
      </c>
      <c r="AC46" s="1810">
        <f t="shared" si="5"/>
        <v>1</v>
      </c>
    </row>
    <row r="47" spans="1:29" ht="14.4">
      <c r="A47" s="477" t="s">
        <v>2576</v>
      </c>
      <c r="B47" s="478"/>
      <c r="C47" s="1406" t="s">
        <v>1</v>
      </c>
      <c r="D47" s="1407"/>
      <c r="E47" s="1408"/>
      <c r="F47" s="1409"/>
      <c r="G47" s="1410"/>
      <c r="H47" s="1411"/>
      <c r="I47" s="1408"/>
      <c r="J47" s="1411"/>
      <c r="K47" s="780"/>
      <c r="L47" s="1142"/>
      <c r="M47" s="1143"/>
      <c r="N47" s="1130"/>
      <c r="O47" s="1143"/>
      <c r="P47" s="3540" t="str">
        <f>A47</f>
        <v>成交单价（元/平方米）</v>
      </c>
      <c r="Q47" s="3540"/>
      <c r="R47" s="3569">
        <f>E47</f>
        <v>0</v>
      </c>
      <c r="S47" s="3569"/>
      <c r="T47" s="3569">
        <f>G47</f>
        <v>0</v>
      </c>
      <c r="U47" s="3569"/>
      <c r="V47" s="3569">
        <f>I47</f>
        <v>0</v>
      </c>
      <c r="W47" s="3569"/>
      <c r="X47" s="756"/>
      <c r="Y47" s="778"/>
      <c r="Z47" s="756"/>
      <c r="AA47" s="756"/>
      <c r="AB47" s="756"/>
      <c r="AC47" s="756"/>
    </row>
    <row r="48" spans="1:29" ht="15" thickBot="1">
      <c r="A48" s="484" t="s">
        <v>2668</v>
      </c>
      <c r="B48" s="485"/>
      <c r="C48" s="1412" t="e">
        <f>R49</f>
        <v>#DIV/0!</v>
      </c>
      <c r="D48" s="1413"/>
      <c r="E48" s="1414" t="e">
        <f>R48</f>
        <v>#DIV/0!</v>
      </c>
      <c r="F48" s="1414"/>
      <c r="G48" s="1412" t="e">
        <f>T48</f>
        <v>#DIV/0!</v>
      </c>
      <c r="H48" s="1413"/>
      <c r="I48" s="1414" t="e">
        <f>V48</f>
        <v>#DIV/0!</v>
      </c>
      <c r="J48" s="1413"/>
      <c r="K48" s="781"/>
      <c r="L48" s="1142"/>
      <c r="M48" s="1143"/>
      <c r="N48" s="1130"/>
      <c r="O48" s="1143"/>
      <c r="P48" s="3540" t="str">
        <f>A48</f>
        <v>比较价值（元/平方米）</v>
      </c>
      <c r="Q48" s="3540"/>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756"/>
      <c r="Y48" s="756"/>
      <c r="Z48" s="756"/>
      <c r="AA48" s="756"/>
      <c r="AB48" s="756"/>
      <c r="AC48" s="756"/>
    </row>
    <row r="49" spans="1:29" ht="15" thickBot="1">
      <c r="A49" s="490" t="s">
        <v>2669</v>
      </c>
      <c r="B49" s="491"/>
      <c r="C49" s="1416" t="e">
        <f>R49</f>
        <v>#DIV/0!</v>
      </c>
      <c r="D49" s="1416"/>
      <c r="E49" s="1416"/>
      <c r="F49" s="1416"/>
      <c r="G49" s="1416"/>
      <c r="H49" s="1416"/>
      <c r="I49" s="1416"/>
      <c r="J49" s="1416"/>
      <c r="K49" s="782"/>
      <c r="L49" s="1142"/>
      <c r="M49" s="1143"/>
      <c r="N49" s="1130"/>
      <c r="O49" s="1143"/>
      <c r="P49" s="3542" t="str">
        <f>A49</f>
        <v>估价对象XX用房的比较价值（楼面单价，元/平方米）</v>
      </c>
      <c r="Q49" s="3543"/>
      <c r="R49" s="3544" t="e">
        <f>IF(F1="售价",ROUND(AVERAGE(R48:V48),0),ROUND(AVERAGE(R48:V48),1))</f>
        <v>#DIV/0!</v>
      </c>
      <c r="S49" s="3544"/>
      <c r="T49" s="3544"/>
      <c r="U49" s="3544"/>
      <c r="V49" s="3544"/>
      <c r="W49" s="3544"/>
      <c r="X49" s="756"/>
      <c r="Y49" s="756"/>
      <c r="Z49" s="756"/>
      <c r="AA49" s="756"/>
      <c r="AB49" s="756"/>
      <c r="AC49" s="756"/>
    </row>
    <row r="50" spans="1:29">
      <c r="A50" s="1143"/>
      <c r="B50" s="1143"/>
      <c r="C50" s="1143"/>
      <c r="D50" s="1143"/>
      <c r="E50" s="1143"/>
      <c r="F50" s="1143"/>
      <c r="G50" s="1146"/>
      <c r="H50" s="1143"/>
      <c r="I50" s="1143"/>
      <c r="J50" s="1143"/>
      <c r="K50" s="1104"/>
      <c r="L50" s="1105"/>
      <c r="M50" s="1143"/>
      <c r="N50" s="1143"/>
      <c r="O50" s="1143"/>
      <c r="P50" s="673"/>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4"/>
      <c r="L51" s="1105"/>
      <c r="M51" s="1143"/>
      <c r="N51" s="1143"/>
      <c r="O51" s="1143"/>
      <c r="P51" s="673"/>
      <c r="Q51" s="756"/>
      <c r="R51" s="756"/>
      <c r="S51" s="756"/>
      <c r="T51" s="756"/>
      <c r="U51" s="756"/>
      <c r="V51" s="756"/>
      <c r="W51" s="756"/>
      <c r="X51" s="756"/>
      <c r="Y51" s="756"/>
      <c r="Z51" s="756"/>
      <c r="AA51" s="756"/>
      <c r="AB51" s="756"/>
      <c r="AC51" s="756"/>
    </row>
    <row r="52" spans="1:29" ht="13.5" customHeight="1">
      <c r="A52" s="1143"/>
      <c r="B52" s="1143"/>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4"/>
      <c r="L52" s="1105"/>
      <c r="M52" s="1143"/>
      <c r="N52" s="1143"/>
      <c r="O52" s="1143"/>
      <c r="P52" s="673"/>
      <c r="Q52" s="756"/>
      <c r="R52" s="756"/>
      <c r="S52" s="756"/>
      <c r="T52" s="756"/>
      <c r="U52" s="756"/>
      <c r="V52" s="756"/>
      <c r="W52" s="756"/>
      <c r="X52" s="756"/>
      <c r="Y52" s="756"/>
      <c r="Z52" s="756"/>
      <c r="AA52" s="756"/>
      <c r="AB52" s="756"/>
      <c r="AC52" s="756"/>
    </row>
    <row r="53" spans="1:29" ht="13.5" customHeight="1">
      <c r="A53" s="1143"/>
      <c r="B53" s="1143"/>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4"/>
      <c r="L53" s="1105"/>
      <c r="M53" s="1143"/>
      <c r="N53" s="1143"/>
      <c r="O53" s="1143"/>
      <c r="P53" s="673"/>
      <c r="Q53" s="756"/>
      <c r="R53" s="756"/>
      <c r="S53" s="756"/>
      <c r="T53" s="756"/>
      <c r="U53" s="756"/>
      <c r="V53" s="756"/>
      <c r="W53" s="756"/>
      <c r="X53" s="756"/>
      <c r="Y53" s="756"/>
      <c r="Z53" s="756"/>
      <c r="AA53" s="756"/>
      <c r="AB53" s="756"/>
      <c r="AC53" s="756"/>
    </row>
    <row r="54" spans="1:29" s="500" customFormat="1" ht="13.5" customHeight="1">
      <c r="A54" s="1144"/>
      <c r="B54" s="1144"/>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7"/>
      <c r="L54" s="1148"/>
      <c r="M54" s="1144"/>
      <c r="N54" s="1144"/>
      <c r="O54" s="1144"/>
      <c r="P54" s="2664"/>
      <c r="Q54" s="757"/>
      <c r="R54" s="757"/>
      <c r="S54" s="757"/>
      <c r="T54" s="757"/>
      <c r="U54" s="757"/>
      <c r="V54" s="757"/>
      <c r="W54" s="757"/>
      <c r="X54" s="757"/>
      <c r="Y54" s="757"/>
      <c r="Z54" s="757"/>
      <c r="AA54" s="757"/>
      <c r="AB54" s="757"/>
      <c r="AC54" s="757"/>
    </row>
    <row r="55" spans="1:29" s="500" customFormat="1">
      <c r="A55" s="1144"/>
      <c r="B55" s="1145"/>
      <c r="C55" s="1149"/>
      <c r="D55" s="1144"/>
      <c r="E55" s="1144"/>
      <c r="F55" s="1144"/>
      <c r="G55" s="1144"/>
      <c r="H55" s="1144"/>
      <c r="I55" s="1144"/>
      <c r="J55" s="1144"/>
      <c r="K55" s="1147"/>
      <c r="L55" s="1148"/>
      <c r="M55" s="1144"/>
      <c r="N55" s="1144"/>
      <c r="O55" s="1144"/>
      <c r="P55" s="2664"/>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4"/>
      <c r="L56" s="1105"/>
      <c r="M56" s="1143"/>
      <c r="N56" s="1143"/>
      <c r="O56" s="1143"/>
      <c r="P56" s="673"/>
      <c r="Q56" s="756"/>
      <c r="R56" s="756"/>
      <c r="S56" s="756"/>
      <c r="T56" s="756"/>
      <c r="U56" s="756"/>
      <c r="V56" s="756"/>
      <c r="W56" s="756"/>
      <c r="X56" s="756"/>
      <c r="Y56" s="756"/>
      <c r="Z56" s="756"/>
      <c r="AA56" s="756"/>
      <c r="AB56" s="756"/>
      <c r="AC56" s="756"/>
    </row>
    <row r="57" spans="1:29" ht="22.2" thickBot="1">
      <c r="A57" s="760" t="s">
        <v>2673</v>
      </c>
      <c r="B57" s="756"/>
      <c r="C57" s="761"/>
      <c r="D57" s="761"/>
      <c r="E57" s="761"/>
      <c r="F57" s="762"/>
      <c r="G57" s="762"/>
      <c r="H57" s="761"/>
      <c r="I57" s="761"/>
      <c r="J57" s="761"/>
      <c r="K57" s="763"/>
      <c r="L57" s="1160"/>
      <c r="M57" s="1158"/>
      <c r="N57" s="1158"/>
      <c r="O57" s="1158"/>
      <c r="P57" s="2665"/>
      <c r="Q57" s="2666"/>
      <c r="R57" s="756"/>
      <c r="S57" s="756"/>
      <c r="T57" s="756"/>
      <c r="U57" s="756"/>
      <c r="V57" s="756"/>
      <c r="W57" s="756"/>
      <c r="X57" s="756"/>
      <c r="Y57" s="756"/>
      <c r="Z57" s="756"/>
      <c r="AA57" s="756"/>
      <c r="AB57" s="756"/>
      <c r="AC57" s="756"/>
    </row>
    <row r="58" spans="1:29" s="506" customFormat="1" ht="14.4">
      <c r="A58" s="503" t="s">
        <v>2547</v>
      </c>
      <c r="B58" s="504"/>
      <c r="C58" s="1573" t="str">
        <f>YEAR(C7)&amp;"-"&amp;MONTH(C7)</f>
        <v>2018-11</v>
      </c>
      <c r="D58" s="1574">
        <f>EDATE(C58,-1)</f>
        <v>43374</v>
      </c>
      <c r="E58" s="1574">
        <f t="shared" ref="E58:N58" si="16">EDATE(D58,-1)</f>
        <v>43344</v>
      </c>
      <c r="F58" s="1574">
        <f t="shared" si="16"/>
        <v>43313</v>
      </c>
      <c r="G58" s="1574">
        <f t="shared" si="16"/>
        <v>43282</v>
      </c>
      <c r="H58" s="1574">
        <f t="shared" si="16"/>
        <v>43252</v>
      </c>
      <c r="I58" s="1574">
        <f t="shared" si="16"/>
        <v>43221</v>
      </c>
      <c r="J58" s="1574">
        <f t="shared" si="16"/>
        <v>43191</v>
      </c>
      <c r="K58" s="1574">
        <f t="shared" si="16"/>
        <v>43160</v>
      </c>
      <c r="L58" s="1574">
        <f t="shared" si="16"/>
        <v>43132</v>
      </c>
      <c r="M58" s="1574">
        <f t="shared" si="16"/>
        <v>43101</v>
      </c>
      <c r="N58" s="1574">
        <f t="shared" si="16"/>
        <v>43070</v>
      </c>
      <c r="O58" s="1574">
        <f>EDATE(N58,-1)</f>
        <v>43040</v>
      </c>
      <c r="P58" s="1569"/>
    </row>
    <row r="59" spans="1:29" s="115" customFormat="1">
      <c r="A59" s="507"/>
      <c r="B59" s="508"/>
      <c r="C59" s="1572">
        <v>100</v>
      </c>
      <c r="D59" s="510"/>
      <c r="E59" s="510"/>
      <c r="F59" s="510"/>
      <c r="G59" s="510"/>
      <c r="H59" s="510"/>
      <c r="I59" s="510"/>
      <c r="J59" s="510"/>
      <c r="K59" s="510"/>
      <c r="L59" s="510"/>
      <c r="M59" s="511"/>
      <c r="N59" s="510"/>
      <c r="O59" s="511"/>
      <c r="P59" s="2626"/>
    </row>
    <row r="60" spans="1:29" s="115" customFormat="1" ht="15" thickBot="1">
      <c r="A60" s="513" t="s">
        <v>2584</v>
      </c>
      <c r="B60" s="514"/>
      <c r="C60" s="515"/>
      <c r="D60" s="516"/>
      <c r="E60" s="516"/>
      <c r="F60" s="516"/>
      <c r="G60" s="516"/>
      <c r="H60" s="516"/>
      <c r="I60" s="516"/>
      <c r="J60" s="516"/>
      <c r="K60" s="516"/>
      <c r="L60" s="516"/>
      <c r="M60" s="517"/>
      <c r="N60" s="516"/>
      <c r="O60" s="517"/>
      <c r="P60" s="2626"/>
      <c r="Q60" s="502"/>
    </row>
    <row r="61" spans="1:29" s="115" customFormat="1" ht="14.4">
      <c r="A61" s="519" t="s">
        <v>2549</v>
      </c>
      <c r="B61" s="508"/>
      <c r="C61" s="520" t="s">
        <v>2651</v>
      </c>
      <c r="D61" s="521"/>
      <c r="E61" s="521"/>
      <c r="F61" s="521"/>
      <c r="G61" s="521"/>
      <c r="H61" s="521"/>
      <c r="I61" s="521"/>
      <c r="J61" s="521"/>
      <c r="K61" s="521"/>
      <c r="L61" s="522"/>
      <c r="M61" s="523"/>
      <c r="N61" s="1150"/>
      <c r="O61" s="1150"/>
      <c r="P61" s="2627"/>
      <c r="Q61" s="502"/>
    </row>
    <row r="62" spans="1:29" s="115" customFormat="1" ht="14.4" thickBot="1">
      <c r="A62" s="519"/>
      <c r="B62" s="508"/>
      <c r="C62" s="509">
        <v>100</v>
      </c>
      <c r="D62" s="510"/>
      <c r="E62" s="510"/>
      <c r="F62" s="510"/>
      <c r="G62" s="510"/>
      <c r="H62" s="510"/>
      <c r="I62" s="510"/>
      <c r="J62" s="510"/>
      <c r="K62" s="510"/>
      <c r="L62" s="510"/>
      <c r="M62" s="512"/>
      <c r="N62" s="1150"/>
      <c r="O62" s="1150"/>
      <c r="P62" s="2626"/>
      <c r="Q62" s="502"/>
    </row>
    <row r="63" spans="1:29" ht="14.4">
      <c r="A63" s="525" t="s">
        <v>2587</v>
      </c>
      <c r="B63" s="526" t="s">
        <v>2553</v>
      </c>
      <c r="C63" s="527">
        <f>C9</f>
        <v>0</v>
      </c>
      <c r="D63" s="528"/>
      <c r="E63" s="528"/>
      <c r="F63" s="528"/>
      <c r="G63" s="528"/>
      <c r="H63" s="528"/>
      <c r="I63" s="528"/>
      <c r="J63" s="528"/>
      <c r="K63" s="529"/>
      <c r="L63" s="530"/>
      <c r="M63" s="531"/>
      <c r="N63" s="1151"/>
      <c r="O63" s="1151"/>
      <c r="P63" s="2628"/>
      <c r="Q63" s="502"/>
    </row>
    <row r="64" spans="1:29" ht="14.4" thickBot="1">
      <c r="A64" s="532"/>
      <c r="B64" s="533"/>
      <c r="C64" s="534">
        <v>100</v>
      </c>
      <c r="D64" s="534"/>
      <c r="E64" s="534"/>
      <c r="F64" s="534"/>
      <c r="G64" s="534"/>
      <c r="H64" s="534"/>
      <c r="I64" s="534"/>
      <c r="J64" s="534"/>
      <c r="K64" s="534"/>
      <c r="L64" s="534"/>
      <c r="M64" s="535"/>
      <c r="N64" s="1152"/>
      <c r="O64" s="1152"/>
      <c r="P64" s="2628"/>
      <c r="Q64" s="502"/>
    </row>
    <row r="65" spans="1:17" ht="29.4" thickTop="1">
      <c r="A65" s="532"/>
      <c r="B65" s="536" t="s">
        <v>2556</v>
      </c>
      <c r="C65" s="537" t="s">
        <v>2588</v>
      </c>
      <c r="D65" s="537" t="s">
        <v>2589</v>
      </c>
      <c r="E65" s="537" t="s">
        <v>2590</v>
      </c>
      <c r="F65" s="537" t="s">
        <v>2591</v>
      </c>
      <c r="G65" s="537" t="s">
        <v>2592</v>
      </c>
      <c r="H65" s="537" t="s">
        <v>2593</v>
      </c>
      <c r="I65" s="537" t="s">
        <v>2594</v>
      </c>
      <c r="J65" s="537"/>
      <c r="K65" s="538"/>
      <c r="L65" s="539"/>
      <c r="M65" s="540"/>
      <c r="N65" s="1151"/>
      <c r="O65" s="1151"/>
      <c r="P65" s="2628"/>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2"/>
      <c r="O66" s="1152"/>
      <c r="P66" s="2628"/>
      <c r="Q66" s="502"/>
    </row>
    <row r="67" spans="1:17" ht="1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2"/>
      <c r="O67" s="1152"/>
      <c r="P67" s="2628"/>
      <c r="Q67" s="502"/>
    </row>
    <row r="68" spans="1:17">
      <c r="A68" s="532"/>
      <c r="B68" s="546"/>
      <c r="C68" s="547"/>
      <c r="D68" s="547"/>
      <c r="E68" s="547"/>
      <c r="F68" s="547"/>
      <c r="G68" s="547"/>
      <c r="H68" s="547"/>
      <c r="I68" s="547"/>
      <c r="J68" s="547"/>
      <c r="K68" s="548"/>
      <c r="L68" s="549"/>
      <c r="M68" s="550"/>
      <c r="N68" s="1151"/>
      <c r="O68" s="1151"/>
      <c r="P68" s="2628"/>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2"/>
      <c r="O69" s="1152"/>
      <c r="P69" s="2628"/>
      <c r="Q69" s="502"/>
    </row>
    <row r="70" spans="1:17" s="469" customFormat="1" ht="14.4" thickTop="1">
      <c r="A70" s="551"/>
      <c r="B70" s="536">
        <f>B12</f>
        <v>111</v>
      </c>
      <c r="C70" s="552"/>
      <c r="D70" s="552"/>
      <c r="E70" s="552"/>
      <c r="F70" s="552"/>
      <c r="G70" s="552"/>
      <c r="H70" s="553"/>
      <c r="I70" s="553"/>
      <c r="J70" s="553"/>
      <c r="K70" s="553"/>
      <c r="L70" s="554"/>
      <c r="M70" s="555"/>
      <c r="N70" s="1153"/>
      <c r="O70" s="1153"/>
      <c r="P70" s="2629"/>
      <c r="Q70" s="557"/>
    </row>
    <row r="71" spans="1:17" s="469" customFormat="1" ht="14.4" thickBot="1">
      <c r="A71" s="551"/>
      <c r="B71" s="541"/>
      <c r="C71" s="558"/>
      <c r="D71" s="534"/>
      <c r="E71" s="534"/>
      <c r="F71" s="534"/>
      <c r="G71" s="534"/>
      <c r="H71" s="534"/>
      <c r="I71" s="534"/>
      <c r="J71" s="534"/>
      <c r="K71" s="534"/>
      <c r="L71" s="534"/>
      <c r="M71" s="535"/>
      <c r="N71" s="1152"/>
      <c r="O71" s="1152"/>
      <c r="P71" s="2629"/>
      <c r="Q71" s="557"/>
    </row>
    <row r="72" spans="1:17" s="469" customFormat="1" ht="14.4" thickTop="1">
      <c r="A72" s="551"/>
      <c r="B72" s="536">
        <f>B13</f>
        <v>111</v>
      </c>
      <c r="C72" s="552"/>
      <c r="D72" s="552"/>
      <c r="E72" s="552"/>
      <c r="F72" s="552"/>
      <c r="G72" s="552"/>
      <c r="H72" s="553"/>
      <c r="I72" s="553"/>
      <c r="J72" s="553"/>
      <c r="K72" s="553"/>
      <c r="L72" s="554"/>
      <c r="M72" s="555"/>
      <c r="N72" s="1153"/>
      <c r="O72" s="1153"/>
      <c r="P72" s="2630"/>
      <c r="Q72" s="559"/>
    </row>
    <row r="73" spans="1:17" s="469" customFormat="1" ht="14.4" thickBot="1">
      <c r="A73" s="551"/>
      <c r="B73" s="541"/>
      <c r="C73" s="558"/>
      <c r="D73" s="534"/>
      <c r="E73" s="534"/>
      <c r="F73" s="534"/>
      <c r="G73" s="558"/>
      <c r="H73" s="560"/>
      <c r="I73" s="560"/>
      <c r="J73" s="560"/>
      <c r="K73" s="560"/>
      <c r="L73" s="560"/>
      <c r="M73" s="561"/>
      <c r="N73" s="1153"/>
      <c r="O73" s="1153"/>
      <c r="P73" s="2629"/>
      <c r="Q73" s="557"/>
    </row>
    <row r="74" spans="1:17" s="469" customFormat="1" ht="14.4" thickTop="1">
      <c r="A74" s="551"/>
      <c r="B74" s="544">
        <f>B14</f>
        <v>111</v>
      </c>
      <c r="C74" s="552"/>
      <c r="D74" s="552"/>
      <c r="E74" s="552"/>
      <c r="F74" s="552"/>
      <c r="G74" s="521"/>
      <c r="H74" s="562"/>
      <c r="I74" s="562"/>
      <c r="J74" s="562"/>
      <c r="K74" s="562"/>
      <c r="L74" s="563"/>
      <c r="M74" s="564"/>
      <c r="N74" s="1153"/>
      <c r="O74" s="1153"/>
      <c r="P74" s="2631"/>
      <c r="Q74" s="557"/>
    </row>
    <row r="75" spans="1:17" s="469" customFormat="1" ht="14.4" thickBot="1">
      <c r="A75" s="566"/>
      <c r="B75" s="567"/>
      <c r="C75" s="568"/>
      <c r="D75" s="568"/>
      <c r="E75" s="568"/>
      <c r="F75" s="568"/>
      <c r="G75" s="568"/>
      <c r="H75" s="569"/>
      <c r="I75" s="569"/>
      <c r="J75" s="569"/>
      <c r="K75" s="569"/>
      <c r="L75" s="569"/>
      <c r="M75" s="570"/>
      <c r="N75" s="1153"/>
      <c r="O75" s="1153"/>
      <c r="P75" s="2629"/>
      <c r="Q75" s="557"/>
    </row>
    <row r="76" spans="1:17" ht="14.4">
      <c r="A76" s="525" t="s">
        <v>2558</v>
      </c>
      <c r="B76" s="526" t="s">
        <v>2595</v>
      </c>
      <c r="C76" s="571" t="s">
        <v>2596</v>
      </c>
      <c r="D76" s="571" t="s">
        <v>2597</v>
      </c>
      <c r="E76" s="571" t="s">
        <v>2598</v>
      </c>
      <c r="F76" s="571" t="s">
        <v>2599</v>
      </c>
      <c r="G76" s="571" t="s">
        <v>2600</v>
      </c>
      <c r="H76" s="527"/>
      <c r="I76" s="527"/>
      <c r="J76" s="527"/>
      <c r="K76" s="572"/>
      <c r="L76" s="573"/>
      <c r="M76" s="574"/>
      <c r="N76" s="1151"/>
      <c r="O76" s="1151"/>
      <c r="P76" s="2632"/>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2"/>
      <c r="O77" s="1152"/>
      <c r="P77" s="2628"/>
      <c r="Q77" s="502"/>
    </row>
    <row r="78" spans="1:17" ht="15" thickTop="1">
      <c r="A78" s="532"/>
      <c r="B78" s="536" t="s">
        <v>2601</v>
      </c>
      <c r="C78" s="576" t="s">
        <v>2596</v>
      </c>
      <c r="D78" s="576" t="s">
        <v>2597</v>
      </c>
      <c r="E78" s="576" t="s">
        <v>2598</v>
      </c>
      <c r="F78" s="576" t="s">
        <v>2599</v>
      </c>
      <c r="G78" s="576" t="s">
        <v>2600</v>
      </c>
      <c r="H78" s="537"/>
      <c r="I78" s="537"/>
      <c r="J78" s="537"/>
      <c r="K78" s="538"/>
      <c r="L78" s="539"/>
      <c r="M78" s="540"/>
      <c r="N78" s="1151"/>
      <c r="O78" s="1151"/>
      <c r="P78" s="2628"/>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2"/>
      <c r="O79" s="1152"/>
      <c r="P79" s="2628"/>
      <c r="Q79" s="502"/>
    </row>
    <row r="80" spans="1:17" ht="15" thickTop="1">
      <c r="A80" s="532"/>
      <c r="B80" s="536" t="s">
        <v>2602</v>
      </c>
      <c r="C80" s="576" t="s">
        <v>2596</v>
      </c>
      <c r="D80" s="576" t="s">
        <v>2597</v>
      </c>
      <c r="E80" s="576" t="s">
        <v>2598</v>
      </c>
      <c r="F80" s="576" t="s">
        <v>2599</v>
      </c>
      <c r="G80" s="576" t="s">
        <v>2600</v>
      </c>
      <c r="H80" s="537"/>
      <c r="I80" s="537"/>
      <c r="J80" s="537"/>
      <c r="K80" s="538"/>
      <c r="L80" s="539"/>
      <c r="M80" s="540"/>
      <c r="N80" s="1151"/>
      <c r="O80" s="1151"/>
      <c r="P80" s="2628"/>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2"/>
      <c r="O81" s="1152"/>
      <c r="P81" s="2628"/>
      <c r="Q81" s="502"/>
    </row>
    <row r="82" spans="1:17" ht="15" thickTop="1">
      <c r="A82" s="532"/>
      <c r="B82" s="544" t="s">
        <v>2654</v>
      </c>
      <c r="C82" s="658" t="s">
        <v>2674</v>
      </c>
      <c r="D82" s="658" t="s">
        <v>2675</v>
      </c>
      <c r="E82" s="658" t="s">
        <v>2676</v>
      </c>
      <c r="F82" s="658" t="s">
        <v>2677</v>
      </c>
      <c r="G82" s="658" t="s">
        <v>2678</v>
      </c>
      <c r="H82" s="537"/>
      <c r="I82" s="537"/>
      <c r="J82" s="537"/>
      <c r="K82" s="537"/>
      <c r="L82" s="537"/>
      <c r="M82" s="1381"/>
      <c r="N82" s="1152"/>
      <c r="O82" s="1152"/>
      <c r="P82" s="2628"/>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2"/>
      <c r="O83" s="1152"/>
      <c r="P83" s="2628"/>
      <c r="Q83" s="502"/>
    </row>
    <row r="84" spans="1:17" ht="15" thickTop="1">
      <c r="A84" s="532"/>
      <c r="B84" s="536" t="s">
        <v>2608</v>
      </c>
      <c r="C84" s="576" t="s">
        <v>2596</v>
      </c>
      <c r="D84" s="576" t="s">
        <v>2597</v>
      </c>
      <c r="E84" s="576" t="s">
        <v>2598</v>
      </c>
      <c r="F84" s="576" t="s">
        <v>2599</v>
      </c>
      <c r="G84" s="576" t="s">
        <v>2600</v>
      </c>
      <c r="H84" s="537"/>
      <c r="I84" s="537"/>
      <c r="J84" s="537"/>
      <c r="K84" s="538"/>
      <c r="L84" s="539"/>
      <c r="M84" s="540"/>
      <c r="N84" s="1151"/>
      <c r="O84" s="1151"/>
      <c r="P84" s="2628"/>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2"/>
      <c r="O85" s="1152"/>
      <c r="P85" s="2628"/>
      <c r="Q85" s="502"/>
    </row>
    <row r="86" spans="1:17" s="115" customFormat="1" ht="15" thickTop="1">
      <c r="A86" s="577"/>
      <c r="B86" s="536" t="s">
        <v>2679</v>
      </c>
      <c r="C86" s="552"/>
      <c r="D86" s="552"/>
      <c r="E86" s="552"/>
      <c r="F86" s="552"/>
      <c r="G86" s="552"/>
      <c r="H86" s="552"/>
      <c r="I86" s="552"/>
      <c r="J86" s="552"/>
      <c r="K86" s="552"/>
      <c r="L86" s="578"/>
      <c r="M86" s="579"/>
      <c r="N86" s="1150"/>
      <c r="O86" s="1150"/>
      <c r="P86" s="2628"/>
      <c r="Q86" s="502"/>
    </row>
    <row r="87" spans="1:17" s="115"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2"/>
      <c r="O87" s="1152"/>
      <c r="P87" s="2628"/>
      <c r="Q87" s="502"/>
    </row>
    <row r="88" spans="1:17" s="115" customFormat="1" ht="14.4" thickTop="1">
      <c r="A88" s="577"/>
      <c r="B88" s="536" t="str">
        <f>B26</f>
        <v>平面位置/可视性</v>
      </c>
      <c r="C88" s="552"/>
      <c r="D88" s="552"/>
      <c r="E88" s="552"/>
      <c r="F88" s="2633"/>
      <c r="G88" s="552"/>
      <c r="H88" s="552"/>
      <c r="I88" s="552"/>
      <c r="J88" s="552"/>
      <c r="K88" s="552"/>
      <c r="L88" s="552"/>
      <c r="M88" s="579"/>
      <c r="N88" s="1150"/>
      <c r="O88" s="1150"/>
      <c r="P88" s="2628"/>
      <c r="Q88" s="502"/>
    </row>
    <row r="89" spans="1:17" s="115" customFormat="1" ht="14.4" thickBot="1">
      <c r="A89" s="577"/>
      <c r="B89" s="541"/>
      <c r="C89" s="558"/>
      <c r="D89" s="534"/>
      <c r="E89" s="534"/>
      <c r="F89" s="534"/>
      <c r="G89" s="534"/>
      <c r="H89" s="534"/>
      <c r="I89" s="534"/>
      <c r="J89" s="534"/>
      <c r="K89" s="534"/>
      <c r="L89" s="534"/>
      <c r="M89" s="534"/>
      <c r="N89" s="1152"/>
      <c r="O89" s="1152"/>
      <c r="P89" s="2628"/>
      <c r="Q89" s="502"/>
    </row>
    <row r="90" spans="1:17" s="469" customFormat="1" ht="14.4" thickTop="1">
      <c r="A90" s="551"/>
      <c r="B90" s="536" t="str">
        <f>B27</f>
        <v>人流量</v>
      </c>
      <c r="C90" s="552"/>
      <c r="D90" s="552"/>
      <c r="E90" s="552"/>
      <c r="F90" s="552"/>
      <c r="G90" s="552"/>
      <c r="H90" s="553"/>
      <c r="I90" s="553"/>
      <c r="J90" s="553"/>
      <c r="K90" s="553"/>
      <c r="L90" s="554"/>
      <c r="M90" s="555"/>
      <c r="N90" s="1153"/>
      <c r="O90" s="1153"/>
      <c r="P90" s="2629"/>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3"/>
      <c r="O91" s="1153"/>
      <c r="P91" s="2629"/>
      <c r="Q91" s="557"/>
    </row>
    <row r="92" spans="1:17" ht="14.4" thickTop="1">
      <c r="A92" s="532"/>
      <c r="B92" s="536" t="str">
        <f>B28</f>
        <v>楼层</v>
      </c>
      <c r="C92" s="552"/>
      <c r="D92" s="552"/>
      <c r="E92" s="552"/>
      <c r="F92" s="552"/>
      <c r="G92" s="552"/>
      <c r="H92" s="552"/>
      <c r="I92" s="552"/>
      <c r="J92" s="552"/>
      <c r="K92" s="552"/>
      <c r="L92" s="578"/>
      <c r="M92" s="579"/>
      <c r="N92" s="1151"/>
      <c r="O92" s="1151"/>
      <c r="P92" s="2628"/>
      <c r="Q92" s="502"/>
    </row>
    <row r="93" spans="1:17" ht="14.4" thickBot="1">
      <c r="A93" s="532"/>
      <c r="B93" s="541"/>
      <c r="C93" s="534"/>
      <c r="D93" s="534"/>
      <c r="E93" s="534"/>
      <c r="F93" s="534"/>
      <c r="G93" s="534"/>
      <c r="H93" s="534"/>
      <c r="I93" s="534"/>
      <c r="J93" s="534"/>
      <c r="K93" s="534"/>
      <c r="L93" s="534"/>
      <c r="M93" s="535"/>
      <c r="N93" s="1152"/>
      <c r="O93" s="1152"/>
      <c r="P93" s="2628"/>
      <c r="Q93" s="502"/>
    </row>
    <row r="94" spans="1:17" ht="14.4" thickTop="1">
      <c r="A94" s="532"/>
      <c r="B94" s="536">
        <f>B29</f>
        <v>111</v>
      </c>
      <c r="C94" s="552"/>
      <c r="D94" s="552"/>
      <c r="E94" s="552"/>
      <c r="F94" s="552"/>
      <c r="G94" s="581"/>
      <c r="H94" s="581"/>
      <c r="I94" s="581"/>
      <c r="J94" s="581"/>
      <c r="K94" s="582"/>
      <c r="L94" s="583"/>
      <c r="M94" s="584"/>
      <c r="N94" s="1151"/>
      <c r="O94" s="1151"/>
      <c r="P94" s="2628"/>
      <c r="Q94" s="502"/>
    </row>
    <row r="95" spans="1:17" ht="14.4" thickBot="1">
      <c r="A95" s="532"/>
      <c r="B95" s="541"/>
      <c r="C95" s="558"/>
      <c r="D95" s="534"/>
      <c r="E95" s="534"/>
      <c r="F95" s="534"/>
      <c r="G95" s="534"/>
      <c r="H95" s="534"/>
      <c r="I95" s="534"/>
      <c r="J95" s="534"/>
      <c r="K95" s="534"/>
      <c r="L95" s="534"/>
      <c r="M95" s="535"/>
      <c r="N95" s="1152"/>
      <c r="O95" s="1152"/>
      <c r="P95" s="2628"/>
      <c r="Q95" s="502"/>
    </row>
    <row r="96" spans="1:17" ht="14.4" thickTop="1">
      <c r="A96" s="532"/>
      <c r="B96" s="536">
        <f>B30</f>
        <v>111</v>
      </c>
      <c r="C96" s="552"/>
      <c r="D96" s="552"/>
      <c r="E96" s="552"/>
      <c r="F96" s="552"/>
      <c r="G96" s="581"/>
      <c r="H96" s="581"/>
      <c r="I96" s="581"/>
      <c r="J96" s="581"/>
      <c r="K96" s="582"/>
      <c r="L96" s="583"/>
      <c r="M96" s="584"/>
      <c r="N96" s="1151"/>
      <c r="O96" s="1151"/>
      <c r="P96" s="2628"/>
      <c r="Q96" s="502"/>
    </row>
    <row r="97" spans="1:17" ht="14.4" thickBot="1">
      <c r="A97" s="532"/>
      <c r="B97" s="541"/>
      <c r="C97" s="558"/>
      <c r="D97" s="534"/>
      <c r="E97" s="534"/>
      <c r="F97" s="534"/>
      <c r="G97" s="534"/>
      <c r="H97" s="534"/>
      <c r="I97" s="534"/>
      <c r="J97" s="534"/>
      <c r="K97" s="534"/>
      <c r="L97" s="534"/>
      <c r="M97" s="535"/>
      <c r="N97" s="1152"/>
      <c r="O97" s="1152"/>
      <c r="P97" s="2628"/>
      <c r="Q97" s="502"/>
    </row>
    <row r="98" spans="1:17" ht="14.4" thickTop="1">
      <c r="A98" s="532"/>
      <c r="B98" s="544">
        <f>B31</f>
        <v>111</v>
      </c>
      <c r="C98" s="552"/>
      <c r="D98" s="552"/>
      <c r="E98" s="552"/>
      <c r="F98" s="552"/>
      <c r="G98" s="585"/>
      <c r="H98" s="585"/>
      <c r="I98" s="585"/>
      <c r="J98" s="585"/>
      <c r="K98" s="586"/>
      <c r="L98" s="587"/>
      <c r="M98" s="588"/>
      <c r="N98" s="1151"/>
      <c r="O98" s="1151"/>
      <c r="P98" s="2628"/>
      <c r="Q98" s="502"/>
    </row>
    <row r="99" spans="1:17" ht="14.4" thickBot="1">
      <c r="A99" s="2634"/>
      <c r="B99" s="567"/>
      <c r="C99" s="568"/>
      <c r="D99" s="568"/>
      <c r="E99" s="568"/>
      <c r="F99" s="568"/>
      <c r="G99" s="589"/>
      <c r="H99" s="589"/>
      <c r="I99" s="589"/>
      <c r="J99" s="589"/>
      <c r="K99" s="589"/>
      <c r="L99" s="589"/>
      <c r="M99" s="590"/>
      <c r="N99" s="1152"/>
      <c r="O99" s="1152"/>
      <c r="P99" s="2628"/>
      <c r="Q99" s="502"/>
    </row>
    <row r="100" spans="1:17" ht="14.4">
      <c r="A100" s="525" t="s">
        <v>2562</v>
      </c>
      <c r="B100" s="526" t="s">
        <v>2680</v>
      </c>
      <c r="C100" s="528"/>
      <c r="D100" s="528"/>
      <c r="E100" s="528"/>
      <c r="F100" s="528"/>
      <c r="G100" s="528"/>
      <c r="H100" s="528"/>
      <c r="I100" s="528"/>
      <c r="J100" s="528"/>
      <c r="K100" s="529"/>
      <c r="L100" s="530"/>
      <c r="M100" s="531"/>
      <c r="N100" s="1151"/>
      <c r="O100" s="1151"/>
      <c r="P100" s="2628"/>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2"/>
      <c r="O101" s="1152"/>
      <c r="P101" s="2628"/>
      <c r="Q101" s="502"/>
    </row>
    <row r="102" spans="1:17" ht="1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0"/>
      <c r="O102" s="1150"/>
      <c r="P102" s="2628"/>
      <c r="Q102" s="502"/>
    </row>
    <row r="103" spans="1:17" s="469" customFormat="1">
      <c r="A103" s="591"/>
      <c r="B103" s="592"/>
      <c r="C103" s="593"/>
      <c r="D103" s="593"/>
      <c r="E103" s="593"/>
      <c r="F103" s="593"/>
      <c r="G103" s="593"/>
      <c r="H103" s="593"/>
      <c r="I103" s="593"/>
      <c r="J103" s="594"/>
      <c r="K103" s="594"/>
      <c r="L103" s="595"/>
      <c r="M103" s="596"/>
      <c r="N103" s="1153"/>
      <c r="O103" s="1153"/>
      <c r="P103" s="2629"/>
      <c r="Q103" s="557"/>
    </row>
    <row r="104" spans="1:17" s="469" customFormat="1" ht="14.4" thickBot="1">
      <c r="A104" s="551"/>
      <c r="B104" s="541"/>
      <c r="C104" s="558"/>
      <c r="D104" s="534"/>
      <c r="E104" s="534"/>
      <c r="F104" s="534"/>
      <c r="G104" s="534"/>
      <c r="H104" s="534"/>
      <c r="I104" s="534"/>
      <c r="J104" s="534"/>
      <c r="K104" s="534"/>
      <c r="L104" s="534"/>
      <c r="M104" s="535"/>
      <c r="N104" s="1152"/>
      <c r="O104" s="1152"/>
      <c r="P104" s="2629"/>
      <c r="Q104" s="557"/>
    </row>
    <row r="105" spans="1:17" ht="15" thickTop="1">
      <c r="A105" s="597"/>
      <c r="B105" s="536" t="s">
        <v>2613</v>
      </c>
      <c r="C105" s="552"/>
      <c r="D105" s="552"/>
      <c r="E105" s="581"/>
      <c r="F105" s="581"/>
      <c r="G105" s="581"/>
      <c r="H105" s="581"/>
      <c r="I105" s="581"/>
      <c r="J105" s="581"/>
      <c r="K105" s="582"/>
      <c r="L105" s="583"/>
      <c r="M105" s="584"/>
      <c r="N105" s="1151"/>
      <c r="O105" s="1151"/>
      <c r="P105" s="2628"/>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2"/>
      <c r="O106" s="1152"/>
      <c r="P106" s="2628"/>
      <c r="Q106" s="502"/>
    </row>
    <row r="107" spans="1:17" ht="15" thickTop="1">
      <c r="A107" s="597"/>
      <c r="B107" s="536" t="s">
        <v>2615</v>
      </c>
      <c r="C107" s="552"/>
      <c r="D107" s="552"/>
      <c r="E107" s="552"/>
      <c r="F107" s="581"/>
      <c r="G107" s="581"/>
      <c r="H107" s="581"/>
      <c r="I107" s="581"/>
      <c r="J107" s="581"/>
      <c r="K107" s="582"/>
      <c r="L107" s="583"/>
      <c r="M107" s="584"/>
      <c r="N107" s="1151"/>
      <c r="O107" s="1151"/>
      <c r="P107" s="2628"/>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2"/>
      <c r="O108" s="1152"/>
      <c r="P108" s="2628"/>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1"/>
      <c r="O109" s="1151"/>
      <c r="P109" s="2628"/>
      <c r="Q109" s="502"/>
    </row>
    <row r="110" spans="1:17">
      <c r="A110" s="597"/>
      <c r="B110" s="544"/>
      <c r="C110" s="601">
        <v>0.5</v>
      </c>
      <c r="D110" s="601">
        <v>0.6</v>
      </c>
      <c r="E110" s="601">
        <v>0.7</v>
      </c>
      <c r="F110" s="601">
        <v>0.8</v>
      </c>
      <c r="G110" s="601">
        <v>0.9</v>
      </c>
      <c r="H110" s="601">
        <v>1.0001</v>
      </c>
      <c r="I110" s="621"/>
      <c r="J110" s="621"/>
      <c r="K110" s="622"/>
      <c r="L110" s="623"/>
      <c r="M110" s="624"/>
      <c r="N110" s="1151"/>
      <c r="O110" s="1151"/>
      <c r="P110" s="2628"/>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2"/>
      <c r="O111" s="1152"/>
      <c r="P111" s="2628"/>
      <c r="Q111" s="502"/>
    </row>
    <row r="112" spans="1:17" s="469" customFormat="1" ht="15" thickTop="1">
      <c r="A112" s="591"/>
      <c r="B112" s="536" t="s">
        <v>2617</v>
      </c>
      <c r="C112" s="552"/>
      <c r="D112" s="552"/>
      <c r="E112" s="552"/>
      <c r="F112" s="552"/>
      <c r="G112" s="552"/>
      <c r="H112" s="581"/>
      <c r="I112" s="581"/>
      <c r="J112" s="581"/>
      <c r="K112" s="582"/>
      <c r="L112" s="583"/>
      <c r="M112" s="584"/>
      <c r="N112" s="1153"/>
      <c r="O112" s="1153"/>
      <c r="P112" s="2629"/>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3"/>
      <c r="O113" s="1153"/>
      <c r="P113" s="2629"/>
      <c r="Q113" s="557"/>
    </row>
    <row r="114" spans="1:17" ht="15" thickTop="1">
      <c r="A114" s="597"/>
      <c r="B114" s="536" t="s">
        <v>2681</v>
      </c>
      <c r="C114" s="552"/>
      <c r="D114" s="552"/>
      <c r="E114" s="581"/>
      <c r="F114" s="581"/>
      <c r="G114" s="581"/>
      <c r="H114" s="581"/>
      <c r="I114" s="581"/>
      <c r="J114" s="581"/>
      <c r="K114" s="582"/>
      <c r="L114" s="583"/>
      <c r="M114" s="584"/>
      <c r="N114" s="1151"/>
      <c r="O114" s="1151"/>
      <c r="P114" s="2628"/>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2"/>
      <c r="O115" s="1152"/>
      <c r="P115" s="2628"/>
      <c r="Q115" s="502"/>
    </row>
    <row r="116" spans="1:17" ht="15" thickTop="1">
      <c r="A116" s="597"/>
      <c r="B116" s="536" t="s">
        <v>2682</v>
      </c>
      <c r="C116" s="552"/>
      <c r="D116" s="552"/>
      <c r="E116" s="552"/>
      <c r="F116" s="552"/>
      <c r="G116" s="552"/>
      <c r="H116" s="581"/>
      <c r="I116" s="581"/>
      <c r="J116" s="581"/>
      <c r="K116" s="582"/>
      <c r="L116" s="583"/>
      <c r="M116" s="584"/>
      <c r="N116" s="1151"/>
      <c r="O116" s="1151"/>
      <c r="P116" s="2628"/>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2"/>
      <c r="O117" s="1152"/>
      <c r="P117" s="2628"/>
      <c r="Q117" s="502"/>
    </row>
    <row r="118" spans="1:17" ht="15" thickTop="1">
      <c r="A118" s="597"/>
      <c r="B118" s="536" t="s">
        <v>2683</v>
      </c>
      <c r="C118" s="625"/>
      <c r="D118" s="625"/>
      <c r="E118" s="625"/>
      <c r="F118" s="625"/>
      <c r="G118" s="625"/>
      <c r="H118" s="553"/>
      <c r="I118" s="553"/>
      <c r="J118" s="553"/>
      <c r="K118" s="553"/>
      <c r="L118" s="554"/>
      <c r="M118" s="555"/>
      <c r="N118" s="1151"/>
      <c r="O118" s="1151"/>
      <c r="P118" s="2628"/>
      <c r="Q118" s="502"/>
    </row>
    <row r="119" spans="1:17" ht="14.4" thickBot="1">
      <c r="A119" s="532"/>
      <c r="B119" s="541"/>
      <c r="C119" s="558"/>
      <c r="D119" s="534"/>
      <c r="E119" s="534"/>
      <c r="F119" s="534"/>
      <c r="G119" s="534"/>
      <c r="H119" s="534"/>
      <c r="I119" s="534"/>
      <c r="J119" s="534"/>
      <c r="K119" s="534"/>
      <c r="L119" s="534"/>
      <c r="M119" s="535"/>
      <c r="N119" s="1152"/>
      <c r="O119" s="1152"/>
      <c r="P119" s="2628"/>
      <c r="Q119" s="502"/>
    </row>
    <row r="120" spans="1:17" s="469" customFormat="1" ht="15" thickTop="1">
      <c r="A120" s="591"/>
      <c r="B120" s="536" t="s">
        <v>2684</v>
      </c>
      <c r="C120" s="581"/>
      <c r="D120" s="581"/>
      <c r="E120" s="581"/>
      <c r="F120" s="581"/>
      <c r="G120" s="553"/>
      <c r="H120" s="553"/>
      <c r="I120" s="553"/>
      <c r="J120" s="553"/>
      <c r="K120" s="553"/>
      <c r="L120" s="554"/>
      <c r="M120" s="555"/>
      <c r="N120" s="1153"/>
      <c r="O120" s="1153"/>
      <c r="P120" s="2629"/>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3"/>
      <c r="O121" s="1153"/>
      <c r="P121" s="2629"/>
      <c r="Q121" s="557"/>
    </row>
    <row r="122" spans="1:17" ht="15" thickTop="1">
      <c r="A122" s="597"/>
      <c r="B122" s="536" t="s">
        <v>2619</v>
      </c>
      <c r="C122" s="552"/>
      <c r="D122" s="552"/>
      <c r="E122" s="552"/>
      <c r="F122" s="581"/>
      <c r="G122" s="581"/>
      <c r="H122" s="581"/>
      <c r="I122" s="581"/>
      <c r="J122" s="581"/>
      <c r="K122" s="582"/>
      <c r="L122" s="583"/>
      <c r="M122" s="584"/>
      <c r="N122" s="1151"/>
      <c r="O122" s="1151"/>
      <c r="P122" s="2628"/>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2"/>
      <c r="O123" s="1152"/>
      <c r="P123" s="2628"/>
      <c r="Q123" s="502"/>
    </row>
    <row r="124" spans="1:17" ht="29.4" thickTop="1">
      <c r="A124" s="597"/>
      <c r="B124" s="536" t="s">
        <v>2620</v>
      </c>
      <c r="C124" s="576" t="s">
        <v>2596</v>
      </c>
      <c r="D124" s="576" t="s">
        <v>2597</v>
      </c>
      <c r="E124" s="576" t="s">
        <v>2598</v>
      </c>
      <c r="F124" s="576" t="s">
        <v>2599</v>
      </c>
      <c r="G124" s="576" t="s">
        <v>2600</v>
      </c>
      <c r="H124" s="537"/>
      <c r="I124" s="537"/>
      <c r="J124" s="537"/>
      <c r="K124" s="538"/>
      <c r="L124" s="539"/>
      <c r="M124" s="540"/>
      <c r="N124" s="1151"/>
      <c r="O124" s="1151"/>
      <c r="P124" s="2629"/>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2"/>
      <c r="O125" s="1152"/>
      <c r="P125" s="2628"/>
      <c r="Q125" s="502"/>
    </row>
    <row r="126" spans="1:17" s="469" customFormat="1" ht="14.4" thickTop="1">
      <c r="A126" s="591"/>
      <c r="B126" s="536">
        <f>B44</f>
        <v>111</v>
      </c>
      <c r="C126" s="552"/>
      <c r="D126" s="552"/>
      <c r="E126" s="552"/>
      <c r="F126" s="552"/>
      <c r="G126" s="552"/>
      <c r="H126" s="553"/>
      <c r="I126" s="553"/>
      <c r="J126" s="553"/>
      <c r="K126" s="553"/>
      <c r="L126" s="554"/>
      <c r="M126" s="555"/>
      <c r="N126" s="1153"/>
      <c r="O126" s="1153"/>
      <c r="P126" s="2629"/>
      <c r="Q126" s="557"/>
    </row>
    <row r="127" spans="1:17" s="469" customFormat="1" ht="14.4" thickBot="1">
      <c r="A127" s="551"/>
      <c r="B127" s="541"/>
      <c r="C127" s="558"/>
      <c r="D127" s="534"/>
      <c r="E127" s="534"/>
      <c r="F127" s="534"/>
      <c r="G127" s="558"/>
      <c r="H127" s="560"/>
      <c r="I127" s="560"/>
      <c r="J127" s="560"/>
      <c r="K127" s="560"/>
      <c r="L127" s="560"/>
      <c r="M127" s="561"/>
      <c r="N127" s="1153"/>
      <c r="O127" s="1153"/>
      <c r="P127" s="2629"/>
      <c r="Q127" s="557"/>
    </row>
    <row r="128" spans="1:17" ht="14.4" thickTop="1">
      <c r="A128" s="597"/>
      <c r="B128" s="536">
        <f>B45</f>
        <v>111</v>
      </c>
      <c r="C128" s="552"/>
      <c r="D128" s="552"/>
      <c r="E128" s="552"/>
      <c r="F128" s="552"/>
      <c r="G128" s="581"/>
      <c r="H128" s="581"/>
      <c r="I128" s="581"/>
      <c r="J128" s="581"/>
      <c r="K128" s="582"/>
      <c r="L128" s="583"/>
      <c r="M128" s="584"/>
      <c r="N128" s="1151"/>
      <c r="O128" s="1151"/>
      <c r="P128" s="2628"/>
      <c r="Q128" s="502"/>
    </row>
    <row r="129" spans="1:17" ht="14.4" thickBot="1">
      <c r="A129" s="532"/>
      <c r="B129" s="541"/>
      <c r="C129" s="558"/>
      <c r="D129" s="534"/>
      <c r="E129" s="534"/>
      <c r="F129" s="534"/>
      <c r="G129" s="534"/>
      <c r="H129" s="534"/>
      <c r="I129" s="534"/>
      <c r="J129" s="534"/>
      <c r="K129" s="534"/>
      <c r="L129" s="534"/>
      <c r="M129" s="535"/>
      <c r="N129" s="1152"/>
      <c r="O129" s="1152"/>
      <c r="P129" s="2628"/>
      <c r="Q129" s="502"/>
    </row>
    <row r="130" spans="1:17" ht="14.4" thickTop="1">
      <c r="A130" s="597"/>
      <c r="B130" s="544">
        <f>B46</f>
        <v>111</v>
      </c>
      <c r="C130" s="552"/>
      <c r="D130" s="552"/>
      <c r="E130" s="552"/>
      <c r="F130" s="552"/>
      <c r="G130" s="585"/>
      <c r="H130" s="585"/>
      <c r="I130" s="585"/>
      <c r="J130" s="585"/>
      <c r="K130" s="521"/>
      <c r="L130" s="522"/>
      <c r="M130" s="588"/>
      <c r="N130" s="1151"/>
      <c r="O130" s="1151"/>
      <c r="P130" s="2628"/>
      <c r="Q130" s="502"/>
    </row>
    <row r="131" spans="1:17" ht="14.4" thickBot="1">
      <c r="A131" s="2634"/>
      <c r="B131" s="567"/>
      <c r="C131" s="568"/>
      <c r="D131" s="568"/>
      <c r="E131" s="568"/>
      <c r="F131" s="568"/>
      <c r="G131" s="589"/>
      <c r="H131" s="589"/>
      <c r="I131" s="589"/>
      <c r="J131" s="589"/>
      <c r="K131" s="589"/>
      <c r="L131" s="589"/>
      <c r="M131" s="590"/>
      <c r="N131" s="1152"/>
      <c r="O131" s="1152"/>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2527</v>
      </c>
      <c r="B1" s="2667" t="s">
        <v>2685</v>
      </c>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2329</v>
      </c>
      <c r="B2" s="1417" t="e">
        <f ca="1">IF(C2="——",ROUND(C50*D3/10000,0),ROUND(C50*D3/10000,0)-D2)</f>
        <v>#DIV/0!</v>
      </c>
      <c r="C2" s="2584"/>
      <c r="D2" s="1364" t="e">
        <f ca="1">SUMIF(INDIRECT("'"&amp;F2&amp;"'"&amp;"!A:A"),"承租人权益价值",INDIRECT("'"&amp;F2&amp;"'"&amp;"!c:c"))</f>
        <v>#REF!</v>
      </c>
      <c r="E2" s="2585" t="s">
        <v>2330</v>
      </c>
      <c r="F2" s="2586"/>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2331</v>
      </c>
      <c r="B3" s="607" t="e">
        <f ca="1">IF(C2="——",C50,ROUND(B2*10000/D3,0))</f>
        <v>#DIV/0!</v>
      </c>
      <c r="C3" s="398" t="s">
        <v>2643</v>
      </c>
      <c r="D3" s="397">
        <f>IF(D1="",'数据-汇总表'!E3,SUMIF('数据-汇总表'!$C19:$C33,D1,'数据-汇总表'!$E19:$E33))</f>
        <v>103304.44</v>
      </c>
      <c r="E3" s="2661"/>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4.4">
      <c r="A4" s="399" t="s">
        <v>2644</v>
      </c>
      <c r="B4" s="400"/>
      <c r="C4" s="3553" t="s">
        <v>2645</v>
      </c>
      <c r="D4" s="3554"/>
      <c r="E4" s="3555" t="s">
        <v>2646</v>
      </c>
      <c r="F4" s="3556"/>
      <c r="G4" s="3553" t="s">
        <v>2647</v>
      </c>
      <c r="H4" s="3554"/>
      <c r="I4" s="3553" t="s">
        <v>2648</v>
      </c>
      <c r="J4" s="3554"/>
      <c r="K4" s="608" t="s">
        <v>2649</v>
      </c>
      <c r="L4" s="1129"/>
      <c r="M4" s="1130"/>
      <c r="N4" s="1130"/>
      <c r="O4" s="1130"/>
      <c r="P4" s="3693" t="s">
        <v>2650</v>
      </c>
      <c r="Q4" s="3694"/>
      <c r="R4" s="3697" t="s">
        <v>2646</v>
      </c>
      <c r="S4" s="3698"/>
      <c r="T4" s="3697" t="s">
        <v>2647</v>
      </c>
      <c r="U4" s="3698"/>
      <c r="V4" s="3699" t="s">
        <v>2648</v>
      </c>
      <c r="W4" s="3699"/>
      <c r="X4" s="2668"/>
      <c r="Y4" s="3697" t="s">
        <v>2650</v>
      </c>
      <c r="Z4" s="3698"/>
      <c r="AA4" s="3701" t="s">
        <v>2646</v>
      </c>
      <c r="AB4" s="3701" t="s">
        <v>2647</v>
      </c>
      <c r="AC4" s="3690" t="s">
        <v>2648</v>
      </c>
    </row>
    <row r="5" spans="1:29">
      <c r="A5" s="402"/>
      <c r="B5" s="403"/>
      <c r="C5" s="3572" t="s">
        <v>2541</v>
      </c>
      <c r="D5" s="3573"/>
      <c r="E5" s="3579" t="s">
        <v>2542</v>
      </c>
      <c r="F5" s="3580"/>
      <c r="G5" s="3572" t="s">
        <v>2543</v>
      </c>
      <c r="H5" s="3573"/>
      <c r="I5" s="3572" t="s">
        <v>2544</v>
      </c>
      <c r="J5" s="3573"/>
      <c r="K5" s="608"/>
      <c r="L5" s="1129"/>
      <c r="M5" s="1130"/>
      <c r="N5" s="1130"/>
      <c r="O5" s="1130"/>
      <c r="P5" s="3695"/>
      <c r="Q5" s="3560"/>
      <c r="R5" s="3565"/>
      <c r="S5" s="3566"/>
      <c r="T5" s="3565"/>
      <c r="U5" s="3566"/>
      <c r="V5" s="3569"/>
      <c r="W5" s="3569"/>
      <c r="X5" s="1812"/>
      <c r="Y5" s="3565"/>
      <c r="Z5" s="3566"/>
      <c r="AA5" s="3551"/>
      <c r="AB5" s="3551"/>
      <c r="AC5" s="3691"/>
    </row>
    <row r="6" spans="1:29" ht="15" thickBot="1">
      <c r="A6" s="404"/>
      <c r="B6" s="405"/>
      <c r="C6" s="3570" t="s">
        <v>2545</v>
      </c>
      <c r="D6" s="3571"/>
      <c r="E6" s="3577" t="s">
        <v>2545</v>
      </c>
      <c r="F6" s="3578"/>
      <c r="G6" s="3570" t="s">
        <v>2545</v>
      </c>
      <c r="H6" s="3571"/>
      <c r="I6" s="3570" t="s">
        <v>2545</v>
      </c>
      <c r="J6" s="3571"/>
      <c r="K6" s="608" t="s">
        <v>2546</v>
      </c>
      <c r="L6" s="1129"/>
      <c r="M6" s="1130"/>
      <c r="N6" s="1130"/>
      <c r="O6" s="1130"/>
      <c r="P6" s="3696"/>
      <c r="Q6" s="3562"/>
      <c r="R6" s="3565"/>
      <c r="S6" s="3566"/>
      <c r="T6" s="3567"/>
      <c r="U6" s="3568"/>
      <c r="V6" s="3569"/>
      <c r="W6" s="3569"/>
      <c r="X6" s="1812"/>
      <c r="Y6" s="3567"/>
      <c r="Z6" s="3568"/>
      <c r="AA6" s="3552"/>
      <c r="AB6" s="3552"/>
      <c r="AC6" s="3692"/>
    </row>
    <row r="7" spans="1:29" s="115" customFormat="1" ht="15" thickBot="1">
      <c r="A7" s="406" t="s">
        <v>2547</v>
      </c>
      <c r="B7" s="407"/>
      <c r="C7" s="408">
        <f>'数据-取费表'!B2</f>
        <v>43424</v>
      </c>
      <c r="D7" s="409">
        <v>100</v>
      </c>
      <c r="E7" s="410"/>
      <c r="F7" s="411">
        <f>SUMIF(59:59,YEAR(E7)&amp;"-"&amp;MONTH(E7),60:60)</f>
        <v>0</v>
      </c>
      <c r="G7" s="410"/>
      <c r="H7" s="409">
        <f>SUMIF(59:59,YEAR(G7)&amp;"-"&amp;MONTH(G7),60:60)</f>
        <v>0</v>
      </c>
      <c r="I7" s="410"/>
      <c r="J7" s="409">
        <f>SUMIF(59:59,YEAR(I7)&amp;"-"&amp;MONTH(I7),60:60)</f>
        <v>0</v>
      </c>
      <c r="K7" s="609"/>
      <c r="L7" s="1131"/>
      <c r="M7" s="1132"/>
      <c r="N7" s="1132"/>
      <c r="O7" s="1132"/>
      <c r="P7" s="3700" t="s">
        <v>2548</v>
      </c>
      <c r="Q7" s="3576"/>
      <c r="R7" s="767" t="s">
        <v>17</v>
      </c>
      <c r="S7" s="768">
        <f t="shared" ref="S7:S15" si="0">F7</f>
        <v>0</v>
      </c>
      <c r="T7" s="767" t="s">
        <v>17</v>
      </c>
      <c r="U7" s="768">
        <f t="shared" ref="U7:U15" si="1">H7</f>
        <v>0</v>
      </c>
      <c r="V7" s="767" t="s">
        <v>17</v>
      </c>
      <c r="W7" s="768">
        <f t="shared" ref="W7:W15" si="2">J7</f>
        <v>0</v>
      </c>
      <c r="X7" s="769"/>
      <c r="Y7" s="3574" t="s">
        <v>2548</v>
      </c>
      <c r="Z7" s="3575"/>
      <c r="AA7" s="770" t="e">
        <f>D7/F7</f>
        <v>#DIV/0!</v>
      </c>
      <c r="AB7" s="770" t="e">
        <f>D7/H7</f>
        <v>#DIV/0!</v>
      </c>
      <c r="AC7" s="2669" t="e">
        <f>D7/J7</f>
        <v>#DIV/0!</v>
      </c>
    </row>
    <row r="8" spans="1:29" s="115" customFormat="1" ht="1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31"/>
      <c r="M8" s="1132"/>
      <c r="N8" s="1132"/>
      <c r="O8" s="1132"/>
      <c r="P8" s="3700" t="s">
        <v>2551</v>
      </c>
      <c r="Q8" s="3575"/>
      <c r="R8" s="767" t="s">
        <v>17</v>
      </c>
      <c r="S8" s="768">
        <f t="shared" si="0"/>
        <v>0</v>
      </c>
      <c r="T8" s="767" t="s">
        <v>17</v>
      </c>
      <c r="U8" s="768">
        <f t="shared" si="1"/>
        <v>0</v>
      </c>
      <c r="V8" s="767" t="s">
        <v>17</v>
      </c>
      <c r="W8" s="768">
        <f t="shared" si="2"/>
        <v>0</v>
      </c>
      <c r="X8" s="769"/>
      <c r="Y8" s="3574" t="s">
        <v>2551</v>
      </c>
      <c r="Z8" s="3575"/>
      <c r="AA8" s="770" t="e">
        <f t="shared" ref="AA8:AA47" si="3">D8/F8</f>
        <v>#DIV/0!</v>
      </c>
      <c r="AB8" s="770" t="e">
        <f t="shared" ref="AB8:AB47" si="4">D8/H8</f>
        <v>#DIV/0!</v>
      </c>
      <c r="AC8" s="2669" t="e">
        <f t="shared" ref="AC8:AC47" si="5">D8/J8</f>
        <v>#DIV/0!</v>
      </c>
    </row>
    <row r="9" spans="1:29" s="115" customFormat="1" ht="14.4">
      <c r="A9" s="413" t="s">
        <v>2552</v>
      </c>
      <c r="B9" s="70" t="s">
        <v>2553</v>
      </c>
      <c r="C9" s="414"/>
      <c r="D9" s="133">
        <v>100</v>
      </c>
      <c r="E9" s="417"/>
      <c r="F9" s="133">
        <f>SUMIF(64:64,E9,65:65)-SUMIF(64:64,C9,65:65)+100</f>
        <v>100</v>
      </c>
      <c r="G9" s="415"/>
      <c r="H9" s="133">
        <f>SUMIF(64:64,G9,65:65)-SUMIF(64:64,C9,65:65)+100</f>
        <v>100</v>
      </c>
      <c r="I9" s="415"/>
      <c r="J9" s="133">
        <f>SUMIF(64:64,I9,65:65)-SUMIF(64:64,C9,65:65)+100</f>
        <v>100</v>
      </c>
      <c r="K9" s="609"/>
      <c r="L9" s="1131"/>
      <c r="M9" s="1132"/>
      <c r="N9" s="1132"/>
      <c r="O9" s="1132"/>
      <c r="P9" s="3582" t="s">
        <v>2554</v>
      </c>
      <c r="Q9" s="1794" t="str">
        <f t="shared" ref="Q9:Q15" si="6">B9</f>
        <v>用途</v>
      </c>
      <c r="R9" s="767" t="s">
        <v>17</v>
      </c>
      <c r="S9" s="768">
        <f t="shared" si="0"/>
        <v>100</v>
      </c>
      <c r="T9" s="767" t="s">
        <v>17</v>
      </c>
      <c r="U9" s="768">
        <f t="shared" si="1"/>
        <v>100</v>
      </c>
      <c r="V9" s="767" t="s">
        <v>17</v>
      </c>
      <c r="W9" s="768">
        <f t="shared" si="2"/>
        <v>100</v>
      </c>
      <c r="X9" s="769"/>
      <c r="Y9" s="3390" t="s">
        <v>2555</v>
      </c>
      <c r="Z9" s="54" t="str">
        <f t="shared" ref="Z9:Z15" si="7">Q9</f>
        <v>用途</v>
      </c>
      <c r="AA9" s="770">
        <f t="shared" si="3"/>
        <v>1</v>
      </c>
      <c r="AB9" s="770">
        <f t="shared" si="4"/>
        <v>1</v>
      </c>
      <c r="AC9" s="2669">
        <f t="shared" si="5"/>
        <v>1</v>
      </c>
    </row>
    <row r="10" spans="1:29" s="425" customFormat="1" ht="28.8">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34"/>
      <c r="M10" s="1135"/>
      <c r="N10" s="1135"/>
      <c r="O10" s="1135"/>
      <c r="P10" s="3582"/>
      <c r="Q10" s="1794" t="str">
        <f t="shared" si="6"/>
        <v>土地使用年限（年）</v>
      </c>
      <c r="R10" s="767" t="s">
        <v>17</v>
      </c>
      <c r="S10" s="768">
        <f t="shared" si="0"/>
        <v>100</v>
      </c>
      <c r="T10" s="767" t="s">
        <v>17</v>
      </c>
      <c r="U10" s="768">
        <f t="shared" si="1"/>
        <v>100</v>
      </c>
      <c r="V10" s="767" t="s">
        <v>17</v>
      </c>
      <c r="W10" s="768">
        <f t="shared" si="2"/>
        <v>100</v>
      </c>
      <c r="X10" s="769"/>
      <c r="Y10" s="3390"/>
      <c r="Z10" s="54" t="str">
        <f t="shared" si="7"/>
        <v>土地使用年限（年）</v>
      </c>
      <c r="AA10" s="770">
        <f t="shared" si="3"/>
        <v>1</v>
      </c>
      <c r="AB10" s="770">
        <f t="shared" si="4"/>
        <v>1</v>
      </c>
      <c r="AC10" s="2669">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7"/>
      <c r="M11" s="1130"/>
      <c r="N11" s="1130"/>
      <c r="O11" s="1130"/>
      <c r="P11" s="3582"/>
      <c r="Q11" s="1794" t="str">
        <f t="shared" si="6"/>
        <v>容积率</v>
      </c>
      <c r="R11" s="767" t="s">
        <v>17</v>
      </c>
      <c r="S11" s="768" t="e">
        <f t="shared" si="0"/>
        <v>#N/A</v>
      </c>
      <c r="T11" s="767" t="s">
        <v>17</v>
      </c>
      <c r="U11" s="768" t="e">
        <f t="shared" si="1"/>
        <v>#N/A</v>
      </c>
      <c r="V11" s="767" t="s">
        <v>17</v>
      </c>
      <c r="W11" s="768" t="e">
        <f t="shared" si="2"/>
        <v>#N/A</v>
      </c>
      <c r="X11" s="769"/>
      <c r="Y11" s="3390"/>
      <c r="Z11" s="54" t="str">
        <f t="shared" si="7"/>
        <v>容积率</v>
      </c>
      <c r="AA11" s="770" t="e">
        <f t="shared" si="3"/>
        <v>#N/A</v>
      </c>
      <c r="AB11" s="770"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1"/>
      <c r="M12" s="1132"/>
      <c r="N12" s="1132"/>
      <c r="O12" s="1132"/>
      <c r="P12" s="3582"/>
      <c r="Q12" s="1794">
        <f t="shared" si="6"/>
        <v>111</v>
      </c>
      <c r="R12" s="767" t="s">
        <v>17</v>
      </c>
      <c r="S12" s="768">
        <f t="shared" si="0"/>
        <v>100</v>
      </c>
      <c r="T12" s="767" t="s">
        <v>17</v>
      </c>
      <c r="U12" s="768">
        <f t="shared" si="1"/>
        <v>100</v>
      </c>
      <c r="V12" s="767" t="s">
        <v>17</v>
      </c>
      <c r="W12" s="768">
        <f t="shared" si="2"/>
        <v>100</v>
      </c>
      <c r="X12" s="769"/>
      <c r="Y12" s="3390"/>
      <c r="Z12" s="54">
        <f t="shared" si="7"/>
        <v>111</v>
      </c>
      <c r="AA12" s="770">
        <f>D12/F12</f>
        <v>1</v>
      </c>
      <c r="AB12" s="770">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39"/>
      <c r="M13" s="1130"/>
      <c r="N13" s="1130"/>
      <c r="O13" s="1130"/>
      <c r="P13" s="3582"/>
      <c r="Q13" s="1794">
        <f t="shared" si="6"/>
        <v>111</v>
      </c>
      <c r="R13" s="767" t="s">
        <v>17</v>
      </c>
      <c r="S13" s="768">
        <f t="shared" si="0"/>
        <v>100</v>
      </c>
      <c r="T13" s="767" t="s">
        <v>17</v>
      </c>
      <c r="U13" s="768">
        <f t="shared" si="1"/>
        <v>100</v>
      </c>
      <c r="V13" s="767" t="s">
        <v>17</v>
      </c>
      <c r="W13" s="768">
        <f t="shared" si="2"/>
        <v>100</v>
      </c>
      <c r="X13" s="769"/>
      <c r="Y13" s="3390"/>
      <c r="Z13" s="54">
        <f t="shared" si="7"/>
        <v>111</v>
      </c>
      <c r="AA13" s="770">
        <f t="shared" si="3"/>
        <v>1</v>
      </c>
      <c r="AB13" s="770">
        <f t="shared" si="4"/>
        <v>1</v>
      </c>
      <c r="AC13" s="2669">
        <f t="shared" si="5"/>
        <v>1</v>
      </c>
    </row>
    <row r="14" spans="1:29" ht="15.6"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39"/>
      <c r="M14" s="1130"/>
      <c r="N14" s="1130"/>
      <c r="O14" s="1130"/>
      <c r="P14" s="3582"/>
      <c r="Q14" s="1794">
        <f t="shared" si="6"/>
        <v>111</v>
      </c>
      <c r="R14" s="767" t="s">
        <v>17</v>
      </c>
      <c r="S14" s="768">
        <f t="shared" si="0"/>
        <v>100</v>
      </c>
      <c r="T14" s="767" t="s">
        <v>17</v>
      </c>
      <c r="U14" s="768">
        <f t="shared" si="1"/>
        <v>100</v>
      </c>
      <c r="V14" s="767" t="s">
        <v>17</v>
      </c>
      <c r="W14" s="768">
        <f t="shared" si="2"/>
        <v>100</v>
      </c>
      <c r="X14" s="769"/>
      <c r="Y14" s="3390"/>
      <c r="Z14" s="54">
        <f t="shared" si="7"/>
        <v>111</v>
      </c>
      <c r="AA14" s="770">
        <f t="shared" si="3"/>
        <v>1</v>
      </c>
      <c r="AB14" s="770">
        <f t="shared" si="4"/>
        <v>1</v>
      </c>
      <c r="AC14" s="2669">
        <f t="shared" si="5"/>
        <v>1</v>
      </c>
    </row>
    <row r="15" spans="1:29" ht="69">
      <c r="A15" s="438" t="s">
        <v>2558</v>
      </c>
      <c r="B15" s="627" t="s">
        <v>2686</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9"/>
      <c r="M15" s="1130"/>
      <c r="N15" s="1130"/>
      <c r="O15" s="1130"/>
      <c r="P15" s="3685" t="s">
        <v>2559</v>
      </c>
      <c r="Q15" s="1809" t="str">
        <f t="shared" si="6"/>
        <v>办公集聚程度</v>
      </c>
      <c r="R15" s="771" t="s">
        <v>17</v>
      </c>
      <c r="S15" s="772">
        <f t="shared" si="0"/>
        <v>100</v>
      </c>
      <c r="T15" s="771" t="s">
        <v>17</v>
      </c>
      <c r="U15" s="772">
        <f t="shared" si="1"/>
        <v>100</v>
      </c>
      <c r="V15" s="771" t="s">
        <v>17</v>
      </c>
      <c r="W15" s="772">
        <f t="shared" si="2"/>
        <v>100</v>
      </c>
      <c r="X15" s="1812"/>
      <c r="Y15" s="3545" t="s">
        <v>2559</v>
      </c>
      <c r="Z15" s="1813" t="str">
        <f t="shared" si="7"/>
        <v>办公集聚程度</v>
      </c>
      <c r="AA15" s="1810">
        <f t="shared" si="3"/>
        <v>1</v>
      </c>
      <c r="AB15" s="1810">
        <f t="shared" si="4"/>
        <v>1</v>
      </c>
      <c r="AC15" s="2672">
        <f t="shared" si="5"/>
        <v>1</v>
      </c>
    </row>
    <row r="16" spans="1:29" ht="15">
      <c r="A16" s="426"/>
      <c r="B16" s="628"/>
      <c r="C16" s="2609"/>
      <c r="D16" s="446"/>
      <c r="E16" s="445"/>
      <c r="F16" s="446"/>
      <c r="G16" s="2609"/>
      <c r="H16" s="448"/>
      <c r="I16" s="445"/>
      <c r="J16" s="446"/>
      <c r="K16" s="613"/>
      <c r="L16" s="1139"/>
      <c r="M16" s="1130"/>
      <c r="N16" s="1130"/>
      <c r="O16" s="1130"/>
      <c r="P16" s="3686"/>
      <c r="Q16" s="1809"/>
      <c r="R16" s="771"/>
      <c r="S16" s="772"/>
      <c r="T16" s="771"/>
      <c r="U16" s="772"/>
      <c r="V16" s="771"/>
      <c r="W16" s="772"/>
      <c r="X16" s="1812"/>
      <c r="Y16" s="3546"/>
      <c r="Z16" s="1813"/>
      <c r="AA16" s="1810">
        <v>1</v>
      </c>
      <c r="AB16" s="1810">
        <v>1</v>
      </c>
      <c r="AC16" s="2672">
        <v>1</v>
      </c>
    </row>
    <row r="17" spans="1:29" ht="82.8">
      <c r="A17" s="426"/>
      <c r="B17" s="629" t="s">
        <v>2097</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9"/>
      <c r="M17" s="1130"/>
      <c r="N17" s="1130"/>
      <c r="O17" s="1130"/>
      <c r="P17" s="3686"/>
      <c r="Q17" s="1809" t="str">
        <f>B17</f>
        <v>交通便捷度</v>
      </c>
      <c r="R17" s="771" t="s">
        <v>17</v>
      </c>
      <c r="S17" s="772">
        <f>F17</f>
        <v>100</v>
      </c>
      <c r="T17" s="771" t="s">
        <v>17</v>
      </c>
      <c r="U17" s="772">
        <f>H17</f>
        <v>100</v>
      </c>
      <c r="V17" s="771" t="s">
        <v>17</v>
      </c>
      <c r="W17" s="772">
        <f>J17</f>
        <v>100</v>
      </c>
      <c r="X17" s="1812"/>
      <c r="Y17" s="3546"/>
      <c r="Z17" s="1813" t="str">
        <f>Q17</f>
        <v>交通便捷度</v>
      </c>
      <c r="AA17" s="1810">
        <f t="shared" si="3"/>
        <v>1</v>
      </c>
      <c r="AB17" s="1810">
        <f t="shared" si="4"/>
        <v>1</v>
      </c>
      <c r="AC17" s="2672">
        <f t="shared" si="5"/>
        <v>1</v>
      </c>
    </row>
    <row r="18" spans="1:29" ht="15">
      <c r="A18" s="426"/>
      <c r="B18" s="630"/>
      <c r="C18" s="2674"/>
      <c r="D18" s="448"/>
      <c r="E18" s="2607"/>
      <c r="F18" s="448"/>
      <c r="G18" s="2608"/>
      <c r="H18" s="446"/>
      <c r="I18" s="2608"/>
      <c r="J18" s="446"/>
      <c r="K18" s="613"/>
      <c r="L18" s="1139"/>
      <c r="M18" s="1130"/>
      <c r="N18" s="1130"/>
      <c r="O18" s="1130"/>
      <c r="P18" s="3686"/>
      <c r="Q18" s="1809"/>
      <c r="R18" s="771"/>
      <c r="S18" s="772"/>
      <c r="T18" s="771"/>
      <c r="U18" s="772"/>
      <c r="V18" s="771"/>
      <c r="W18" s="772"/>
      <c r="X18" s="1812"/>
      <c r="Y18" s="3546"/>
      <c r="Z18" s="1813"/>
      <c r="AA18" s="1810">
        <v>1</v>
      </c>
      <c r="AB18" s="1810">
        <v>1</v>
      </c>
      <c r="AC18" s="2672">
        <v>1</v>
      </c>
    </row>
    <row r="19" spans="1:29" ht="41.4">
      <c r="A19" s="426"/>
      <c r="B19" s="629" t="s">
        <v>2687</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9"/>
      <c r="M19" s="1130"/>
      <c r="N19" s="1130"/>
      <c r="O19" s="1130"/>
      <c r="P19" s="3686"/>
      <c r="Q19" s="1809" t="str">
        <f>B19</f>
        <v>公共配套设施</v>
      </c>
      <c r="R19" s="771" t="s">
        <v>17</v>
      </c>
      <c r="S19" s="772">
        <f>F19</f>
        <v>100</v>
      </c>
      <c r="T19" s="771" t="s">
        <v>17</v>
      </c>
      <c r="U19" s="772">
        <f>H19</f>
        <v>100</v>
      </c>
      <c r="V19" s="771" t="s">
        <v>17</v>
      </c>
      <c r="W19" s="772">
        <f>J19</f>
        <v>100</v>
      </c>
      <c r="X19" s="1812"/>
      <c r="Y19" s="3546"/>
      <c r="Z19" s="1813" t="str">
        <f>Q19</f>
        <v>公共配套设施</v>
      </c>
      <c r="AA19" s="1810">
        <f t="shared" si="3"/>
        <v>1</v>
      </c>
      <c r="AB19" s="1810">
        <f t="shared" si="4"/>
        <v>1</v>
      </c>
      <c r="AC19" s="2672">
        <f t="shared" si="5"/>
        <v>1</v>
      </c>
    </row>
    <row r="20" spans="1:29" ht="15">
      <c r="A20" s="426"/>
      <c r="B20" s="630"/>
      <c r="C20" s="2609"/>
      <c r="D20" s="446"/>
      <c r="E20" s="2602"/>
      <c r="F20" s="446"/>
      <c r="G20" s="2603"/>
      <c r="H20" s="446"/>
      <c r="I20" s="2603"/>
      <c r="J20" s="446"/>
      <c r="K20" s="613"/>
      <c r="L20" s="1139"/>
      <c r="M20" s="1130"/>
      <c r="N20" s="1130"/>
      <c r="O20" s="1130"/>
      <c r="P20" s="3686"/>
      <c r="Q20" s="1809"/>
      <c r="R20" s="771"/>
      <c r="S20" s="772"/>
      <c r="T20" s="771"/>
      <c r="U20" s="772"/>
      <c r="V20" s="771"/>
      <c r="W20" s="772"/>
      <c r="X20" s="1812"/>
      <c r="Y20" s="3546"/>
      <c r="Z20" s="1813"/>
      <c r="AA20" s="1810">
        <v>1</v>
      </c>
      <c r="AB20" s="1810">
        <v>1</v>
      </c>
      <c r="AC20" s="2672">
        <v>1</v>
      </c>
    </row>
    <row r="21" spans="1:29" ht="27.6">
      <c r="A21" s="426"/>
      <c r="B21" s="631" t="s">
        <v>2688</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9"/>
      <c r="M21" s="1130"/>
      <c r="N21" s="1130"/>
      <c r="O21" s="1130"/>
      <c r="P21" s="3686"/>
      <c r="Q21" s="1809" t="str">
        <f>B21</f>
        <v>基础设施水平</v>
      </c>
      <c r="R21" s="771" t="s">
        <v>17</v>
      </c>
      <c r="S21" s="772">
        <f>F21</f>
        <v>100</v>
      </c>
      <c r="T21" s="771" t="s">
        <v>17</v>
      </c>
      <c r="U21" s="772">
        <f>H21</f>
        <v>100</v>
      </c>
      <c r="V21" s="771" t="s">
        <v>17</v>
      </c>
      <c r="W21" s="772">
        <f>J21</f>
        <v>100</v>
      </c>
      <c r="X21" s="1812"/>
      <c r="Y21" s="3546"/>
      <c r="Z21" s="1813" t="str">
        <f>Q21</f>
        <v>基础设施水平</v>
      </c>
      <c r="AA21" s="1810">
        <f t="shared" ref="AA21" si="8">D21/F21</f>
        <v>1</v>
      </c>
      <c r="AB21" s="1810">
        <f t="shared" ref="AB21" si="9">D21/H21</f>
        <v>1</v>
      </c>
      <c r="AC21" s="2672">
        <f t="shared" ref="AC21" si="10">D21/J21</f>
        <v>1</v>
      </c>
    </row>
    <row r="22" spans="1:29" ht="15">
      <c r="A22" s="426"/>
      <c r="B22" s="631"/>
      <c r="C22" s="2674"/>
      <c r="D22" s="446"/>
      <c r="E22" s="445"/>
      <c r="F22" s="446"/>
      <c r="G22" s="2609"/>
      <c r="H22" s="446"/>
      <c r="I22" s="2609"/>
      <c r="J22" s="446"/>
      <c r="K22" s="1382"/>
      <c r="L22" s="1139"/>
      <c r="M22" s="1130"/>
      <c r="N22" s="1130"/>
      <c r="O22" s="1130"/>
      <c r="P22" s="3686"/>
      <c r="Q22" s="1809"/>
      <c r="R22" s="771"/>
      <c r="S22" s="772"/>
      <c r="T22" s="771"/>
      <c r="U22" s="772"/>
      <c r="V22" s="771"/>
      <c r="W22" s="772"/>
      <c r="X22" s="1812"/>
      <c r="Y22" s="3546"/>
      <c r="Z22" s="1813"/>
      <c r="AA22" s="1810">
        <v>1</v>
      </c>
      <c r="AB22" s="1810">
        <v>1</v>
      </c>
      <c r="AC22" s="2672">
        <v>1</v>
      </c>
    </row>
    <row r="23" spans="1:29" ht="55.2">
      <c r="A23" s="426"/>
      <c r="B23" s="629" t="s">
        <v>2689</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9"/>
      <c r="M23" s="1130"/>
      <c r="N23" s="1130"/>
      <c r="O23" s="1130"/>
      <c r="P23" s="3686"/>
      <c r="Q23" s="1809" t="str">
        <f>B23</f>
        <v>环境质量</v>
      </c>
      <c r="R23" s="771" t="s">
        <v>17</v>
      </c>
      <c r="S23" s="772">
        <f>F23</f>
        <v>100</v>
      </c>
      <c r="T23" s="771" t="s">
        <v>17</v>
      </c>
      <c r="U23" s="772">
        <f>H23</f>
        <v>100</v>
      </c>
      <c r="V23" s="771" t="s">
        <v>17</v>
      </c>
      <c r="W23" s="772">
        <f>J23</f>
        <v>100</v>
      </c>
      <c r="X23" s="1812"/>
      <c r="Y23" s="3546"/>
      <c r="Z23" s="1813" t="str">
        <f>Q23</f>
        <v>环境质量</v>
      </c>
      <c r="AA23" s="1810">
        <f t="shared" si="3"/>
        <v>1</v>
      </c>
      <c r="AB23" s="1810">
        <f t="shared" si="4"/>
        <v>1</v>
      </c>
      <c r="AC23" s="2672">
        <f t="shared" si="5"/>
        <v>1</v>
      </c>
    </row>
    <row r="24" spans="1:29" ht="15">
      <c r="A24" s="426"/>
      <c r="B24" s="631"/>
      <c r="C24" s="2609"/>
      <c r="D24" s="446"/>
      <c r="E24" s="2602"/>
      <c r="F24" s="446"/>
      <c r="G24" s="2603"/>
      <c r="H24" s="446"/>
      <c r="I24" s="2603"/>
      <c r="J24" s="446"/>
      <c r="K24" s="613"/>
      <c r="L24" s="1139"/>
      <c r="M24" s="1130"/>
      <c r="N24" s="1130"/>
      <c r="O24" s="1130"/>
      <c r="P24" s="3686"/>
      <c r="Q24" s="1809"/>
      <c r="R24" s="771"/>
      <c r="S24" s="772"/>
      <c r="T24" s="771"/>
      <c r="U24" s="772"/>
      <c r="V24" s="771"/>
      <c r="W24" s="772"/>
      <c r="X24" s="1812"/>
      <c r="Y24" s="3546"/>
      <c r="Z24" s="1813"/>
      <c r="AA24" s="1810">
        <v>1</v>
      </c>
      <c r="AB24" s="1810">
        <v>1</v>
      </c>
      <c r="AC24" s="2672">
        <v>1</v>
      </c>
    </row>
    <row r="25" spans="1:29" ht="28.8">
      <c r="A25" s="402"/>
      <c r="B25" s="629" t="s">
        <v>2690</v>
      </c>
      <c r="C25" s="2613"/>
      <c r="D25" s="433">
        <v>100</v>
      </c>
      <c r="E25" s="432"/>
      <c r="F25" s="433">
        <f>SUMIF(87:87,E26,88:88)-SUMIF(87:87,C26,88:88)+100</f>
        <v>100</v>
      </c>
      <c r="G25" s="2613"/>
      <c r="H25" s="433">
        <f>SUMIF(87:87,G26,88:88)-SUMIF(87:87,C26,88:88)+100</f>
        <v>100</v>
      </c>
      <c r="I25" s="432"/>
      <c r="J25" s="433">
        <f>SUMIF(87:87,I26,88:88)-SUMIF(87:87,C26,88:88)+100</f>
        <v>100</v>
      </c>
      <c r="K25" s="612"/>
      <c r="L25" s="1139"/>
      <c r="M25" s="1130"/>
      <c r="N25" s="1130"/>
      <c r="O25" s="1130"/>
      <c r="P25" s="3686"/>
      <c r="Q25" s="1809" t="str">
        <f>B25</f>
        <v>毗邻道路的类型与等级</v>
      </c>
      <c r="R25" s="771" t="s">
        <v>17</v>
      </c>
      <c r="S25" s="772">
        <f>F25</f>
        <v>100</v>
      </c>
      <c r="T25" s="771" t="s">
        <v>17</v>
      </c>
      <c r="U25" s="772">
        <f>H25</f>
        <v>100</v>
      </c>
      <c r="V25" s="771" t="s">
        <v>17</v>
      </c>
      <c r="W25" s="772">
        <f>J25</f>
        <v>100</v>
      </c>
      <c r="X25" s="1812"/>
      <c r="Y25" s="3546"/>
      <c r="Z25" s="1813" t="str">
        <f>Q25</f>
        <v>毗邻道路的类型与等级</v>
      </c>
      <c r="AA25" s="1810">
        <f t="shared" si="3"/>
        <v>1</v>
      </c>
      <c r="AB25" s="1810">
        <f t="shared" si="4"/>
        <v>1</v>
      </c>
      <c r="AC25" s="2672">
        <f t="shared" si="5"/>
        <v>1</v>
      </c>
    </row>
    <row r="26" spans="1:29" ht="15">
      <c r="A26" s="402"/>
      <c r="B26" s="630"/>
      <c r="C26" s="632"/>
      <c r="D26" s="433"/>
      <c r="E26" s="614"/>
      <c r="F26" s="433"/>
      <c r="G26" s="632"/>
      <c r="H26" s="433"/>
      <c r="I26" s="614"/>
      <c r="J26" s="433"/>
      <c r="K26" s="613"/>
      <c r="L26" s="1139"/>
      <c r="M26" s="1130"/>
      <c r="N26" s="1130"/>
      <c r="O26" s="1130"/>
      <c r="P26" s="3686"/>
      <c r="Q26" s="1809"/>
      <c r="R26" s="771"/>
      <c r="S26" s="772"/>
      <c r="T26" s="771"/>
      <c r="U26" s="772"/>
      <c r="V26" s="771"/>
      <c r="W26" s="772"/>
      <c r="X26" s="1812"/>
      <c r="Y26" s="3546"/>
      <c r="Z26" s="1813"/>
      <c r="AA26" s="1810">
        <v>1</v>
      </c>
      <c r="AB26" s="1810">
        <v>1</v>
      </c>
      <c r="AC26" s="2672">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39"/>
      <c r="M27" s="1130"/>
      <c r="N27" s="1130"/>
      <c r="O27" s="1130"/>
      <c r="P27" s="3686"/>
      <c r="Q27" s="1809" t="str">
        <f t="shared" ref="Q27:Q47" si="11">B27</f>
        <v>楼层</v>
      </c>
      <c r="R27" s="771" t="s">
        <v>17</v>
      </c>
      <c r="S27" s="772">
        <f>F27</f>
        <v>100</v>
      </c>
      <c r="T27" s="771" t="s">
        <v>17</v>
      </c>
      <c r="U27" s="772">
        <f>H27</f>
        <v>100</v>
      </c>
      <c r="V27" s="771" t="s">
        <v>17</v>
      </c>
      <c r="W27" s="772">
        <f>J27</f>
        <v>100</v>
      </c>
      <c r="X27" s="1812"/>
      <c r="Y27" s="3546"/>
      <c r="Z27" s="1813" t="str">
        <f>Q27</f>
        <v>楼层</v>
      </c>
      <c r="AA27" s="1810">
        <f t="shared" si="3"/>
        <v>1</v>
      </c>
      <c r="AB27" s="1810">
        <f t="shared" si="4"/>
        <v>1</v>
      </c>
      <c r="AC27" s="2672">
        <f t="shared" si="5"/>
        <v>1</v>
      </c>
    </row>
    <row r="28" spans="1:29" s="115" customFormat="1" ht="15">
      <c r="A28" s="429"/>
      <c r="B28" s="629" t="s">
        <v>2691</v>
      </c>
      <c r="C28" s="2675"/>
      <c r="D28" s="460">
        <v>100</v>
      </c>
      <c r="E28" s="2663"/>
      <c r="F28" s="460">
        <f>SUMIF(91:91,E28,92:92)-SUMIF(91:91,C28,92:92)+100</f>
        <v>100</v>
      </c>
      <c r="G28" s="2675"/>
      <c r="H28" s="460">
        <f>SUMIF(91:91,G28,92:92)-SUMIF(91:91,C28,92:92)+100</f>
        <v>100</v>
      </c>
      <c r="I28" s="2663"/>
      <c r="J28" s="460">
        <f>SUMIF(91:91,I28,92:92)-SUMIF(91:91,C28,92:92)+100</f>
        <v>100</v>
      </c>
      <c r="K28" s="610"/>
      <c r="L28" s="1131"/>
      <c r="M28" s="1132"/>
      <c r="N28" s="1132"/>
      <c r="O28" s="1132"/>
      <c r="P28" s="3686"/>
      <c r="Q28" s="1794" t="str">
        <f t="shared" si="11"/>
        <v>朝向</v>
      </c>
      <c r="R28" s="767" t="s">
        <v>17</v>
      </c>
      <c r="S28" s="768">
        <f>F28</f>
        <v>100</v>
      </c>
      <c r="T28" s="767" t="s">
        <v>17</v>
      </c>
      <c r="U28" s="768">
        <f>H28</f>
        <v>100</v>
      </c>
      <c r="V28" s="767" t="s">
        <v>17</v>
      </c>
      <c r="W28" s="768">
        <f>J28</f>
        <v>100</v>
      </c>
      <c r="X28" s="769"/>
      <c r="Y28" s="3546"/>
      <c r="Z28" s="54" t="str">
        <f>Q28</f>
        <v>朝向</v>
      </c>
      <c r="AA28" s="1810">
        <f>D28/F28</f>
        <v>1</v>
      </c>
      <c r="AB28" s="1810">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9"/>
      <c r="M29" s="1130"/>
      <c r="N29" s="1130"/>
      <c r="O29" s="1130"/>
      <c r="P29" s="3686"/>
      <c r="Q29" s="1809">
        <f t="shared" si="11"/>
        <v>111</v>
      </c>
      <c r="R29" s="771" t="s">
        <v>17</v>
      </c>
      <c r="S29" s="772">
        <f t="shared" ref="S29:S47" si="12">F29</f>
        <v>100</v>
      </c>
      <c r="T29" s="771" t="s">
        <v>17</v>
      </c>
      <c r="U29" s="772">
        <f t="shared" ref="U29:U47" si="13">H29</f>
        <v>100</v>
      </c>
      <c r="V29" s="771" t="s">
        <v>17</v>
      </c>
      <c r="W29" s="772">
        <f t="shared" ref="W29:W47" si="14">J29</f>
        <v>100</v>
      </c>
      <c r="X29" s="1812"/>
      <c r="Y29" s="3546"/>
      <c r="Z29" s="1813">
        <f t="shared" ref="Z29:Z47" si="15">Q29</f>
        <v>111</v>
      </c>
      <c r="AA29" s="1810">
        <f t="shared" si="3"/>
        <v>1</v>
      </c>
      <c r="AB29" s="1810">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9"/>
      <c r="M30" s="1130"/>
      <c r="N30" s="1130"/>
      <c r="O30" s="1130"/>
      <c r="P30" s="3686"/>
      <c r="Q30" s="1809">
        <f t="shared" si="11"/>
        <v>111</v>
      </c>
      <c r="R30" s="771" t="s">
        <v>17</v>
      </c>
      <c r="S30" s="772">
        <f t="shared" si="12"/>
        <v>100</v>
      </c>
      <c r="T30" s="771" t="s">
        <v>17</v>
      </c>
      <c r="U30" s="772">
        <f t="shared" si="13"/>
        <v>100</v>
      </c>
      <c r="V30" s="771" t="s">
        <v>17</v>
      </c>
      <c r="W30" s="772">
        <f t="shared" si="14"/>
        <v>100</v>
      </c>
      <c r="X30" s="1812"/>
      <c r="Y30" s="3546"/>
      <c r="Z30" s="1813">
        <f t="shared" si="15"/>
        <v>111</v>
      </c>
      <c r="AA30" s="1810">
        <f t="shared" si="3"/>
        <v>1</v>
      </c>
      <c r="AB30" s="1810">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9"/>
      <c r="M31" s="1130"/>
      <c r="N31" s="1130"/>
      <c r="O31" s="1130"/>
      <c r="P31" s="3686"/>
      <c r="Q31" s="1809">
        <f t="shared" si="11"/>
        <v>111</v>
      </c>
      <c r="R31" s="771" t="s">
        <v>17</v>
      </c>
      <c r="S31" s="772">
        <f t="shared" si="12"/>
        <v>100</v>
      </c>
      <c r="T31" s="771" t="s">
        <v>17</v>
      </c>
      <c r="U31" s="772">
        <f t="shared" si="13"/>
        <v>100</v>
      </c>
      <c r="V31" s="771" t="s">
        <v>17</v>
      </c>
      <c r="W31" s="772">
        <f t="shared" si="14"/>
        <v>100</v>
      </c>
      <c r="X31" s="1812"/>
      <c r="Y31" s="3546"/>
      <c r="Z31" s="1813">
        <f t="shared" si="15"/>
        <v>111</v>
      </c>
      <c r="AA31" s="1810">
        <f t="shared" si="3"/>
        <v>1</v>
      </c>
      <c r="AB31" s="1810">
        <f t="shared" si="4"/>
        <v>1</v>
      </c>
      <c r="AC31" s="2672">
        <f t="shared" si="5"/>
        <v>1</v>
      </c>
    </row>
    <row r="32" spans="1:29" ht="15.6"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39"/>
      <c r="M32" s="1130"/>
      <c r="N32" s="1130"/>
      <c r="O32" s="1130"/>
      <c r="P32" s="3686"/>
      <c r="Q32" s="1809">
        <f t="shared" si="11"/>
        <v>111</v>
      </c>
      <c r="R32" s="771" t="s">
        <v>17</v>
      </c>
      <c r="S32" s="772">
        <f t="shared" si="12"/>
        <v>100</v>
      </c>
      <c r="T32" s="771" t="s">
        <v>17</v>
      </c>
      <c r="U32" s="772">
        <f t="shared" si="13"/>
        <v>100</v>
      </c>
      <c r="V32" s="771" t="s">
        <v>17</v>
      </c>
      <c r="W32" s="772">
        <f t="shared" si="14"/>
        <v>100</v>
      </c>
      <c r="X32" s="1812"/>
      <c r="Y32" s="3546"/>
      <c r="Z32" s="1813">
        <f t="shared" si="15"/>
        <v>111</v>
      </c>
      <c r="AA32" s="1810">
        <f t="shared" si="3"/>
        <v>1</v>
      </c>
      <c r="AB32" s="1810">
        <f t="shared" si="4"/>
        <v>1</v>
      </c>
      <c r="AC32" s="2672">
        <f t="shared" si="5"/>
        <v>1</v>
      </c>
    </row>
    <row r="33" spans="1:29" ht="15">
      <c r="A33" s="438" t="s">
        <v>2562</v>
      </c>
      <c r="B33" s="70" t="s">
        <v>2692</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9"/>
      <c r="M33" s="1130"/>
      <c r="N33" s="1130"/>
      <c r="O33" s="1130"/>
      <c r="P33" s="3682" t="s">
        <v>2564</v>
      </c>
      <c r="Q33" s="1809" t="str">
        <f t="shared" si="11"/>
        <v>建筑类型</v>
      </c>
      <c r="R33" s="771" t="s">
        <v>17</v>
      </c>
      <c r="S33" s="772">
        <f t="shared" si="12"/>
        <v>100</v>
      </c>
      <c r="T33" s="771" t="s">
        <v>17</v>
      </c>
      <c r="U33" s="772">
        <f t="shared" si="13"/>
        <v>100</v>
      </c>
      <c r="V33" s="771" t="s">
        <v>17</v>
      </c>
      <c r="W33" s="772">
        <f t="shared" si="14"/>
        <v>100</v>
      </c>
      <c r="X33" s="1812"/>
      <c r="Y33" s="3548" t="s">
        <v>2564</v>
      </c>
      <c r="Z33" s="1813" t="str">
        <f t="shared" si="15"/>
        <v>建筑类型</v>
      </c>
      <c r="AA33" s="1810">
        <f t="shared" si="3"/>
        <v>1</v>
      </c>
      <c r="AB33" s="1810">
        <f t="shared" si="4"/>
        <v>1</v>
      </c>
      <c r="AC33" s="2672">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7"/>
      <c r="M34" s="1140"/>
      <c r="N34" s="1140"/>
      <c r="O34" s="1140"/>
      <c r="P34" s="3683"/>
      <c r="Q34" s="773" t="str">
        <f t="shared" si="11"/>
        <v>项目建筑规模</v>
      </c>
      <c r="R34" s="774" t="s">
        <v>17</v>
      </c>
      <c r="S34" s="775" t="e">
        <f t="shared" si="12"/>
        <v>#N/A</v>
      </c>
      <c r="T34" s="774" t="s">
        <v>17</v>
      </c>
      <c r="U34" s="775" t="e">
        <f t="shared" si="13"/>
        <v>#N/A</v>
      </c>
      <c r="V34" s="774" t="s">
        <v>17</v>
      </c>
      <c r="W34" s="775" t="e">
        <f t="shared" si="14"/>
        <v>#N/A</v>
      </c>
      <c r="X34" s="776"/>
      <c r="Y34" s="3548"/>
      <c r="Z34" s="777" t="str">
        <f t="shared" si="15"/>
        <v>项目建筑规模</v>
      </c>
      <c r="AA34" s="1810" t="e">
        <f t="shared" si="3"/>
        <v>#N/A</v>
      </c>
      <c r="AB34" s="1810" t="e">
        <f t="shared" si="4"/>
        <v>#N/A</v>
      </c>
      <c r="AC34" s="2672"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9"/>
      <c r="M35" s="1130"/>
      <c r="N35" s="1130"/>
      <c r="O35" s="1130"/>
      <c r="P35" s="3683"/>
      <c r="Q35" s="1809" t="str">
        <f t="shared" si="11"/>
        <v>建筑结构</v>
      </c>
      <c r="R35" s="771" t="s">
        <v>17</v>
      </c>
      <c r="S35" s="772">
        <f t="shared" si="12"/>
        <v>100</v>
      </c>
      <c r="T35" s="771" t="s">
        <v>17</v>
      </c>
      <c r="U35" s="772">
        <f t="shared" si="13"/>
        <v>100</v>
      </c>
      <c r="V35" s="771" t="s">
        <v>17</v>
      </c>
      <c r="W35" s="772">
        <f t="shared" si="14"/>
        <v>100</v>
      </c>
      <c r="X35" s="1812"/>
      <c r="Y35" s="3548"/>
      <c r="Z35" s="1813" t="str">
        <f t="shared" si="15"/>
        <v>建筑结构</v>
      </c>
      <c r="AA35" s="1810">
        <f t="shared" si="3"/>
        <v>1</v>
      </c>
      <c r="AB35" s="1810">
        <f t="shared" si="4"/>
        <v>1</v>
      </c>
      <c r="AC35" s="2672">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9"/>
      <c r="M36" s="1130"/>
      <c r="N36" s="1130"/>
      <c r="O36" s="1130"/>
      <c r="P36" s="3683"/>
      <c r="Q36" s="1809" t="str">
        <f t="shared" si="11"/>
        <v>公共部分装修</v>
      </c>
      <c r="R36" s="771" t="s">
        <v>17</v>
      </c>
      <c r="S36" s="772">
        <f t="shared" si="12"/>
        <v>100</v>
      </c>
      <c r="T36" s="771" t="s">
        <v>17</v>
      </c>
      <c r="U36" s="772">
        <f t="shared" si="13"/>
        <v>100</v>
      </c>
      <c r="V36" s="771" t="s">
        <v>17</v>
      </c>
      <c r="W36" s="772">
        <f t="shared" si="14"/>
        <v>100</v>
      </c>
      <c r="X36" s="1812"/>
      <c r="Y36" s="3548"/>
      <c r="Z36" s="1813" t="str">
        <f t="shared" si="15"/>
        <v>公共部分装修</v>
      </c>
      <c r="AA36" s="1810">
        <f t="shared" si="3"/>
        <v>1</v>
      </c>
      <c r="AB36" s="1810">
        <f t="shared" si="4"/>
        <v>1</v>
      </c>
      <c r="AC36" s="2672">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9"/>
      <c r="M37" s="1130"/>
      <c r="N37" s="1130"/>
      <c r="O37" s="1130"/>
      <c r="P37" s="3683"/>
      <c r="Q37" s="1809" t="str">
        <f t="shared" si="11"/>
        <v>成新度</v>
      </c>
      <c r="R37" s="771" t="s">
        <v>17</v>
      </c>
      <c r="S37" s="772" t="e">
        <f t="shared" si="12"/>
        <v>#N/A</v>
      </c>
      <c r="T37" s="771" t="s">
        <v>17</v>
      </c>
      <c r="U37" s="772" t="e">
        <f t="shared" si="13"/>
        <v>#N/A</v>
      </c>
      <c r="V37" s="771" t="s">
        <v>17</v>
      </c>
      <c r="W37" s="772" t="e">
        <f t="shared" si="14"/>
        <v>#N/A</v>
      </c>
      <c r="X37" s="1812"/>
      <c r="Y37" s="3548"/>
      <c r="Z37" s="1813" t="str">
        <f t="shared" si="15"/>
        <v>成新度</v>
      </c>
      <c r="AA37" s="1810" t="e">
        <f t="shared" si="3"/>
        <v>#N/A</v>
      </c>
      <c r="AB37" s="1810" t="e">
        <f t="shared" si="4"/>
        <v>#N/A</v>
      </c>
      <c r="AC37" s="2672" t="e">
        <f t="shared" si="5"/>
        <v>#N/A</v>
      </c>
    </row>
    <row r="38" spans="1:29" s="115"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1"/>
      <c r="M38" s="1132"/>
      <c r="N38" s="1132"/>
      <c r="O38" s="1132"/>
      <c r="P38" s="3683"/>
      <c r="Q38" s="1794" t="str">
        <f t="shared" si="11"/>
        <v>写字楼等级</v>
      </c>
      <c r="R38" s="767" t="s">
        <v>17</v>
      </c>
      <c r="S38" s="768">
        <f t="shared" si="12"/>
        <v>100</v>
      </c>
      <c r="T38" s="767" t="s">
        <v>17</v>
      </c>
      <c r="U38" s="768">
        <f t="shared" si="13"/>
        <v>100</v>
      </c>
      <c r="V38" s="767" t="s">
        <v>17</v>
      </c>
      <c r="W38" s="768">
        <f t="shared" si="14"/>
        <v>100</v>
      </c>
      <c r="X38" s="769"/>
      <c r="Y38" s="3548"/>
      <c r="Z38" s="54" t="str">
        <f t="shared" si="15"/>
        <v>写字楼等级</v>
      </c>
      <c r="AA38" s="770">
        <f t="shared" si="3"/>
        <v>1</v>
      </c>
      <c r="AB38" s="770">
        <f t="shared" si="4"/>
        <v>1</v>
      </c>
      <c r="AC38" s="2669">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9"/>
      <c r="M39" s="1130"/>
      <c r="N39" s="1130"/>
      <c r="O39" s="1130"/>
      <c r="P39" s="3683" t="s">
        <v>2564</v>
      </c>
      <c r="Q39" s="1809" t="str">
        <f t="shared" si="11"/>
        <v>物业管理</v>
      </c>
      <c r="R39" s="771" t="s">
        <v>17</v>
      </c>
      <c r="S39" s="772">
        <f t="shared" si="12"/>
        <v>100</v>
      </c>
      <c r="T39" s="771" t="s">
        <v>17</v>
      </c>
      <c r="U39" s="772">
        <f t="shared" si="13"/>
        <v>100</v>
      </c>
      <c r="V39" s="771" t="s">
        <v>17</v>
      </c>
      <c r="W39" s="772">
        <f t="shared" si="14"/>
        <v>100</v>
      </c>
      <c r="X39" s="1812"/>
      <c r="Y39" s="3548" t="s">
        <v>2564</v>
      </c>
      <c r="Z39" s="1813" t="str">
        <f t="shared" si="15"/>
        <v>物业管理</v>
      </c>
      <c r="AA39" s="1810">
        <f t="shared" si="3"/>
        <v>1</v>
      </c>
      <c r="AB39" s="1810">
        <f t="shared" si="4"/>
        <v>1</v>
      </c>
      <c r="AC39" s="2672">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9"/>
      <c r="M40" s="1130"/>
      <c r="N40" s="1130"/>
      <c r="O40" s="1130"/>
      <c r="P40" s="3683"/>
      <c r="Q40" s="1809" t="str">
        <f t="shared" si="11"/>
        <v>市政基础设施</v>
      </c>
      <c r="R40" s="771" t="s">
        <v>17</v>
      </c>
      <c r="S40" s="772">
        <f t="shared" si="12"/>
        <v>100</v>
      </c>
      <c r="T40" s="771" t="s">
        <v>17</v>
      </c>
      <c r="U40" s="772">
        <f t="shared" si="13"/>
        <v>100</v>
      </c>
      <c r="V40" s="771" t="s">
        <v>17</v>
      </c>
      <c r="W40" s="772">
        <f t="shared" si="14"/>
        <v>100</v>
      </c>
      <c r="X40" s="1812"/>
      <c r="Y40" s="3548"/>
      <c r="Z40" s="1813" t="str">
        <f t="shared" si="15"/>
        <v>市政基础设施</v>
      </c>
      <c r="AA40" s="1810">
        <f t="shared" si="3"/>
        <v>1</v>
      </c>
      <c r="AB40" s="1810">
        <f t="shared" si="4"/>
        <v>1</v>
      </c>
      <c r="AC40" s="2672">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9"/>
      <c r="M41" s="1130"/>
      <c r="N41" s="1130"/>
      <c r="O41" s="1130"/>
      <c r="P41" s="3683"/>
      <c r="Q41" s="1809" t="str">
        <f t="shared" si="11"/>
        <v>层高</v>
      </c>
      <c r="R41" s="771" t="s">
        <v>17</v>
      </c>
      <c r="S41" s="772">
        <f t="shared" si="12"/>
        <v>100</v>
      </c>
      <c r="T41" s="771" t="s">
        <v>17</v>
      </c>
      <c r="U41" s="772">
        <f t="shared" si="13"/>
        <v>100</v>
      </c>
      <c r="V41" s="771" t="s">
        <v>17</v>
      </c>
      <c r="W41" s="772">
        <f t="shared" si="14"/>
        <v>100</v>
      </c>
      <c r="X41" s="1812"/>
      <c r="Y41" s="3548"/>
      <c r="Z41" s="1813" t="str">
        <f t="shared" si="15"/>
        <v>层高</v>
      </c>
      <c r="AA41" s="1810">
        <f t="shared" si="3"/>
        <v>1</v>
      </c>
      <c r="AB41" s="1810">
        <f t="shared" si="4"/>
        <v>1</v>
      </c>
      <c r="AC41" s="2672">
        <f t="shared" si="5"/>
        <v>1</v>
      </c>
    </row>
    <row r="42" spans="1:29" s="469" customFormat="1" ht="15">
      <c r="A42" s="466"/>
      <c r="B42" s="1811"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7"/>
      <c r="M42" s="1140"/>
      <c r="N42" s="1140"/>
      <c r="O42" s="1140"/>
      <c r="P42" s="3683"/>
      <c r="Q42" s="773" t="str">
        <f t="shared" si="11"/>
        <v>单套建筑面积</v>
      </c>
      <c r="R42" s="774" t="s">
        <v>17</v>
      </c>
      <c r="S42" s="775">
        <f t="shared" si="12"/>
        <v>100</v>
      </c>
      <c r="T42" s="774" t="s">
        <v>17</v>
      </c>
      <c r="U42" s="775">
        <f t="shared" si="13"/>
        <v>100</v>
      </c>
      <c r="V42" s="774" t="s">
        <v>17</v>
      </c>
      <c r="W42" s="775">
        <f t="shared" si="14"/>
        <v>100</v>
      </c>
      <c r="X42" s="776"/>
      <c r="Y42" s="3548"/>
      <c r="Z42" s="777" t="str">
        <f t="shared" si="15"/>
        <v>单套建筑面积</v>
      </c>
      <c r="AA42" s="1810">
        <f t="shared" si="3"/>
        <v>1</v>
      </c>
      <c r="AB42" s="1810">
        <f t="shared" si="4"/>
        <v>1</v>
      </c>
      <c r="AC42" s="2672">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9"/>
      <c r="M43" s="1130"/>
      <c r="N43" s="1130"/>
      <c r="O43" s="1130"/>
      <c r="P43" s="3683"/>
      <c r="Q43" s="1809" t="str">
        <f t="shared" si="11"/>
        <v>内部装修</v>
      </c>
      <c r="R43" s="771" t="s">
        <v>17</v>
      </c>
      <c r="S43" s="772">
        <f t="shared" si="12"/>
        <v>100</v>
      </c>
      <c r="T43" s="771" t="s">
        <v>17</v>
      </c>
      <c r="U43" s="772">
        <f t="shared" si="13"/>
        <v>100</v>
      </c>
      <c r="V43" s="771" t="s">
        <v>17</v>
      </c>
      <c r="W43" s="772">
        <f t="shared" si="14"/>
        <v>100</v>
      </c>
      <c r="X43" s="1812"/>
      <c r="Y43" s="3548"/>
      <c r="Z43" s="1813" t="str">
        <f t="shared" si="15"/>
        <v>内部装修</v>
      </c>
      <c r="AA43" s="1810">
        <f t="shared" si="3"/>
        <v>1</v>
      </c>
      <c r="AB43" s="1810">
        <f t="shared" si="4"/>
        <v>1</v>
      </c>
      <c r="AC43" s="2672">
        <f t="shared" si="5"/>
        <v>1</v>
      </c>
    </row>
    <row r="44" spans="1:29" ht="28.8">
      <c r="A44" s="470"/>
      <c r="B44" s="420" t="s">
        <v>2575</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9"/>
      <c r="M44" s="1130"/>
      <c r="N44" s="1130"/>
      <c r="O44" s="1130"/>
      <c r="P44" s="3683"/>
      <c r="Q44" s="1809" t="str">
        <f t="shared" si="11"/>
        <v>内部装修维护情况</v>
      </c>
      <c r="R44" s="771" t="s">
        <v>17</v>
      </c>
      <c r="S44" s="772">
        <f t="shared" si="12"/>
        <v>100</v>
      </c>
      <c r="T44" s="771" t="s">
        <v>17</v>
      </c>
      <c r="U44" s="772">
        <f t="shared" si="13"/>
        <v>100</v>
      </c>
      <c r="V44" s="771" t="s">
        <v>17</v>
      </c>
      <c r="W44" s="772">
        <f t="shared" si="14"/>
        <v>100</v>
      </c>
      <c r="X44" s="1812"/>
      <c r="Y44" s="3548"/>
      <c r="Z44" s="1813" t="str">
        <f t="shared" si="15"/>
        <v>内部装修维护情况</v>
      </c>
      <c r="AA44" s="1810">
        <f t="shared" si="3"/>
        <v>1</v>
      </c>
      <c r="AB44" s="1810">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1"/>
      <c r="M45" s="1132"/>
      <c r="N45" s="1132"/>
      <c r="O45" s="1132"/>
      <c r="P45" s="3683"/>
      <c r="Q45" s="1794">
        <f t="shared" si="11"/>
        <v>111</v>
      </c>
      <c r="R45" s="767" t="s">
        <v>17</v>
      </c>
      <c r="S45" s="768">
        <f t="shared" si="12"/>
        <v>100</v>
      </c>
      <c r="T45" s="767" t="s">
        <v>17</v>
      </c>
      <c r="U45" s="768">
        <f t="shared" si="13"/>
        <v>100</v>
      </c>
      <c r="V45" s="767" t="s">
        <v>17</v>
      </c>
      <c r="W45" s="768">
        <f t="shared" si="14"/>
        <v>100</v>
      </c>
      <c r="X45" s="769"/>
      <c r="Y45" s="3548"/>
      <c r="Z45" s="54">
        <f t="shared" si="15"/>
        <v>111</v>
      </c>
      <c r="AA45" s="770">
        <f t="shared" si="3"/>
        <v>1</v>
      </c>
      <c r="AB45" s="770">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9"/>
      <c r="M46" s="1130"/>
      <c r="N46" s="1130"/>
      <c r="O46" s="1130"/>
      <c r="P46" s="3683"/>
      <c r="Q46" s="1809">
        <f t="shared" si="11"/>
        <v>111</v>
      </c>
      <c r="R46" s="771" t="s">
        <v>17</v>
      </c>
      <c r="S46" s="772">
        <f t="shared" si="12"/>
        <v>100</v>
      </c>
      <c r="T46" s="771" t="s">
        <v>17</v>
      </c>
      <c r="U46" s="772">
        <f t="shared" si="13"/>
        <v>100</v>
      </c>
      <c r="V46" s="771" t="s">
        <v>17</v>
      </c>
      <c r="W46" s="772">
        <f t="shared" si="14"/>
        <v>100</v>
      </c>
      <c r="X46" s="1812"/>
      <c r="Y46" s="3548"/>
      <c r="Z46" s="1813">
        <f t="shared" si="15"/>
        <v>111</v>
      </c>
      <c r="AA46" s="1810">
        <f t="shared" si="3"/>
        <v>1</v>
      </c>
      <c r="AB46" s="1810">
        <f t="shared" si="4"/>
        <v>1</v>
      </c>
      <c r="AC46" s="2672">
        <f t="shared" si="5"/>
        <v>1</v>
      </c>
    </row>
    <row r="47" spans="1:29" ht="15.6"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9"/>
      <c r="M47" s="1130"/>
      <c r="N47" s="1130"/>
      <c r="O47" s="1130"/>
      <c r="P47" s="3684"/>
      <c r="Q47" s="1809">
        <f t="shared" si="11"/>
        <v>111</v>
      </c>
      <c r="R47" s="771" t="s">
        <v>17</v>
      </c>
      <c r="S47" s="772">
        <f t="shared" si="12"/>
        <v>100</v>
      </c>
      <c r="T47" s="771" t="s">
        <v>17</v>
      </c>
      <c r="U47" s="772">
        <f t="shared" si="13"/>
        <v>100</v>
      </c>
      <c r="V47" s="771" t="s">
        <v>17</v>
      </c>
      <c r="W47" s="772">
        <f t="shared" si="14"/>
        <v>100</v>
      </c>
      <c r="X47" s="1812"/>
      <c r="Y47" s="3549"/>
      <c r="Z47" s="1813">
        <f t="shared" si="15"/>
        <v>111</v>
      </c>
      <c r="AA47" s="1810">
        <f t="shared" si="3"/>
        <v>1</v>
      </c>
      <c r="AB47" s="1810">
        <f t="shared" si="4"/>
        <v>1</v>
      </c>
      <c r="AC47" s="2672">
        <f t="shared" si="5"/>
        <v>1</v>
      </c>
    </row>
    <row r="48" spans="1:29" ht="14.4">
      <c r="A48" s="477" t="s">
        <v>2576</v>
      </c>
      <c r="B48" s="478"/>
      <c r="C48" s="1406" t="s">
        <v>1</v>
      </c>
      <c r="D48" s="1407"/>
      <c r="E48" s="1408"/>
      <c r="F48" s="1409"/>
      <c r="G48" s="1410"/>
      <c r="H48" s="1411"/>
      <c r="I48" s="1408"/>
      <c r="J48" s="483"/>
      <c r="K48" s="780"/>
      <c r="L48" s="1142"/>
      <c r="M48" s="1130"/>
      <c r="N48" s="1130"/>
      <c r="O48" s="1130"/>
      <c r="P48" s="3582" t="str">
        <f>A48</f>
        <v>成交单价（元/平方米）</v>
      </c>
      <c r="Q48" s="3540"/>
      <c r="R48" s="3541">
        <f>E48</f>
        <v>0</v>
      </c>
      <c r="S48" s="3541"/>
      <c r="T48" s="3541">
        <f>G48</f>
        <v>0</v>
      </c>
      <c r="U48" s="3541"/>
      <c r="V48" s="3541">
        <f>I48</f>
        <v>0</v>
      </c>
      <c r="W48" s="3541"/>
      <c r="X48" s="444"/>
      <c r="Y48" s="778"/>
      <c r="Z48" s="444"/>
      <c r="AA48" s="444"/>
      <c r="AB48" s="444"/>
      <c r="AC48" s="628"/>
    </row>
    <row r="49" spans="1:29" ht="15" thickBot="1">
      <c r="A49" s="484" t="s">
        <v>2668</v>
      </c>
      <c r="B49" s="485"/>
      <c r="C49" s="1412" t="e">
        <f>R50</f>
        <v>#DIV/0!</v>
      </c>
      <c r="D49" s="1413"/>
      <c r="E49" s="1414" t="e">
        <f>R49</f>
        <v>#DIV/0!</v>
      </c>
      <c r="F49" s="1414"/>
      <c r="G49" s="1412" t="e">
        <f>T49</f>
        <v>#DIV/0!</v>
      </c>
      <c r="H49" s="1413"/>
      <c r="I49" s="1414" t="e">
        <f>V49</f>
        <v>#DIV/0!</v>
      </c>
      <c r="J49" s="487"/>
      <c r="K49" s="781"/>
      <c r="L49" s="1142"/>
      <c r="M49" s="1130"/>
      <c r="N49" s="1130"/>
      <c r="O49" s="1130"/>
      <c r="P49" s="3582" t="str">
        <f>A49</f>
        <v>比较价值（元/平方米）</v>
      </c>
      <c r="Q49" s="3540"/>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444"/>
      <c r="Y49" s="444"/>
      <c r="Z49" s="444"/>
      <c r="AA49" s="444"/>
      <c r="AB49" s="444"/>
      <c r="AC49" s="628"/>
    </row>
    <row r="50" spans="1:29" ht="15" thickBot="1">
      <c r="A50" s="490" t="s">
        <v>2669</v>
      </c>
      <c r="B50" s="491"/>
      <c r="C50" s="1416" t="e">
        <f>R50</f>
        <v>#DIV/0!</v>
      </c>
      <c r="D50" s="1416"/>
      <c r="E50" s="1416"/>
      <c r="F50" s="1416"/>
      <c r="G50" s="1416"/>
      <c r="H50" s="1416"/>
      <c r="I50" s="1416"/>
      <c r="J50" s="492"/>
      <c r="K50" s="782"/>
      <c r="L50" s="1142"/>
      <c r="M50" s="1130"/>
      <c r="N50" s="1130"/>
      <c r="O50" s="1130"/>
      <c r="P50" s="3687" t="str">
        <f>A50</f>
        <v>估价对象XX用房的比较价值（楼面单价，元/平方米）</v>
      </c>
      <c r="Q50" s="3688"/>
      <c r="R50" s="3689" t="e">
        <f>IF(F1="售价",ROUND(AVERAGE(R49:V49),0),ROUND(AVERAGE(R49:V49),1))</f>
        <v>#DIV/0!</v>
      </c>
      <c r="S50" s="3689"/>
      <c r="T50" s="3689"/>
      <c r="U50" s="3689"/>
      <c r="V50" s="3689"/>
      <c r="W50" s="3689"/>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4"/>
      <c r="L53" s="1105"/>
      <c r="M53" s="1143"/>
      <c r="N53" s="1143"/>
      <c r="O53" s="1143"/>
    </row>
    <row r="54" spans="1:29" ht="13.5" customHeight="1">
      <c r="A54" s="1143"/>
      <c r="B54" s="1143"/>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4"/>
      <c r="L54" s="1105"/>
      <c r="M54" s="1143"/>
      <c r="N54" s="1143"/>
      <c r="O54" s="1143"/>
    </row>
    <row r="55" spans="1:29" s="500" customFormat="1" ht="13.5" customHeight="1">
      <c r="A55" s="1144"/>
      <c r="B55" s="1144"/>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7"/>
      <c r="L55" s="1148"/>
      <c r="M55" s="1144"/>
      <c r="N55" s="1144"/>
      <c r="O55" s="1144"/>
      <c r="P55" s="2678"/>
    </row>
    <row r="56" spans="1:29" s="500"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2.2" thickBot="1">
      <c r="A58" s="760" t="s">
        <v>2673</v>
      </c>
      <c r="B58" s="756"/>
      <c r="C58" s="761"/>
      <c r="D58" s="761"/>
      <c r="E58" s="761"/>
      <c r="F58" s="762"/>
      <c r="G58" s="762"/>
      <c r="H58" s="761"/>
      <c r="I58" s="761"/>
      <c r="J58" s="761"/>
      <c r="K58" s="763"/>
      <c r="L58" s="1160"/>
      <c r="M58" s="1158"/>
      <c r="N58" s="1158"/>
      <c r="O58" s="1158"/>
      <c r="P58" s="2679"/>
      <c r="Q58" s="502"/>
    </row>
    <row r="59" spans="1:29" s="506" customFormat="1" ht="14.4">
      <c r="A59" s="503" t="s">
        <v>2547</v>
      </c>
      <c r="B59" s="504"/>
      <c r="C59" s="1573" t="str">
        <f>YEAR(C7)&amp;"-"&amp;MONTH(C7)</f>
        <v>2018-11</v>
      </c>
      <c r="D59" s="1574">
        <f>EDATE(C59,-1)</f>
        <v>43374</v>
      </c>
      <c r="E59" s="1574">
        <f>EDATE(D59,-1)</f>
        <v>43344</v>
      </c>
      <c r="F59" s="1574">
        <f t="shared" ref="F59:O59" si="16">EDATE(E59,-1)</f>
        <v>43313</v>
      </c>
      <c r="G59" s="1574">
        <f t="shared" si="16"/>
        <v>43282</v>
      </c>
      <c r="H59" s="1574">
        <f t="shared" si="16"/>
        <v>43252</v>
      </c>
      <c r="I59" s="1574">
        <f t="shared" si="16"/>
        <v>43221</v>
      </c>
      <c r="J59" s="1574">
        <f t="shared" si="16"/>
        <v>43191</v>
      </c>
      <c r="K59" s="1574">
        <f t="shared" si="16"/>
        <v>43160</v>
      </c>
      <c r="L59" s="1574">
        <f t="shared" si="16"/>
        <v>43132</v>
      </c>
      <c r="M59" s="1574">
        <f t="shared" si="16"/>
        <v>43101</v>
      </c>
      <c r="N59" s="1574">
        <f t="shared" si="16"/>
        <v>43070</v>
      </c>
      <c r="O59" s="1574">
        <f t="shared" si="16"/>
        <v>43040</v>
      </c>
      <c r="P59" s="1570"/>
    </row>
    <row r="60" spans="1:29" s="115" customFormat="1">
      <c r="A60" s="507"/>
      <c r="B60" s="508"/>
      <c r="C60" s="1572">
        <v>100</v>
      </c>
      <c r="D60" s="510"/>
      <c r="E60" s="510"/>
      <c r="F60" s="510"/>
      <c r="G60" s="510"/>
      <c r="H60" s="510"/>
      <c r="I60" s="510"/>
      <c r="J60" s="510"/>
      <c r="K60" s="510"/>
      <c r="L60" s="510"/>
      <c r="M60" s="511"/>
      <c r="N60" s="510"/>
      <c r="O60" s="511"/>
      <c r="P60" s="2680"/>
    </row>
    <row r="61" spans="1:29" s="115" customFormat="1" ht="15" thickBot="1">
      <c r="A61" s="513" t="s">
        <v>2584</v>
      </c>
      <c r="B61" s="514"/>
      <c r="C61" s="515"/>
      <c r="D61" s="516"/>
      <c r="E61" s="516"/>
      <c r="F61" s="516"/>
      <c r="G61" s="516"/>
      <c r="H61" s="516"/>
      <c r="I61" s="516"/>
      <c r="J61" s="516"/>
      <c r="K61" s="516"/>
      <c r="L61" s="516"/>
      <c r="M61" s="517"/>
      <c r="N61" s="516"/>
      <c r="O61" s="517"/>
      <c r="P61" s="2680"/>
      <c r="Q61" s="502"/>
    </row>
    <row r="62" spans="1:29" s="115" customFormat="1" ht="14.4">
      <c r="A62" s="519" t="s">
        <v>2549</v>
      </c>
      <c r="B62" s="508"/>
      <c r="C62" s="520" t="s">
        <v>2651</v>
      </c>
      <c r="D62" s="521"/>
      <c r="E62" s="521"/>
      <c r="F62" s="521"/>
      <c r="G62" s="521"/>
      <c r="H62" s="521"/>
      <c r="I62" s="521"/>
      <c r="J62" s="521"/>
      <c r="K62" s="521"/>
      <c r="L62" s="522"/>
      <c r="M62" s="523"/>
      <c r="N62" s="1150"/>
      <c r="O62" s="1150"/>
      <c r="P62" s="2681"/>
      <c r="Q62" s="502"/>
    </row>
    <row r="63" spans="1:29" s="115" customFormat="1" ht="14.4" thickBot="1">
      <c r="A63" s="519"/>
      <c r="B63" s="508"/>
      <c r="C63" s="509">
        <v>100</v>
      </c>
      <c r="D63" s="510"/>
      <c r="E63" s="510"/>
      <c r="F63" s="510"/>
      <c r="G63" s="510"/>
      <c r="H63" s="510"/>
      <c r="I63" s="510"/>
      <c r="J63" s="510"/>
      <c r="K63" s="510"/>
      <c r="L63" s="510"/>
      <c r="M63" s="512"/>
      <c r="N63" s="1150"/>
      <c r="O63" s="1150"/>
      <c r="P63" s="2680"/>
      <c r="Q63" s="502"/>
    </row>
    <row r="64" spans="1:29" ht="14.4">
      <c r="A64" s="525" t="s">
        <v>2587</v>
      </c>
      <c r="B64" s="526" t="s">
        <v>2553</v>
      </c>
      <c r="C64" s="527">
        <f>C9</f>
        <v>0</v>
      </c>
      <c r="D64" s="528"/>
      <c r="E64" s="528"/>
      <c r="F64" s="528"/>
      <c r="G64" s="528"/>
      <c r="H64" s="528"/>
      <c r="I64" s="528"/>
      <c r="J64" s="528"/>
      <c r="K64" s="529"/>
      <c r="L64" s="530"/>
      <c r="M64" s="531"/>
      <c r="N64" s="1151"/>
      <c r="O64" s="1151"/>
      <c r="P64" s="2682"/>
      <c r="Q64" s="502"/>
    </row>
    <row r="65" spans="1:17" ht="14.4" thickBot="1">
      <c r="A65" s="532"/>
      <c r="B65" s="533"/>
      <c r="C65" s="534">
        <v>100</v>
      </c>
      <c r="D65" s="534"/>
      <c r="E65" s="534"/>
      <c r="F65" s="534"/>
      <c r="G65" s="534"/>
      <c r="H65" s="534"/>
      <c r="I65" s="534"/>
      <c r="J65" s="534"/>
      <c r="K65" s="534"/>
      <c r="L65" s="534"/>
      <c r="M65" s="535"/>
      <c r="N65" s="1152"/>
      <c r="O65" s="1152"/>
      <c r="P65" s="2682"/>
      <c r="Q65" s="502"/>
    </row>
    <row r="66" spans="1:17" ht="29.4" thickTop="1">
      <c r="A66" s="532"/>
      <c r="B66" s="536" t="s">
        <v>2556</v>
      </c>
      <c r="C66" s="537" t="s">
        <v>2588</v>
      </c>
      <c r="D66" s="537" t="s">
        <v>2589</v>
      </c>
      <c r="E66" s="537" t="s">
        <v>2590</v>
      </c>
      <c r="F66" s="537" t="s">
        <v>2591</v>
      </c>
      <c r="G66" s="537" t="s">
        <v>2592</v>
      </c>
      <c r="H66" s="537" t="s">
        <v>2593</v>
      </c>
      <c r="I66" s="537" t="s">
        <v>2594</v>
      </c>
      <c r="J66" s="537"/>
      <c r="K66" s="538"/>
      <c r="L66" s="539"/>
      <c r="M66" s="540"/>
      <c r="N66" s="1151"/>
      <c r="O66" s="1151"/>
      <c r="P66" s="2682"/>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2"/>
      <c r="O67" s="1152"/>
      <c r="P67" s="2682"/>
      <c r="Q67" s="502"/>
    </row>
    <row r="68" spans="1:17" ht="1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2"/>
      <c r="O68" s="1152"/>
      <c r="P68" s="2682"/>
      <c r="Q68" s="502"/>
    </row>
    <row r="69" spans="1:17">
      <c r="A69" s="532"/>
      <c r="B69" s="546"/>
      <c r="C69" s="547"/>
      <c r="D69" s="547"/>
      <c r="E69" s="547"/>
      <c r="F69" s="547"/>
      <c r="G69" s="547"/>
      <c r="H69" s="547"/>
      <c r="I69" s="547"/>
      <c r="J69" s="547"/>
      <c r="K69" s="548"/>
      <c r="L69" s="549"/>
      <c r="M69" s="550"/>
      <c r="N69" s="1151"/>
      <c r="O69" s="1151"/>
      <c r="P69" s="2682"/>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2"/>
      <c r="O70" s="1152"/>
      <c r="P70" s="2682"/>
      <c r="Q70" s="502"/>
    </row>
    <row r="71" spans="1:17" s="469" customFormat="1" ht="14.4" thickTop="1">
      <c r="A71" s="551"/>
      <c r="B71" s="536">
        <f>B12</f>
        <v>111</v>
      </c>
      <c r="C71" s="552"/>
      <c r="D71" s="552"/>
      <c r="E71" s="552"/>
      <c r="F71" s="552"/>
      <c r="G71" s="552"/>
      <c r="H71" s="553"/>
      <c r="I71" s="553"/>
      <c r="J71" s="553"/>
      <c r="K71" s="553"/>
      <c r="L71" s="554"/>
      <c r="M71" s="555"/>
      <c r="N71" s="1153"/>
      <c r="O71" s="1153"/>
      <c r="P71" s="2683"/>
      <c r="Q71" s="557"/>
    </row>
    <row r="72" spans="1:17" s="469" customFormat="1" ht="14.4" thickBot="1">
      <c r="A72" s="551"/>
      <c r="B72" s="541"/>
      <c r="C72" s="558"/>
      <c r="D72" s="534"/>
      <c r="E72" s="534"/>
      <c r="F72" s="534"/>
      <c r="G72" s="534"/>
      <c r="H72" s="534"/>
      <c r="I72" s="534"/>
      <c r="J72" s="534"/>
      <c r="K72" s="534"/>
      <c r="L72" s="534"/>
      <c r="M72" s="535"/>
      <c r="N72" s="1152"/>
      <c r="O72" s="1152"/>
      <c r="P72" s="2683"/>
      <c r="Q72" s="557"/>
    </row>
    <row r="73" spans="1:17" s="469" customFormat="1" ht="14.4" thickTop="1">
      <c r="A73" s="551"/>
      <c r="B73" s="536">
        <f>B13</f>
        <v>111</v>
      </c>
      <c r="C73" s="552"/>
      <c r="D73" s="552"/>
      <c r="E73" s="552"/>
      <c r="F73" s="552"/>
      <c r="G73" s="552"/>
      <c r="H73" s="553"/>
      <c r="I73" s="553"/>
      <c r="J73" s="553"/>
      <c r="K73" s="553"/>
      <c r="L73" s="554"/>
      <c r="M73" s="555"/>
      <c r="N73" s="1153"/>
      <c r="O73" s="1153"/>
      <c r="P73" s="2684"/>
      <c r="Q73" s="559"/>
    </row>
    <row r="74" spans="1:17" s="469" customFormat="1" ht="14.4" thickBot="1">
      <c r="A74" s="551"/>
      <c r="B74" s="541"/>
      <c r="C74" s="558"/>
      <c r="D74" s="558"/>
      <c r="E74" s="558"/>
      <c r="F74" s="558"/>
      <c r="G74" s="558"/>
      <c r="H74" s="560"/>
      <c r="I74" s="560"/>
      <c r="J74" s="560"/>
      <c r="K74" s="560"/>
      <c r="L74" s="560"/>
      <c r="M74" s="561"/>
      <c r="N74" s="1153"/>
      <c r="O74" s="1153"/>
      <c r="P74" s="2683"/>
      <c r="Q74" s="557"/>
    </row>
    <row r="75" spans="1:17" s="469" customFormat="1" ht="14.4" thickTop="1">
      <c r="A75" s="551"/>
      <c r="B75" s="544">
        <f>B14</f>
        <v>111</v>
      </c>
      <c r="C75" s="521"/>
      <c r="D75" s="521"/>
      <c r="E75" s="521"/>
      <c r="F75" s="521"/>
      <c r="G75" s="521"/>
      <c r="H75" s="562"/>
      <c r="I75" s="562"/>
      <c r="J75" s="562"/>
      <c r="K75" s="562"/>
      <c r="L75" s="563"/>
      <c r="M75" s="564"/>
      <c r="N75" s="1153"/>
      <c r="O75" s="1153"/>
      <c r="P75" s="2685"/>
      <c r="Q75" s="557"/>
    </row>
    <row r="76" spans="1:17" s="469" customFormat="1" ht="14.4" thickBot="1">
      <c r="A76" s="566"/>
      <c r="B76" s="567"/>
      <c r="C76" s="568"/>
      <c r="D76" s="568"/>
      <c r="E76" s="568"/>
      <c r="F76" s="568"/>
      <c r="G76" s="568"/>
      <c r="H76" s="569"/>
      <c r="I76" s="569"/>
      <c r="J76" s="569"/>
      <c r="K76" s="569"/>
      <c r="L76" s="569"/>
      <c r="M76" s="570"/>
      <c r="N76" s="1153"/>
      <c r="O76" s="1153"/>
      <c r="P76" s="2683"/>
      <c r="Q76" s="557"/>
    </row>
    <row r="77" spans="1:17" ht="14.4">
      <c r="A77" s="525" t="s">
        <v>2558</v>
      </c>
      <c r="B77" s="526" t="s">
        <v>2696</v>
      </c>
      <c r="C77" s="571" t="s">
        <v>2596</v>
      </c>
      <c r="D77" s="571" t="s">
        <v>2597</v>
      </c>
      <c r="E77" s="571" t="s">
        <v>2598</v>
      </c>
      <c r="F77" s="571" t="s">
        <v>2599</v>
      </c>
      <c r="G77" s="571" t="s">
        <v>2600</v>
      </c>
      <c r="H77" s="527"/>
      <c r="I77" s="527"/>
      <c r="J77" s="527"/>
      <c r="K77" s="572"/>
      <c r="L77" s="573"/>
      <c r="M77" s="574"/>
      <c r="N77" s="1151"/>
      <c r="O77" s="1151"/>
      <c r="P77" s="2686"/>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2"/>
      <c r="O78" s="1152"/>
      <c r="P78" s="2682"/>
      <c r="Q78" s="502"/>
    </row>
    <row r="79" spans="1:17" ht="15" thickTop="1">
      <c r="A79" s="532"/>
      <c r="B79" s="536" t="s">
        <v>2601</v>
      </c>
      <c r="C79" s="576" t="s">
        <v>2596</v>
      </c>
      <c r="D79" s="576" t="s">
        <v>2597</v>
      </c>
      <c r="E79" s="576" t="s">
        <v>2598</v>
      </c>
      <c r="F79" s="576" t="s">
        <v>2599</v>
      </c>
      <c r="G79" s="576" t="s">
        <v>2600</v>
      </c>
      <c r="H79" s="537"/>
      <c r="I79" s="537"/>
      <c r="J79" s="537"/>
      <c r="K79" s="538"/>
      <c r="L79" s="539"/>
      <c r="M79" s="540"/>
      <c r="N79" s="1151"/>
      <c r="O79" s="1151"/>
      <c r="P79" s="2682"/>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2"/>
      <c r="O80" s="1152"/>
      <c r="P80" s="2682"/>
      <c r="Q80" s="502"/>
    </row>
    <row r="81" spans="1:17" ht="15" thickTop="1">
      <c r="A81" s="532"/>
      <c r="B81" s="536" t="s">
        <v>2602</v>
      </c>
      <c r="C81" s="576" t="s">
        <v>2596</v>
      </c>
      <c r="D81" s="576" t="s">
        <v>2597</v>
      </c>
      <c r="E81" s="576" t="s">
        <v>2598</v>
      </c>
      <c r="F81" s="576" t="s">
        <v>2599</v>
      </c>
      <c r="G81" s="576" t="s">
        <v>2600</v>
      </c>
      <c r="H81" s="537"/>
      <c r="I81" s="537"/>
      <c r="J81" s="537"/>
      <c r="K81" s="538"/>
      <c r="L81" s="539"/>
      <c r="M81" s="540"/>
      <c r="N81" s="1151"/>
      <c r="O81" s="1151"/>
      <c r="P81" s="2682"/>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2"/>
      <c r="O82" s="1152"/>
      <c r="P82" s="2682"/>
      <c r="Q82" s="502"/>
    </row>
    <row r="83" spans="1:17" ht="15" thickTop="1">
      <c r="A83" s="532"/>
      <c r="B83" s="544" t="s">
        <v>2688</v>
      </c>
      <c r="C83" s="658" t="s">
        <v>2674</v>
      </c>
      <c r="D83" s="658" t="s">
        <v>2675</v>
      </c>
      <c r="E83" s="658" t="s">
        <v>2676</v>
      </c>
      <c r="F83" s="658" t="s">
        <v>2677</v>
      </c>
      <c r="G83" s="658" t="s">
        <v>2678</v>
      </c>
      <c r="H83" s="537"/>
      <c r="I83" s="537"/>
      <c r="J83" s="537"/>
      <c r="K83" s="537"/>
      <c r="L83" s="537"/>
      <c r="M83" s="1381"/>
      <c r="N83" s="1152"/>
      <c r="O83" s="1152"/>
      <c r="P83" s="2682"/>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2"/>
      <c r="O84" s="1152"/>
      <c r="P84" s="2682"/>
      <c r="Q84" s="502"/>
    </row>
    <row r="85" spans="1:17" ht="15" thickTop="1">
      <c r="A85" s="532"/>
      <c r="B85" s="536" t="s">
        <v>2697</v>
      </c>
      <c r="C85" s="576" t="s">
        <v>2596</v>
      </c>
      <c r="D85" s="576" t="s">
        <v>2597</v>
      </c>
      <c r="E85" s="576" t="s">
        <v>2598</v>
      </c>
      <c r="F85" s="576" t="s">
        <v>2599</v>
      </c>
      <c r="G85" s="576" t="s">
        <v>2600</v>
      </c>
      <c r="H85" s="537"/>
      <c r="I85" s="537"/>
      <c r="J85" s="537"/>
      <c r="K85" s="538"/>
      <c r="L85" s="539"/>
      <c r="M85" s="540"/>
      <c r="N85" s="1151"/>
      <c r="O85" s="1151"/>
      <c r="P85" s="2682"/>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2"/>
      <c r="O86" s="1152"/>
      <c r="P86" s="2682"/>
      <c r="Q86" s="502"/>
    </row>
    <row r="87" spans="1:17" s="115" customFormat="1" ht="29.4" thickTop="1">
      <c r="A87" s="577"/>
      <c r="B87" s="536" t="s">
        <v>2698</v>
      </c>
      <c r="C87" s="552"/>
      <c r="D87" s="552"/>
      <c r="E87" s="552"/>
      <c r="F87" s="552"/>
      <c r="G87" s="552"/>
      <c r="H87" s="552"/>
      <c r="I87" s="552"/>
      <c r="J87" s="552"/>
      <c r="K87" s="552"/>
      <c r="L87" s="578"/>
      <c r="M87" s="579"/>
      <c r="N87" s="1150"/>
      <c r="O87" s="1150"/>
      <c r="P87" s="2682"/>
      <c r="Q87" s="502"/>
    </row>
    <row r="88" spans="1:17" s="115"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2"/>
      <c r="O88" s="1152"/>
      <c r="P88" s="2682"/>
      <c r="Q88" s="502"/>
    </row>
    <row r="89" spans="1:17" s="115" customFormat="1" ht="14.4" thickTop="1">
      <c r="A89" s="577"/>
      <c r="B89" s="536" t="str">
        <f>B27</f>
        <v>楼层</v>
      </c>
      <c r="C89" s="552"/>
      <c r="D89" s="552"/>
      <c r="E89" s="552"/>
      <c r="F89" s="2633"/>
      <c r="G89" s="552"/>
      <c r="H89" s="552"/>
      <c r="I89" s="552"/>
      <c r="J89" s="552"/>
      <c r="K89" s="552"/>
      <c r="L89" s="552"/>
      <c r="M89" s="579"/>
      <c r="N89" s="1150"/>
      <c r="O89" s="1150"/>
      <c r="P89" s="2682"/>
      <c r="Q89" s="502"/>
    </row>
    <row r="90" spans="1:17" s="115"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2"/>
      <c r="O90" s="1152"/>
      <c r="P90" s="2682"/>
      <c r="Q90" s="502"/>
    </row>
    <row r="91" spans="1:17" s="469" customFormat="1" ht="14.4" thickTop="1">
      <c r="A91" s="551"/>
      <c r="B91" s="536" t="str">
        <f>B28</f>
        <v>朝向</v>
      </c>
      <c r="C91" s="552"/>
      <c r="D91" s="552"/>
      <c r="E91" s="552"/>
      <c r="F91" s="552"/>
      <c r="G91" s="552"/>
      <c r="H91" s="553"/>
      <c r="I91" s="553"/>
      <c r="J91" s="553"/>
      <c r="K91" s="553"/>
      <c r="L91" s="554"/>
      <c r="M91" s="555"/>
      <c r="N91" s="1153"/>
      <c r="O91" s="1153"/>
      <c r="P91" s="2683"/>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3"/>
      <c r="O92" s="1153"/>
      <c r="P92" s="2683"/>
      <c r="Q92" s="557"/>
    </row>
    <row r="93" spans="1:17" ht="14.4" thickTop="1">
      <c r="A93" s="532"/>
      <c r="B93" s="536">
        <f>B29</f>
        <v>111</v>
      </c>
      <c r="C93" s="552"/>
      <c r="D93" s="552"/>
      <c r="E93" s="552"/>
      <c r="F93" s="552"/>
      <c r="G93" s="552"/>
      <c r="H93" s="552"/>
      <c r="I93" s="552"/>
      <c r="J93" s="552"/>
      <c r="K93" s="552"/>
      <c r="L93" s="578"/>
      <c r="M93" s="579"/>
      <c r="N93" s="1151"/>
      <c r="O93" s="1151"/>
      <c r="P93" s="2682"/>
      <c r="Q93" s="502"/>
    </row>
    <row r="94" spans="1:17" ht="14.4" thickBot="1">
      <c r="A94" s="532"/>
      <c r="B94" s="541"/>
      <c r="C94" s="558"/>
      <c r="D94" s="534"/>
      <c r="E94" s="534"/>
      <c r="F94" s="534"/>
      <c r="G94" s="534"/>
      <c r="H94" s="534"/>
      <c r="I94" s="534"/>
      <c r="J94" s="534"/>
      <c r="K94" s="534"/>
      <c r="L94" s="534"/>
      <c r="M94" s="535"/>
      <c r="N94" s="1152"/>
      <c r="O94" s="1152"/>
      <c r="P94" s="2682"/>
      <c r="Q94" s="502"/>
    </row>
    <row r="95" spans="1:17" ht="14.4" thickTop="1">
      <c r="A95" s="532"/>
      <c r="B95" s="536">
        <f>B30</f>
        <v>111</v>
      </c>
      <c r="C95" s="552"/>
      <c r="D95" s="552"/>
      <c r="E95" s="552"/>
      <c r="F95" s="552"/>
      <c r="G95" s="581"/>
      <c r="H95" s="581"/>
      <c r="I95" s="581"/>
      <c r="J95" s="581"/>
      <c r="K95" s="582"/>
      <c r="L95" s="583"/>
      <c r="M95" s="584"/>
      <c r="N95" s="1151"/>
      <c r="O95" s="1151"/>
      <c r="P95" s="2682"/>
      <c r="Q95" s="502"/>
    </row>
    <row r="96" spans="1:17" ht="14.4" thickBot="1">
      <c r="A96" s="532"/>
      <c r="B96" s="541"/>
      <c r="C96" s="558"/>
      <c r="D96" s="558"/>
      <c r="E96" s="558"/>
      <c r="F96" s="558"/>
      <c r="G96" s="534"/>
      <c r="H96" s="534"/>
      <c r="I96" s="534"/>
      <c r="J96" s="534"/>
      <c r="K96" s="534"/>
      <c r="L96" s="534"/>
      <c r="M96" s="535"/>
      <c r="N96" s="1152"/>
      <c r="O96" s="1152"/>
      <c r="P96" s="2682"/>
      <c r="Q96" s="502"/>
    </row>
    <row r="97" spans="1:17" ht="14.4" thickTop="1">
      <c r="A97" s="532"/>
      <c r="B97" s="536">
        <f>B31</f>
        <v>111</v>
      </c>
      <c r="C97" s="552"/>
      <c r="D97" s="552"/>
      <c r="E97" s="552"/>
      <c r="F97" s="552"/>
      <c r="G97" s="581"/>
      <c r="H97" s="581"/>
      <c r="I97" s="581"/>
      <c r="J97" s="581"/>
      <c r="K97" s="582"/>
      <c r="L97" s="583"/>
      <c r="M97" s="584"/>
      <c r="N97" s="1151"/>
      <c r="O97" s="1151"/>
      <c r="P97" s="2682"/>
      <c r="Q97" s="502"/>
    </row>
    <row r="98" spans="1:17" ht="14.4" thickBot="1">
      <c r="A98" s="532"/>
      <c r="B98" s="541"/>
      <c r="C98" s="558"/>
      <c r="D98" s="534"/>
      <c r="E98" s="534"/>
      <c r="F98" s="534"/>
      <c r="G98" s="534"/>
      <c r="H98" s="534"/>
      <c r="I98" s="534"/>
      <c r="J98" s="534"/>
      <c r="K98" s="534"/>
      <c r="L98" s="534"/>
      <c r="M98" s="535"/>
      <c r="N98" s="1152"/>
      <c r="O98" s="1152"/>
      <c r="P98" s="2682"/>
      <c r="Q98" s="502"/>
    </row>
    <row r="99" spans="1:17" ht="14.4" thickTop="1">
      <c r="A99" s="532"/>
      <c r="B99" s="544">
        <f>B32</f>
        <v>111</v>
      </c>
      <c r="C99" s="521"/>
      <c r="D99" s="521"/>
      <c r="E99" s="521"/>
      <c r="F99" s="521"/>
      <c r="G99" s="585"/>
      <c r="H99" s="585"/>
      <c r="I99" s="585"/>
      <c r="J99" s="585"/>
      <c r="K99" s="586"/>
      <c r="L99" s="587"/>
      <c r="M99" s="588"/>
      <c r="N99" s="1151"/>
      <c r="O99" s="1151"/>
      <c r="P99" s="2682"/>
      <c r="Q99" s="502"/>
    </row>
    <row r="100" spans="1:17" ht="14.4" thickBot="1">
      <c r="A100" s="2634"/>
      <c r="B100" s="567"/>
      <c r="C100" s="568"/>
      <c r="D100" s="568"/>
      <c r="E100" s="568"/>
      <c r="F100" s="568"/>
      <c r="G100" s="589"/>
      <c r="H100" s="589"/>
      <c r="I100" s="589"/>
      <c r="J100" s="589"/>
      <c r="K100" s="589"/>
      <c r="L100" s="589"/>
      <c r="M100" s="590"/>
      <c r="N100" s="1152"/>
      <c r="O100" s="1152"/>
      <c r="P100" s="2682"/>
      <c r="Q100" s="502"/>
    </row>
    <row r="101" spans="1:17" ht="14.4">
      <c r="A101" s="525" t="s">
        <v>2562</v>
      </c>
      <c r="B101" s="526" t="s">
        <v>2611</v>
      </c>
      <c r="C101" s="528"/>
      <c r="D101" s="528"/>
      <c r="E101" s="528"/>
      <c r="F101" s="528"/>
      <c r="G101" s="528"/>
      <c r="H101" s="528"/>
      <c r="I101" s="528"/>
      <c r="J101" s="528"/>
      <c r="K101" s="529"/>
      <c r="L101" s="530"/>
      <c r="M101" s="531"/>
      <c r="N101" s="1151"/>
      <c r="O101" s="1151"/>
      <c r="P101" s="2682"/>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2"/>
      <c r="O102" s="1152"/>
      <c r="P102" s="2682"/>
      <c r="Q102" s="502"/>
    </row>
    <row r="103" spans="1:17" ht="1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0"/>
      <c r="O103" s="1150"/>
      <c r="P103" s="2682"/>
      <c r="Q103" s="502"/>
    </row>
    <row r="104" spans="1:17" s="469" customFormat="1">
      <c r="A104" s="591"/>
      <c r="B104" s="592"/>
      <c r="C104" s="593"/>
      <c r="D104" s="593"/>
      <c r="E104" s="593"/>
      <c r="F104" s="593"/>
      <c r="G104" s="593"/>
      <c r="H104" s="593"/>
      <c r="I104" s="593"/>
      <c r="J104" s="594"/>
      <c r="K104" s="594"/>
      <c r="L104" s="595"/>
      <c r="M104" s="596"/>
      <c r="N104" s="1153"/>
      <c r="O104" s="1153"/>
      <c r="P104" s="2683"/>
      <c r="Q104" s="557"/>
    </row>
    <row r="105" spans="1:17" s="469" customFormat="1" ht="14.4" thickBot="1">
      <c r="A105" s="551"/>
      <c r="B105" s="541"/>
      <c r="C105" s="558"/>
      <c r="D105" s="534"/>
      <c r="E105" s="534"/>
      <c r="F105" s="534"/>
      <c r="G105" s="534"/>
      <c r="H105" s="534"/>
      <c r="I105" s="534"/>
      <c r="J105" s="534"/>
      <c r="K105" s="534"/>
      <c r="L105" s="534"/>
      <c r="M105" s="535"/>
      <c r="N105" s="1152"/>
      <c r="O105" s="1152"/>
      <c r="P105" s="2683"/>
      <c r="Q105" s="557"/>
    </row>
    <row r="106" spans="1:17" ht="15" thickTop="1">
      <c r="A106" s="597"/>
      <c r="B106" s="536" t="s">
        <v>2613</v>
      </c>
      <c r="C106" s="552"/>
      <c r="D106" s="552"/>
      <c r="E106" s="581"/>
      <c r="F106" s="581"/>
      <c r="G106" s="581"/>
      <c r="H106" s="581"/>
      <c r="I106" s="581"/>
      <c r="J106" s="581"/>
      <c r="K106" s="582"/>
      <c r="L106" s="583"/>
      <c r="M106" s="584"/>
      <c r="N106" s="1151"/>
      <c r="O106" s="1151"/>
      <c r="P106" s="2682"/>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2"/>
      <c r="O107" s="1152"/>
      <c r="P107" s="2682"/>
      <c r="Q107" s="502"/>
    </row>
    <row r="108" spans="1:17" ht="15" thickTop="1">
      <c r="A108" s="597"/>
      <c r="B108" s="536" t="s">
        <v>2615</v>
      </c>
      <c r="C108" s="552"/>
      <c r="D108" s="552"/>
      <c r="E108" s="552"/>
      <c r="F108" s="581"/>
      <c r="G108" s="581"/>
      <c r="H108" s="581"/>
      <c r="I108" s="581"/>
      <c r="J108" s="581"/>
      <c r="K108" s="582"/>
      <c r="L108" s="583"/>
      <c r="M108" s="584"/>
      <c r="N108" s="1151"/>
      <c r="O108" s="1151"/>
      <c r="P108" s="2682"/>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2"/>
      <c r="O109" s="1152"/>
      <c r="P109" s="2682"/>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1"/>
      <c r="O110" s="1151"/>
      <c r="P110" s="2682"/>
      <c r="Q110" s="502"/>
    </row>
    <row r="111" spans="1:17">
      <c r="A111" s="597"/>
      <c r="B111" s="544"/>
      <c r="C111" s="601">
        <v>0.5</v>
      </c>
      <c r="D111" s="601">
        <v>0.6</v>
      </c>
      <c r="E111" s="601">
        <v>0.7</v>
      </c>
      <c r="F111" s="601">
        <v>0.8</v>
      </c>
      <c r="G111" s="601">
        <v>0.9</v>
      </c>
      <c r="H111" s="601">
        <v>1.0001</v>
      </c>
      <c r="I111" s="621"/>
      <c r="J111" s="621"/>
      <c r="K111" s="622"/>
      <c r="L111" s="623"/>
      <c r="M111" s="624"/>
      <c r="N111" s="1151"/>
      <c r="O111" s="1151"/>
      <c r="P111" s="2682"/>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2"/>
      <c r="O112" s="1152"/>
      <c r="P112" s="2682"/>
      <c r="Q112" s="502"/>
    </row>
    <row r="113" spans="1:17" s="469" customFormat="1" ht="15" thickTop="1">
      <c r="A113" s="591"/>
      <c r="B113" s="536" t="s">
        <v>2699</v>
      </c>
      <c r="C113" s="552"/>
      <c r="D113" s="552"/>
      <c r="E113" s="552"/>
      <c r="F113" s="552"/>
      <c r="G113" s="552"/>
      <c r="H113" s="581"/>
      <c r="I113" s="581"/>
      <c r="J113" s="581"/>
      <c r="K113" s="582"/>
      <c r="L113" s="583"/>
      <c r="M113" s="584"/>
      <c r="N113" s="1153"/>
      <c r="O113" s="1153"/>
      <c r="P113" s="2683"/>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3"/>
      <c r="O114" s="1153"/>
      <c r="P114" s="2683"/>
      <c r="Q114" s="557"/>
    </row>
    <row r="115" spans="1:17" ht="15" thickTop="1">
      <c r="A115" s="597"/>
      <c r="B115" s="536" t="s">
        <v>2616</v>
      </c>
      <c r="C115" s="552"/>
      <c r="D115" s="552"/>
      <c r="E115" s="581"/>
      <c r="F115" s="581"/>
      <c r="G115" s="581"/>
      <c r="H115" s="581"/>
      <c r="I115" s="581"/>
      <c r="J115" s="581"/>
      <c r="K115" s="582"/>
      <c r="L115" s="583"/>
      <c r="M115" s="584"/>
      <c r="N115" s="1151"/>
      <c r="O115" s="1151"/>
      <c r="P115" s="2682"/>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2"/>
      <c r="O116" s="1152"/>
      <c r="P116" s="2682"/>
      <c r="Q116" s="502"/>
    </row>
    <row r="117" spans="1:17" ht="15" thickTop="1">
      <c r="A117" s="597"/>
      <c r="B117" s="536" t="s">
        <v>2617</v>
      </c>
      <c r="C117" s="552"/>
      <c r="D117" s="552"/>
      <c r="E117" s="552"/>
      <c r="F117" s="552"/>
      <c r="G117" s="552"/>
      <c r="H117" s="581"/>
      <c r="I117" s="581"/>
      <c r="J117" s="581"/>
      <c r="K117" s="582"/>
      <c r="L117" s="583"/>
      <c r="M117" s="584"/>
      <c r="N117" s="1151"/>
      <c r="O117" s="1151"/>
      <c r="P117" s="2682"/>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2"/>
      <c r="O118" s="1152"/>
      <c r="P118" s="2682"/>
      <c r="Q118" s="502"/>
    </row>
    <row r="119" spans="1:17" ht="15" thickTop="1">
      <c r="A119" s="597"/>
      <c r="B119" s="634" t="s">
        <v>2700</v>
      </c>
      <c r="C119" s="581"/>
      <c r="D119" s="581"/>
      <c r="E119" s="581"/>
      <c r="F119" s="581"/>
      <c r="G119" s="581"/>
      <c r="H119" s="581"/>
      <c r="I119" s="581"/>
      <c r="J119" s="581"/>
      <c r="K119" s="581"/>
      <c r="L119" s="2687"/>
      <c r="M119" s="2688"/>
      <c r="N119" s="1152"/>
      <c r="O119" s="1152"/>
      <c r="P119" s="2689"/>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2"/>
      <c r="O120" s="1152"/>
      <c r="P120" s="2682"/>
      <c r="Q120" s="502"/>
    </row>
    <row r="121" spans="1:17" s="469" customFormat="1" ht="15" thickTop="1">
      <c r="A121" s="591"/>
      <c r="B121" s="536" t="s">
        <v>2683</v>
      </c>
      <c r="C121" s="552"/>
      <c r="D121" s="552"/>
      <c r="E121" s="552"/>
      <c r="F121" s="581"/>
      <c r="G121" s="553"/>
      <c r="H121" s="553"/>
      <c r="I121" s="553"/>
      <c r="J121" s="553"/>
      <c r="K121" s="553"/>
      <c r="L121" s="554"/>
      <c r="M121" s="555"/>
      <c r="N121" s="1153"/>
      <c r="O121" s="1153"/>
      <c r="P121" s="2683"/>
      <c r="Q121" s="557"/>
    </row>
    <row r="122" spans="1:17" s="469" customFormat="1" ht="14.4" thickBot="1">
      <c r="A122" s="551"/>
      <c r="B122" s="533"/>
      <c r="C122" s="558"/>
      <c r="D122" s="558"/>
      <c r="E122" s="558"/>
      <c r="F122" s="558"/>
      <c r="G122" s="558"/>
      <c r="H122" s="558"/>
      <c r="I122" s="558"/>
      <c r="J122" s="558"/>
      <c r="K122" s="558"/>
      <c r="L122" s="558"/>
      <c r="M122" s="558"/>
      <c r="N122" s="1153"/>
      <c r="O122" s="1153"/>
      <c r="P122" s="2683"/>
      <c r="Q122" s="557"/>
    </row>
    <row r="123" spans="1:17" ht="15" thickTop="1">
      <c r="A123" s="597"/>
      <c r="B123" s="536" t="s">
        <v>2619</v>
      </c>
      <c r="C123" s="552"/>
      <c r="D123" s="552"/>
      <c r="E123" s="552"/>
      <c r="F123" s="581"/>
      <c r="G123" s="581"/>
      <c r="H123" s="581"/>
      <c r="I123" s="581"/>
      <c r="J123" s="581"/>
      <c r="K123" s="582"/>
      <c r="L123" s="583"/>
      <c r="M123" s="584"/>
      <c r="N123" s="1151"/>
      <c r="O123" s="1151"/>
      <c r="P123" s="2682"/>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2"/>
      <c r="O124" s="1152"/>
      <c r="P124" s="2682"/>
      <c r="Q124" s="502"/>
    </row>
    <row r="125" spans="1:17" ht="29.4" thickTop="1">
      <c r="A125" s="597"/>
      <c r="B125" s="536" t="s">
        <v>2620</v>
      </c>
      <c r="C125" s="576" t="s">
        <v>2596</v>
      </c>
      <c r="D125" s="576" t="s">
        <v>2597</v>
      </c>
      <c r="E125" s="576" t="s">
        <v>2598</v>
      </c>
      <c r="F125" s="576" t="s">
        <v>2599</v>
      </c>
      <c r="G125" s="576" t="s">
        <v>2600</v>
      </c>
      <c r="H125" s="537"/>
      <c r="I125" s="537"/>
      <c r="J125" s="537"/>
      <c r="K125" s="538"/>
      <c r="L125" s="539"/>
      <c r="M125" s="540"/>
      <c r="N125" s="1151"/>
      <c r="O125" s="1151"/>
      <c r="P125" s="2683"/>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2"/>
      <c r="O126" s="1152"/>
      <c r="P126" s="2682"/>
      <c r="Q126" s="502"/>
    </row>
    <row r="127" spans="1:17" s="469" customFormat="1" ht="14.4" thickTop="1">
      <c r="A127" s="591"/>
      <c r="B127" s="536">
        <f>B45</f>
        <v>111</v>
      </c>
      <c r="C127" s="552"/>
      <c r="D127" s="552"/>
      <c r="E127" s="552"/>
      <c r="F127" s="552"/>
      <c r="G127" s="552"/>
      <c r="H127" s="553"/>
      <c r="I127" s="553"/>
      <c r="J127" s="553"/>
      <c r="K127" s="553"/>
      <c r="L127" s="554"/>
      <c r="M127" s="555"/>
      <c r="N127" s="1153"/>
      <c r="O127" s="1153"/>
      <c r="P127" s="2683"/>
      <c r="Q127" s="557"/>
    </row>
    <row r="128" spans="1:17" s="469" customFormat="1" ht="14.4" thickBot="1">
      <c r="A128" s="551"/>
      <c r="B128" s="541"/>
      <c r="C128" s="558"/>
      <c r="D128" s="534"/>
      <c r="E128" s="534"/>
      <c r="F128" s="534"/>
      <c r="G128" s="558"/>
      <c r="H128" s="560"/>
      <c r="I128" s="560"/>
      <c r="J128" s="560"/>
      <c r="K128" s="560"/>
      <c r="L128" s="560"/>
      <c r="M128" s="561"/>
      <c r="N128" s="1153"/>
      <c r="O128" s="1153"/>
      <c r="P128" s="2683"/>
      <c r="Q128" s="557"/>
    </row>
    <row r="129" spans="1:17" ht="14.4" thickTop="1">
      <c r="A129" s="597"/>
      <c r="B129" s="536">
        <f>B46</f>
        <v>111</v>
      </c>
      <c r="C129" s="552"/>
      <c r="D129" s="552"/>
      <c r="E129" s="552"/>
      <c r="F129" s="552"/>
      <c r="G129" s="581"/>
      <c r="H129" s="581"/>
      <c r="I129" s="581"/>
      <c r="J129" s="581"/>
      <c r="K129" s="582"/>
      <c r="L129" s="583"/>
      <c r="M129" s="584"/>
      <c r="N129" s="1151"/>
      <c r="O129" s="1151"/>
      <c r="P129" s="2682"/>
      <c r="Q129" s="502"/>
    </row>
    <row r="130" spans="1:17" ht="14.4" thickBot="1">
      <c r="A130" s="532"/>
      <c r="B130" s="541"/>
      <c r="C130" s="558"/>
      <c r="D130" s="558"/>
      <c r="E130" s="558"/>
      <c r="F130" s="558"/>
      <c r="G130" s="534"/>
      <c r="H130" s="534"/>
      <c r="I130" s="534"/>
      <c r="J130" s="534"/>
      <c r="K130" s="534"/>
      <c r="L130" s="534"/>
      <c r="M130" s="535"/>
      <c r="N130" s="1152"/>
      <c r="O130" s="1152"/>
      <c r="P130" s="2682"/>
      <c r="Q130" s="502"/>
    </row>
    <row r="131" spans="1:17" ht="14.4" thickTop="1">
      <c r="A131" s="597"/>
      <c r="B131" s="544">
        <f>B47</f>
        <v>111</v>
      </c>
      <c r="C131" s="521"/>
      <c r="D131" s="521"/>
      <c r="E131" s="521"/>
      <c r="F131" s="521"/>
      <c r="G131" s="585"/>
      <c r="H131" s="585"/>
      <c r="I131" s="585"/>
      <c r="J131" s="585"/>
      <c r="K131" s="521"/>
      <c r="L131" s="522"/>
      <c r="M131" s="588"/>
      <c r="N131" s="1151"/>
      <c r="O131" s="1151"/>
      <c r="P131" s="2682"/>
      <c r="Q131" s="502"/>
    </row>
    <row r="132" spans="1:17" ht="14.4" thickBot="1">
      <c r="A132" s="2634"/>
      <c r="B132" s="567"/>
      <c r="C132" s="568"/>
      <c r="D132" s="568"/>
      <c r="E132" s="568"/>
      <c r="F132" s="568"/>
      <c r="G132" s="589"/>
      <c r="H132" s="589"/>
      <c r="I132" s="589"/>
      <c r="J132" s="589"/>
      <c r="K132" s="589"/>
      <c r="L132" s="589"/>
      <c r="M132" s="590"/>
      <c r="N132" s="1152"/>
      <c r="O132" s="1152"/>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2"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2706</v>
      </c>
      <c r="B1" s="1618"/>
      <c r="C1" s="1619" t="s">
        <v>2529</v>
      </c>
      <c r="D1" s="1620"/>
      <c r="E1" s="1621"/>
      <c r="F1" s="2582"/>
      <c r="G1" s="1622" t="s">
        <v>2642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2329</v>
      </c>
      <c r="B2" s="1417" t="e">
        <f ca="1">IF(C2="——",IF(B37="元/平方米",ROUND(C39*D3/10000,0),ROUND(F3*C39/10000,0)),IF(B37="元/平方米",ROUND(C39*D3/10000,0),ROUND(F3*C39/10000,0))-D2)</f>
        <v>#DIV/0!</v>
      </c>
      <c r="C2" s="2584"/>
      <c r="D2" s="1123" t="e">
        <f ca="1">SUMIF(INDIRECT("'"&amp;F2&amp;"'"&amp;"!A:A"),"承租人权益价值",INDIRECT("'"&amp;F2&amp;"'"&amp;"!c:c"))</f>
        <v>#REF!</v>
      </c>
      <c r="E2" s="2585" t="s">
        <v>2330</v>
      </c>
      <c r="F2" s="2586"/>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6" customFormat="1" ht="28.5" customHeight="1" thickBot="1">
      <c r="A3" s="245" t="s">
        <v>2331</v>
      </c>
      <c r="B3" s="607" t="e">
        <f ca="1">IF(AND(C2="——",B37="元/平方米"),C39,ROUND(B2*10000/D3,0))</f>
        <v>#DIV/0!</v>
      </c>
      <c r="C3" s="398" t="s">
        <v>2643</v>
      </c>
      <c r="D3" s="397">
        <f>SUMIF('数据-汇总表'!$C19:$C33,D1,'数据-汇总表'!$E19:$E33)</f>
        <v>0</v>
      </c>
      <c r="E3" s="398" t="s">
        <v>2707</v>
      </c>
      <c r="F3" s="397">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4.4">
      <c r="A4" s="399" t="s">
        <v>2644</v>
      </c>
      <c r="B4" s="400"/>
      <c r="C4" s="3553" t="s">
        <v>2645</v>
      </c>
      <c r="D4" s="3554"/>
      <c r="E4" s="3555" t="s">
        <v>2646</v>
      </c>
      <c r="F4" s="3556"/>
      <c r="G4" s="3553" t="s">
        <v>2647</v>
      </c>
      <c r="H4" s="3554"/>
      <c r="I4" s="3553" t="s">
        <v>2648</v>
      </c>
      <c r="J4" s="3554"/>
      <c r="K4" s="608" t="s">
        <v>2649</v>
      </c>
      <c r="L4" s="1129"/>
      <c r="M4" s="1130"/>
      <c r="N4" s="1130"/>
      <c r="O4" s="1130"/>
      <c r="P4" s="3557" t="s">
        <v>2650</v>
      </c>
      <c r="Q4" s="3558"/>
      <c r="R4" s="3563" t="s">
        <v>2646</v>
      </c>
      <c r="S4" s="3564"/>
      <c r="T4" s="3563" t="s">
        <v>2647</v>
      </c>
      <c r="U4" s="3564"/>
      <c r="V4" s="3569" t="s">
        <v>2648</v>
      </c>
      <c r="W4" s="3569"/>
      <c r="X4" s="1812"/>
      <c r="Y4" s="3563" t="s">
        <v>2650</v>
      </c>
      <c r="Z4" s="3564"/>
      <c r="AA4" s="3550" t="s">
        <v>2646</v>
      </c>
      <c r="AB4" s="3551" t="s">
        <v>2647</v>
      </c>
      <c r="AC4" s="3550" t="s">
        <v>2648</v>
      </c>
    </row>
    <row r="5" spans="1:29">
      <c r="A5" s="402"/>
      <c r="B5" s="403"/>
      <c r="C5" s="3572" t="s">
        <v>2541</v>
      </c>
      <c r="D5" s="3573"/>
      <c r="E5" s="3579" t="s">
        <v>2542</v>
      </c>
      <c r="F5" s="3580"/>
      <c r="G5" s="3572" t="s">
        <v>2543</v>
      </c>
      <c r="H5" s="3573"/>
      <c r="I5" s="3572" t="s">
        <v>2544</v>
      </c>
      <c r="J5" s="3573"/>
      <c r="K5" s="608"/>
      <c r="L5" s="1129"/>
      <c r="M5" s="1130"/>
      <c r="N5" s="1130"/>
      <c r="O5" s="1130"/>
      <c r="P5" s="3559"/>
      <c r="Q5" s="3560"/>
      <c r="R5" s="3565"/>
      <c r="S5" s="3566"/>
      <c r="T5" s="3565"/>
      <c r="U5" s="3566"/>
      <c r="V5" s="3569"/>
      <c r="W5" s="3569"/>
      <c r="X5" s="1812"/>
      <c r="Y5" s="3565"/>
      <c r="Z5" s="3566"/>
      <c r="AA5" s="3551"/>
      <c r="AB5" s="3551"/>
      <c r="AC5" s="3551"/>
    </row>
    <row r="6" spans="1:29" ht="15" thickBot="1">
      <c r="A6" s="404"/>
      <c r="B6" s="405"/>
      <c r="C6" s="3570" t="s">
        <v>2545</v>
      </c>
      <c r="D6" s="3571"/>
      <c r="E6" s="3577" t="s">
        <v>2545</v>
      </c>
      <c r="F6" s="3578"/>
      <c r="G6" s="3570" t="s">
        <v>2545</v>
      </c>
      <c r="H6" s="3571"/>
      <c r="I6" s="3570" t="s">
        <v>2545</v>
      </c>
      <c r="J6" s="3571"/>
      <c r="K6" s="608" t="s">
        <v>2546</v>
      </c>
      <c r="L6" s="1129"/>
      <c r="M6" s="1130"/>
      <c r="N6" s="1130"/>
      <c r="O6" s="1130"/>
      <c r="P6" s="3561"/>
      <c r="Q6" s="3562"/>
      <c r="R6" s="3565"/>
      <c r="S6" s="3566"/>
      <c r="T6" s="3567"/>
      <c r="U6" s="3568"/>
      <c r="V6" s="3569"/>
      <c r="W6" s="3569"/>
      <c r="X6" s="1812"/>
      <c r="Y6" s="3567"/>
      <c r="Z6" s="3568"/>
      <c r="AA6" s="3552"/>
      <c r="AB6" s="3552"/>
      <c r="AC6" s="3552"/>
    </row>
    <row r="7" spans="1:29" s="115" customFormat="1" ht="15" thickBot="1">
      <c r="A7" s="406" t="s">
        <v>2547</v>
      </c>
      <c r="B7" s="407"/>
      <c r="C7" s="408">
        <f>'数据-取费表'!B2</f>
        <v>43424</v>
      </c>
      <c r="D7" s="409">
        <v>100</v>
      </c>
      <c r="E7" s="410"/>
      <c r="F7" s="411">
        <f>SUMIF(48:48,YEAR(E7)&amp;"-"&amp;MONTH(E7),49:49)</f>
        <v>0</v>
      </c>
      <c r="G7" s="410"/>
      <c r="H7" s="409">
        <f>SUMIF(48:48,YEAR(G7)&amp;"-"&amp;MONTH(G7),49:49)</f>
        <v>0</v>
      </c>
      <c r="I7" s="410"/>
      <c r="J7" s="409">
        <f>SUMIF(48:48,YEAR(I7)&amp;"-"&amp;MONTH(I7),49:49)</f>
        <v>0</v>
      </c>
      <c r="K7" s="609"/>
      <c r="L7" s="1131"/>
      <c r="M7" s="1132"/>
      <c r="N7" s="1132"/>
      <c r="O7" s="1132"/>
      <c r="P7" s="3574" t="s">
        <v>2548</v>
      </c>
      <c r="Q7" s="3576"/>
      <c r="R7" s="767" t="s">
        <v>17</v>
      </c>
      <c r="S7" s="768">
        <f t="shared" ref="S7:S14" si="0">F7</f>
        <v>0</v>
      </c>
      <c r="T7" s="767" t="s">
        <v>17</v>
      </c>
      <c r="U7" s="768">
        <f t="shared" ref="U7:U14" si="1">H7</f>
        <v>0</v>
      </c>
      <c r="V7" s="767" t="s">
        <v>17</v>
      </c>
      <c r="W7" s="768">
        <f t="shared" ref="W7:W14" si="2">J7</f>
        <v>0</v>
      </c>
      <c r="X7" s="769"/>
      <c r="Y7" s="3574" t="s">
        <v>2548</v>
      </c>
      <c r="Z7" s="3575"/>
      <c r="AA7" s="770" t="e">
        <f>D7/F7</f>
        <v>#DIV/0!</v>
      </c>
      <c r="AB7" s="770" t="e">
        <f>D7/H7</f>
        <v>#DIV/0!</v>
      </c>
      <c r="AC7" s="770" t="e">
        <f>D7/J7</f>
        <v>#DIV/0!</v>
      </c>
    </row>
    <row r="8" spans="1:29" s="115" customFormat="1" ht="15" thickBot="1">
      <c r="A8" s="406" t="s">
        <v>2549</v>
      </c>
      <c r="B8" s="407"/>
      <c r="C8" s="412" t="s">
        <v>2651</v>
      </c>
      <c r="D8" s="409">
        <v>100</v>
      </c>
      <c r="E8" s="412"/>
      <c r="F8" s="411">
        <f>SUMIF(51:51,E8,52:52)-SUMIF(51:51,C8,52:52)+100</f>
        <v>0</v>
      </c>
      <c r="G8" s="412"/>
      <c r="H8" s="409">
        <f>SUMIF(51:51,G8,52:52)-SUMIF(51:51,C8,52:52)+100</f>
        <v>0</v>
      </c>
      <c r="I8" s="412"/>
      <c r="J8" s="409">
        <f>SUMIF(51:51,I8,52:52)-SUMIF(51:51,C8,52:52)+100</f>
        <v>0</v>
      </c>
      <c r="K8" s="609"/>
      <c r="L8" s="1131"/>
      <c r="M8" s="1132"/>
      <c r="N8" s="1132"/>
      <c r="O8" s="1132"/>
      <c r="P8" s="3574" t="s">
        <v>2551</v>
      </c>
      <c r="Q8" s="3575"/>
      <c r="R8" s="767" t="s">
        <v>17</v>
      </c>
      <c r="S8" s="768">
        <f t="shared" si="0"/>
        <v>0</v>
      </c>
      <c r="T8" s="767" t="s">
        <v>17</v>
      </c>
      <c r="U8" s="768">
        <f t="shared" si="1"/>
        <v>0</v>
      </c>
      <c r="V8" s="767" t="s">
        <v>17</v>
      </c>
      <c r="W8" s="768">
        <f t="shared" si="2"/>
        <v>0</v>
      </c>
      <c r="X8" s="769"/>
      <c r="Y8" s="3574" t="s">
        <v>2551</v>
      </c>
      <c r="Z8" s="3575"/>
      <c r="AA8" s="770" t="e">
        <f t="shared" ref="AA8:AA36" si="3">D8/F8</f>
        <v>#DIV/0!</v>
      </c>
      <c r="AB8" s="770" t="e">
        <f t="shared" ref="AB8:AB36" si="4">D8/H8</f>
        <v>#DIV/0!</v>
      </c>
      <c r="AC8" s="770" t="e">
        <f t="shared" ref="AC8:AC36" si="5">D8/J8</f>
        <v>#DIV/0!</v>
      </c>
    </row>
    <row r="9" spans="1:29" s="115" customFormat="1" ht="14.4">
      <c r="A9" s="67" t="s">
        <v>2552</v>
      </c>
      <c r="B9" s="638" t="s">
        <v>2553</v>
      </c>
      <c r="C9" s="414"/>
      <c r="D9" s="133">
        <v>100</v>
      </c>
      <c r="E9" s="417"/>
      <c r="F9" s="133">
        <f>SUMIF(53:53,E9,54:54)-SUMIF(53:53,C9,54:54)+100</f>
        <v>100</v>
      </c>
      <c r="G9" s="415"/>
      <c r="H9" s="133">
        <f>SUMIF(53:53,G9,54:54)-SUMIF(53:53,C9,54:54)+100</f>
        <v>100</v>
      </c>
      <c r="I9" s="415"/>
      <c r="J9" s="133">
        <f>SUMIF(53:53,I9,54:54)-SUMIF(53:53,C9,54:54)+100</f>
        <v>100</v>
      </c>
      <c r="K9" s="609"/>
      <c r="L9" s="1131"/>
      <c r="M9" s="1132"/>
      <c r="N9" s="1132"/>
      <c r="O9" s="1132"/>
      <c r="P9" s="3540" t="s">
        <v>2554</v>
      </c>
      <c r="Q9" s="1794" t="str">
        <f t="shared" ref="Q9:Q14" si="6">B9</f>
        <v>用途</v>
      </c>
      <c r="R9" s="767" t="s">
        <v>17</v>
      </c>
      <c r="S9" s="768">
        <f t="shared" si="0"/>
        <v>100</v>
      </c>
      <c r="T9" s="767" t="s">
        <v>17</v>
      </c>
      <c r="U9" s="768">
        <f t="shared" si="1"/>
        <v>100</v>
      </c>
      <c r="V9" s="767" t="s">
        <v>17</v>
      </c>
      <c r="W9" s="768">
        <f t="shared" si="2"/>
        <v>100</v>
      </c>
      <c r="X9" s="769"/>
      <c r="Y9" s="3390" t="s">
        <v>2555</v>
      </c>
      <c r="Z9" s="54" t="str">
        <f t="shared" ref="Z9:Z14" si="7">Q9</f>
        <v>用途</v>
      </c>
      <c r="AA9" s="770">
        <f t="shared" si="3"/>
        <v>1</v>
      </c>
      <c r="AB9" s="770">
        <f t="shared" si="4"/>
        <v>1</v>
      </c>
      <c r="AC9" s="770">
        <f t="shared" si="5"/>
        <v>1</v>
      </c>
    </row>
    <row r="10" spans="1:29" s="425" customFormat="1" ht="28.8">
      <c r="A10" s="639"/>
      <c r="B10" s="640" t="s">
        <v>2556</v>
      </c>
      <c r="C10" s="421"/>
      <c r="D10" s="134">
        <v>100</v>
      </c>
      <c r="E10" s="421"/>
      <c r="F10" s="134">
        <f>SUMIF(55:55,E10,56:56)-SUMIF(55:55,C10,56:56)+100</f>
        <v>100</v>
      </c>
      <c r="G10" s="422"/>
      <c r="H10" s="134">
        <f>SUMIF(55:55,G10,56:56)-SUMIF(55:55,C10,56:56)+100</f>
        <v>100</v>
      </c>
      <c r="I10" s="421"/>
      <c r="J10" s="134">
        <f>SUMIF(55:55,I10,56:56)-SUMIF(55:55,C10,56:56)+100</f>
        <v>100</v>
      </c>
      <c r="K10" s="610"/>
      <c r="L10" s="1134"/>
      <c r="M10" s="1135"/>
      <c r="N10" s="1135"/>
      <c r="O10" s="1135"/>
      <c r="P10" s="3540"/>
      <c r="Q10" s="1794" t="str">
        <f t="shared" si="6"/>
        <v>土地使用年限（年）</v>
      </c>
      <c r="R10" s="767" t="s">
        <v>17</v>
      </c>
      <c r="S10" s="768">
        <f t="shared" si="0"/>
        <v>100</v>
      </c>
      <c r="T10" s="767" t="s">
        <v>17</v>
      </c>
      <c r="U10" s="768">
        <f t="shared" si="1"/>
        <v>100</v>
      </c>
      <c r="V10" s="767" t="s">
        <v>17</v>
      </c>
      <c r="W10" s="768">
        <f t="shared" si="2"/>
        <v>100</v>
      </c>
      <c r="X10" s="769"/>
      <c r="Y10" s="3390"/>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7"/>
      <c r="M11" s="1130"/>
      <c r="N11" s="1130"/>
      <c r="O11" s="1130"/>
      <c r="P11" s="3540"/>
      <c r="Q11" s="1794">
        <f t="shared" si="6"/>
        <v>111</v>
      </c>
      <c r="R11" s="767" t="s">
        <v>17</v>
      </c>
      <c r="S11" s="768">
        <f t="shared" si="0"/>
        <v>100</v>
      </c>
      <c r="T11" s="767" t="s">
        <v>17</v>
      </c>
      <c r="U11" s="768">
        <f t="shared" si="1"/>
        <v>100</v>
      </c>
      <c r="V11" s="767" t="s">
        <v>17</v>
      </c>
      <c r="W11" s="768">
        <f t="shared" si="2"/>
        <v>100</v>
      </c>
      <c r="X11" s="769"/>
      <c r="Y11" s="3390"/>
      <c r="Z11" s="54">
        <f t="shared" si="7"/>
        <v>111</v>
      </c>
      <c r="AA11" s="770">
        <f t="shared" si="3"/>
        <v>1</v>
      </c>
      <c r="AB11" s="770">
        <f t="shared" si="4"/>
        <v>1</v>
      </c>
      <c r="AC11" s="770">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1"/>
      <c r="M12" s="1132"/>
      <c r="N12" s="1132"/>
      <c r="O12" s="1132"/>
      <c r="P12" s="3540"/>
      <c r="Q12" s="1794">
        <f t="shared" si="6"/>
        <v>111</v>
      </c>
      <c r="R12" s="767" t="s">
        <v>17</v>
      </c>
      <c r="S12" s="768">
        <f t="shared" si="0"/>
        <v>100</v>
      </c>
      <c r="T12" s="767" t="s">
        <v>17</v>
      </c>
      <c r="U12" s="768">
        <f t="shared" si="1"/>
        <v>100</v>
      </c>
      <c r="V12" s="767" t="s">
        <v>17</v>
      </c>
      <c r="W12" s="768">
        <f t="shared" si="2"/>
        <v>100</v>
      </c>
      <c r="X12" s="769"/>
      <c r="Y12" s="3390"/>
      <c r="Z12" s="54">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9"/>
      <c r="M13" s="1130"/>
      <c r="N13" s="1130"/>
      <c r="O13" s="1130"/>
      <c r="P13" s="3540"/>
      <c r="Q13" s="1794">
        <f t="shared" si="6"/>
        <v>111</v>
      </c>
      <c r="R13" s="767" t="s">
        <v>17</v>
      </c>
      <c r="S13" s="768">
        <f t="shared" si="0"/>
        <v>100</v>
      </c>
      <c r="T13" s="767" t="s">
        <v>17</v>
      </c>
      <c r="U13" s="768">
        <f t="shared" si="1"/>
        <v>100</v>
      </c>
      <c r="V13" s="767" t="s">
        <v>17</v>
      </c>
      <c r="W13" s="768">
        <f t="shared" si="2"/>
        <v>100</v>
      </c>
      <c r="X13" s="769"/>
      <c r="Y13" s="3390"/>
      <c r="Z13" s="54">
        <f t="shared" si="7"/>
        <v>111</v>
      </c>
      <c r="AA13" s="770">
        <f t="shared" si="3"/>
        <v>1</v>
      </c>
      <c r="AB13" s="770">
        <f t="shared" si="4"/>
        <v>1</v>
      </c>
      <c r="AC13" s="770">
        <f t="shared" si="5"/>
        <v>1</v>
      </c>
    </row>
    <row r="14" spans="1:29" ht="96.6">
      <c r="A14" s="399" t="s">
        <v>2558</v>
      </c>
      <c r="B14" s="627" t="s">
        <v>2708</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9"/>
      <c r="M14" s="1130"/>
      <c r="N14" s="1130"/>
      <c r="O14" s="1130"/>
      <c r="P14" s="3545" t="s">
        <v>2559</v>
      </c>
      <c r="Q14" s="1809" t="str">
        <f t="shared" si="6"/>
        <v>交通便捷度</v>
      </c>
      <c r="R14" s="771" t="s">
        <v>17</v>
      </c>
      <c r="S14" s="772">
        <f t="shared" si="0"/>
        <v>100</v>
      </c>
      <c r="T14" s="771" t="s">
        <v>17</v>
      </c>
      <c r="U14" s="772">
        <f t="shared" si="1"/>
        <v>100</v>
      </c>
      <c r="V14" s="771" t="s">
        <v>17</v>
      </c>
      <c r="W14" s="772">
        <f t="shared" si="2"/>
        <v>100</v>
      </c>
      <c r="X14" s="1812"/>
      <c r="Y14" s="3545" t="s">
        <v>2559</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39"/>
      <c r="M15" s="1130"/>
      <c r="N15" s="1130"/>
      <c r="O15" s="1130"/>
      <c r="P15" s="3546"/>
      <c r="Q15" s="1809"/>
      <c r="R15" s="771"/>
      <c r="S15" s="772"/>
      <c r="T15" s="771"/>
      <c r="U15" s="772"/>
      <c r="V15" s="771"/>
      <c r="W15" s="772"/>
      <c r="X15" s="1812"/>
      <c r="Y15" s="3546"/>
      <c r="Z15" s="1813"/>
      <c r="AA15" s="1810">
        <v>1</v>
      </c>
      <c r="AB15" s="1810">
        <v>1</v>
      </c>
      <c r="AC15" s="1810">
        <v>1</v>
      </c>
    </row>
    <row r="16" spans="1:29" ht="41.4">
      <c r="A16" s="402"/>
      <c r="B16" s="629" t="s">
        <v>2687</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9"/>
      <c r="M16" s="1130"/>
      <c r="N16" s="1130"/>
      <c r="O16" s="1130"/>
      <c r="P16" s="3546"/>
      <c r="Q16" s="1809" t="str">
        <f>B16</f>
        <v>公共配套设施</v>
      </c>
      <c r="R16" s="771" t="s">
        <v>17</v>
      </c>
      <c r="S16" s="772">
        <f>F16</f>
        <v>100</v>
      </c>
      <c r="T16" s="771" t="s">
        <v>17</v>
      </c>
      <c r="U16" s="772">
        <f>H16</f>
        <v>100</v>
      </c>
      <c r="V16" s="771" t="s">
        <v>17</v>
      </c>
      <c r="W16" s="772">
        <f>J16</f>
        <v>100</v>
      </c>
      <c r="X16" s="1812"/>
      <c r="Y16" s="3546"/>
      <c r="Z16" s="1813" t="str">
        <f>Q16</f>
        <v>公共配套设施</v>
      </c>
      <c r="AA16" s="1810">
        <f t="shared" si="3"/>
        <v>1</v>
      </c>
      <c r="AB16" s="1810">
        <f t="shared" si="4"/>
        <v>1</v>
      </c>
      <c r="AC16" s="1810">
        <f t="shared" si="5"/>
        <v>1</v>
      </c>
    </row>
    <row r="17" spans="1:29" ht="15">
      <c r="A17" s="402"/>
      <c r="B17" s="630"/>
      <c r="C17" s="2606"/>
      <c r="D17" s="446"/>
      <c r="E17" s="445"/>
      <c r="F17" s="447"/>
      <c r="G17" s="445"/>
      <c r="H17" s="446"/>
      <c r="I17" s="445"/>
      <c r="J17" s="446"/>
      <c r="K17" s="613"/>
      <c r="L17" s="1139"/>
      <c r="M17" s="1130"/>
      <c r="N17" s="1130"/>
      <c r="O17" s="1130"/>
      <c r="P17" s="3546"/>
      <c r="Q17" s="1809"/>
      <c r="R17" s="771"/>
      <c r="S17" s="772"/>
      <c r="T17" s="771"/>
      <c r="U17" s="772"/>
      <c r="V17" s="771"/>
      <c r="W17" s="772"/>
      <c r="X17" s="1812"/>
      <c r="Y17" s="3546"/>
      <c r="Z17" s="1813"/>
      <c r="AA17" s="1810">
        <v>1</v>
      </c>
      <c r="AB17" s="1810">
        <v>1</v>
      </c>
      <c r="AC17" s="1810">
        <v>1</v>
      </c>
    </row>
    <row r="18" spans="1:29" ht="41.4">
      <c r="A18" s="402"/>
      <c r="B18" s="631" t="s">
        <v>2688</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9"/>
      <c r="M18" s="1130"/>
      <c r="N18" s="1130"/>
      <c r="O18" s="1130"/>
      <c r="P18" s="3546"/>
      <c r="Q18" s="1809" t="str">
        <f>B18</f>
        <v>基础设施水平</v>
      </c>
      <c r="R18" s="771" t="s">
        <v>17</v>
      </c>
      <c r="S18" s="772">
        <f>F18</f>
        <v>100</v>
      </c>
      <c r="T18" s="771" t="s">
        <v>17</v>
      </c>
      <c r="U18" s="772">
        <f>H18</f>
        <v>100</v>
      </c>
      <c r="V18" s="771" t="s">
        <v>17</v>
      </c>
      <c r="W18" s="772">
        <f>J18</f>
        <v>100</v>
      </c>
      <c r="X18" s="1812"/>
      <c r="Y18" s="3546"/>
      <c r="Z18" s="1813" t="str">
        <f>Q18</f>
        <v>基础设施水平</v>
      </c>
      <c r="AA18" s="1810">
        <f t="shared" ref="AA18" si="8">D18/F18</f>
        <v>1</v>
      </c>
      <c r="AB18" s="1810">
        <f t="shared" ref="AB18" si="9">D18/H18</f>
        <v>1</v>
      </c>
      <c r="AC18" s="1810">
        <f t="shared" ref="AC18" si="10">D18/J18</f>
        <v>1</v>
      </c>
    </row>
    <row r="19" spans="1:29" ht="15">
      <c r="A19" s="402"/>
      <c r="B19" s="631"/>
      <c r="C19" s="2606"/>
      <c r="D19" s="448"/>
      <c r="E19" s="2606"/>
      <c r="F19" s="451"/>
      <c r="G19" s="2606"/>
      <c r="H19" s="446"/>
      <c r="I19" s="445"/>
      <c r="J19" s="446"/>
      <c r="K19" s="1382"/>
      <c r="L19" s="1139"/>
      <c r="M19" s="1130"/>
      <c r="N19" s="1130"/>
      <c r="O19" s="1130"/>
      <c r="P19" s="3546"/>
      <c r="Q19" s="1809"/>
      <c r="R19" s="771"/>
      <c r="S19" s="772"/>
      <c r="T19" s="771"/>
      <c r="U19" s="772"/>
      <c r="V19" s="771"/>
      <c r="W19" s="772"/>
      <c r="X19" s="1812"/>
      <c r="Y19" s="3546"/>
      <c r="Z19" s="1813"/>
      <c r="AA19" s="1810">
        <v>1</v>
      </c>
      <c r="AB19" s="1810">
        <v>1</v>
      </c>
      <c r="AC19" s="1810">
        <v>1</v>
      </c>
    </row>
    <row r="20" spans="1:29" ht="55.2">
      <c r="A20" s="402"/>
      <c r="B20" s="629" t="s">
        <v>2709</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9"/>
      <c r="M20" s="1130"/>
      <c r="N20" s="1130"/>
      <c r="O20" s="1130"/>
      <c r="P20" s="3546"/>
      <c r="Q20" s="1809" t="str">
        <f>B20</f>
        <v>自然及人文环境</v>
      </c>
      <c r="R20" s="771" t="s">
        <v>17</v>
      </c>
      <c r="S20" s="772">
        <f>F20</f>
        <v>100</v>
      </c>
      <c r="T20" s="771" t="s">
        <v>17</v>
      </c>
      <c r="U20" s="772">
        <f>H20</f>
        <v>100</v>
      </c>
      <c r="V20" s="771" t="s">
        <v>17</v>
      </c>
      <c r="W20" s="772">
        <f>J20</f>
        <v>100</v>
      </c>
      <c r="X20" s="1812"/>
      <c r="Y20" s="3546"/>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39"/>
      <c r="M21" s="1130"/>
      <c r="N21" s="1130"/>
      <c r="O21" s="1130"/>
      <c r="P21" s="3546"/>
      <c r="Q21" s="1809"/>
      <c r="R21" s="771"/>
      <c r="S21" s="772"/>
      <c r="T21" s="771"/>
      <c r="U21" s="772"/>
      <c r="V21" s="771"/>
      <c r="W21" s="772"/>
      <c r="X21" s="1812"/>
      <c r="Y21" s="3546"/>
      <c r="Z21" s="1813"/>
      <c r="AA21" s="1810">
        <v>1</v>
      </c>
      <c r="AB21" s="1810">
        <v>1</v>
      </c>
      <c r="AC21" s="1810">
        <v>1</v>
      </c>
    </row>
    <row r="22" spans="1:29" ht="15">
      <c r="A22" s="402"/>
      <c r="B22" s="629" t="s">
        <v>2710</v>
      </c>
      <c r="C22" s="614"/>
      <c r="D22" s="448">
        <v>100</v>
      </c>
      <c r="E22" s="614"/>
      <c r="F22" s="459">
        <f>SUMIF(71:71,E22,72:72)-SUMIF(71:71,C22,72:72)+100</f>
        <v>100</v>
      </c>
      <c r="G22" s="614"/>
      <c r="H22" s="433">
        <f>SUMIF(71:71,G22,72:72)-SUMIF(71:71,C22,72:72)+100</f>
        <v>100</v>
      </c>
      <c r="I22" s="614"/>
      <c r="J22" s="433">
        <f>SUMIF(71:71,I22,72:72)-SUMIF(71:71,C22,72:72)+100</f>
        <v>100</v>
      </c>
      <c r="K22" s="610"/>
      <c r="L22" s="1139"/>
      <c r="M22" s="1130"/>
      <c r="N22" s="1130"/>
      <c r="O22" s="1130"/>
      <c r="P22" s="3546"/>
      <c r="Q22" s="1809" t="str">
        <f>B22</f>
        <v>楼层</v>
      </c>
      <c r="R22" s="771" t="s">
        <v>17</v>
      </c>
      <c r="S22" s="772">
        <f>F22</f>
        <v>100</v>
      </c>
      <c r="T22" s="771" t="s">
        <v>17</v>
      </c>
      <c r="U22" s="772">
        <f>H22</f>
        <v>100</v>
      </c>
      <c r="V22" s="771" t="s">
        <v>17</v>
      </c>
      <c r="W22" s="772">
        <f>J22</f>
        <v>100</v>
      </c>
      <c r="X22" s="1812"/>
      <c r="Y22" s="3546"/>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9"/>
      <c r="M23" s="1130"/>
      <c r="N23" s="1130"/>
      <c r="O23" s="1130"/>
      <c r="P23" s="3546"/>
      <c r="Q23" s="1809">
        <f>B23</f>
        <v>111</v>
      </c>
      <c r="R23" s="771" t="s">
        <v>17</v>
      </c>
      <c r="S23" s="772">
        <f>F23</f>
        <v>100</v>
      </c>
      <c r="T23" s="771" t="s">
        <v>17</v>
      </c>
      <c r="U23" s="772">
        <f>H23</f>
        <v>100</v>
      </c>
      <c r="V23" s="771" t="s">
        <v>17</v>
      </c>
      <c r="W23" s="772">
        <f>J23</f>
        <v>100</v>
      </c>
      <c r="X23" s="1812"/>
      <c r="Y23" s="3546"/>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9"/>
      <c r="M24" s="1130"/>
      <c r="N24" s="1130"/>
      <c r="O24" s="1130"/>
      <c r="P24" s="3546"/>
      <c r="Q24" s="1809">
        <f t="shared" ref="Q24:Q36" si="11">B24</f>
        <v>111</v>
      </c>
      <c r="R24" s="771" t="s">
        <v>17</v>
      </c>
      <c r="S24" s="772">
        <f>F24</f>
        <v>100</v>
      </c>
      <c r="T24" s="771" t="s">
        <v>17</v>
      </c>
      <c r="U24" s="772">
        <f>H24</f>
        <v>100</v>
      </c>
      <c r="V24" s="771" t="s">
        <v>17</v>
      </c>
      <c r="W24" s="772">
        <f>J24</f>
        <v>100</v>
      </c>
      <c r="X24" s="1812"/>
      <c r="Y24" s="3546"/>
      <c r="Z24" s="1813">
        <f>Q24</f>
        <v>111</v>
      </c>
      <c r="AA24" s="1810">
        <f t="shared" si="3"/>
        <v>1</v>
      </c>
      <c r="AB24" s="1810">
        <f t="shared" si="4"/>
        <v>1</v>
      </c>
      <c r="AC24" s="1810">
        <f t="shared" si="5"/>
        <v>1</v>
      </c>
    </row>
    <row r="25" spans="1:29" s="115"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1"/>
      <c r="M25" s="1132"/>
      <c r="N25" s="1132"/>
      <c r="O25" s="1132"/>
      <c r="P25" s="3546"/>
      <c r="Q25" s="1794">
        <f t="shared" si="11"/>
        <v>111</v>
      </c>
      <c r="R25" s="767" t="s">
        <v>17</v>
      </c>
      <c r="S25" s="768">
        <f>F25</f>
        <v>100</v>
      </c>
      <c r="T25" s="767" t="s">
        <v>17</v>
      </c>
      <c r="U25" s="768">
        <f>H25</f>
        <v>100</v>
      </c>
      <c r="V25" s="767" t="s">
        <v>17</v>
      </c>
      <c r="W25" s="768">
        <f>J25</f>
        <v>100</v>
      </c>
      <c r="X25" s="769"/>
      <c r="Y25" s="3546"/>
      <c r="Z25" s="54">
        <f>Q25</f>
        <v>111</v>
      </c>
      <c r="AA25" s="1810">
        <f>D25/F25</f>
        <v>1</v>
      </c>
      <c r="AB25" s="1810">
        <f>D25/H25</f>
        <v>1</v>
      </c>
      <c r="AC25" s="1810">
        <f>D25/J25</f>
        <v>1</v>
      </c>
    </row>
    <row r="26" spans="1:29" ht="30">
      <c r="A26" s="650" t="s">
        <v>2562</v>
      </c>
      <c r="B26" s="69" t="s">
        <v>2711</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39"/>
      <c r="M26" s="1130"/>
      <c r="N26" s="1130"/>
      <c r="O26" s="1130"/>
      <c r="P26" s="3547" t="s">
        <v>2564</v>
      </c>
      <c r="Q26" s="1809" t="str">
        <f t="shared" si="11"/>
        <v>配套类型</v>
      </c>
      <c r="R26" s="771" t="s">
        <v>17</v>
      </c>
      <c r="S26" s="772">
        <f t="shared" ref="S26:S36" si="12">F26</f>
        <v>100</v>
      </c>
      <c r="T26" s="771" t="s">
        <v>17</v>
      </c>
      <c r="U26" s="772">
        <f t="shared" ref="U26:U36" si="13">H26</f>
        <v>100</v>
      </c>
      <c r="V26" s="771" t="s">
        <v>17</v>
      </c>
      <c r="W26" s="772">
        <f t="shared" ref="W26:W36" si="14">J26</f>
        <v>100</v>
      </c>
      <c r="X26" s="1812"/>
      <c r="Y26" s="3548" t="s">
        <v>2564</v>
      </c>
      <c r="Z26" s="1813" t="str">
        <f t="shared" ref="Z26:Z36" si="15">Q26</f>
        <v>配套类型</v>
      </c>
      <c r="AA26" s="1810">
        <f t="shared" si="3"/>
        <v>1</v>
      </c>
      <c r="AB26" s="1810">
        <f t="shared" si="4"/>
        <v>1</v>
      </c>
      <c r="AC26" s="1810">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37"/>
      <c r="M27" s="1140"/>
      <c r="N27" s="1140"/>
      <c r="O27" s="1140"/>
      <c r="P27" s="3548"/>
      <c r="Q27" s="773" t="str">
        <f t="shared" si="11"/>
        <v>项目停车位配比</v>
      </c>
      <c r="R27" s="774" t="s">
        <v>17</v>
      </c>
      <c r="S27" s="775">
        <f t="shared" si="12"/>
        <v>100</v>
      </c>
      <c r="T27" s="774" t="s">
        <v>17</v>
      </c>
      <c r="U27" s="775">
        <f t="shared" si="13"/>
        <v>100</v>
      </c>
      <c r="V27" s="774" t="s">
        <v>17</v>
      </c>
      <c r="W27" s="775">
        <f t="shared" si="14"/>
        <v>100</v>
      </c>
      <c r="X27" s="776"/>
      <c r="Y27" s="3548"/>
      <c r="Z27" s="777" t="str">
        <f t="shared" si="15"/>
        <v>项目停车位配比</v>
      </c>
      <c r="AA27" s="1810">
        <f t="shared" si="3"/>
        <v>1</v>
      </c>
      <c r="AB27" s="1810">
        <f t="shared" si="4"/>
        <v>1</v>
      </c>
      <c r="AC27" s="1810">
        <f t="shared" si="5"/>
        <v>1</v>
      </c>
    </row>
    <row r="28" spans="1:29" ht="15">
      <c r="A28" s="654"/>
      <c r="B28" s="652" t="s">
        <v>2713</v>
      </c>
      <c r="C28" s="458"/>
      <c r="D28" s="433">
        <v>100</v>
      </c>
      <c r="E28" s="458"/>
      <c r="F28" s="459">
        <f>SUMIF(83:83,E28,84:84)-SUMIF(83:83,C28,84:84)+100</f>
        <v>100</v>
      </c>
      <c r="G28" s="458"/>
      <c r="H28" s="433">
        <f>SUMIF(83:83,G28,84:84)-SUMIF(83:83,C28,84:84)+100</f>
        <v>100</v>
      </c>
      <c r="I28" s="458"/>
      <c r="J28" s="433">
        <f>SUMIF(83:83,I28,84:84)-SUMIF(83:83,C28,84:84)+100</f>
        <v>100</v>
      </c>
      <c r="K28" s="610"/>
      <c r="L28" s="1139"/>
      <c r="M28" s="1130"/>
      <c r="N28" s="1130"/>
      <c r="O28" s="1130"/>
      <c r="P28" s="3548"/>
      <c r="Q28" s="1809" t="str">
        <f t="shared" si="11"/>
        <v>公共部分装修</v>
      </c>
      <c r="R28" s="771" t="s">
        <v>17</v>
      </c>
      <c r="S28" s="772">
        <f t="shared" si="12"/>
        <v>100</v>
      </c>
      <c r="T28" s="771" t="s">
        <v>17</v>
      </c>
      <c r="U28" s="772">
        <f t="shared" si="13"/>
        <v>100</v>
      </c>
      <c r="V28" s="771" t="s">
        <v>17</v>
      </c>
      <c r="W28" s="772">
        <f t="shared" si="14"/>
        <v>100</v>
      </c>
      <c r="X28" s="1812"/>
      <c r="Y28" s="3548"/>
      <c r="Z28" s="1813" t="str">
        <f t="shared" si="15"/>
        <v>公共部分装修</v>
      </c>
      <c r="AA28" s="1810">
        <f t="shared" si="3"/>
        <v>1</v>
      </c>
      <c r="AB28" s="1810">
        <f t="shared" si="4"/>
        <v>1</v>
      </c>
      <c r="AC28" s="1810">
        <f t="shared" si="5"/>
        <v>1</v>
      </c>
    </row>
    <row r="29" spans="1:29" ht="15">
      <c r="A29" s="654"/>
      <c r="B29" s="652" t="s">
        <v>2714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9"/>
      <c r="M29" s="1130"/>
      <c r="N29" s="1130"/>
      <c r="O29" s="1130"/>
      <c r="P29" s="3548"/>
      <c r="Q29" s="1809" t="str">
        <f t="shared" si="11"/>
        <v>成新率</v>
      </c>
      <c r="R29" s="771" t="s">
        <v>17</v>
      </c>
      <c r="S29" s="772" t="e">
        <f t="shared" si="12"/>
        <v>#N/A</v>
      </c>
      <c r="T29" s="771" t="s">
        <v>17</v>
      </c>
      <c r="U29" s="772" t="e">
        <f t="shared" si="13"/>
        <v>#N/A</v>
      </c>
      <c r="V29" s="771" t="s">
        <v>17</v>
      </c>
      <c r="W29" s="772" t="e">
        <f t="shared" si="14"/>
        <v>#N/A</v>
      </c>
      <c r="X29" s="1812"/>
      <c r="Y29" s="3548"/>
      <c r="Z29" s="1813" t="str">
        <f t="shared" si="15"/>
        <v>成新率</v>
      </c>
      <c r="AA29" s="1810" t="e">
        <f t="shared" si="3"/>
        <v>#N/A</v>
      </c>
      <c r="AB29" s="1810" t="e">
        <f t="shared" si="4"/>
        <v>#N/A</v>
      </c>
      <c r="AC29" s="1810" t="e">
        <f t="shared" si="5"/>
        <v>#N/A</v>
      </c>
    </row>
    <row r="30" spans="1:29" ht="15">
      <c r="A30" s="654"/>
      <c r="B30" s="652" t="s">
        <v>2715</v>
      </c>
      <c r="C30" s="655"/>
      <c r="D30" s="433">
        <v>100</v>
      </c>
      <c r="E30" s="655"/>
      <c r="F30" s="459">
        <f>SUMIF(88:88,E30,89:89)-SUMIF(88:88,C30,89:89)+100</f>
        <v>100</v>
      </c>
      <c r="G30" s="655"/>
      <c r="H30" s="433">
        <f>SUMIF(88:88,E30,89:89)-SUMIF(88:88,C30,89:89)+100</f>
        <v>100</v>
      </c>
      <c r="I30" s="655"/>
      <c r="J30" s="433">
        <f>SUMIF(88:88,E30,89:89)-SUMIF(88:88,C30,89:89)+100</f>
        <v>100</v>
      </c>
      <c r="K30" s="610"/>
      <c r="L30" s="1139"/>
      <c r="M30" s="1130"/>
      <c r="N30" s="1130"/>
      <c r="O30" s="1130"/>
      <c r="P30" s="3548"/>
      <c r="Q30" s="1809" t="str">
        <f t="shared" si="11"/>
        <v>物业等级</v>
      </c>
      <c r="R30" s="771" t="s">
        <v>17</v>
      </c>
      <c r="S30" s="772">
        <f t="shared" si="12"/>
        <v>100</v>
      </c>
      <c r="T30" s="771" t="s">
        <v>17</v>
      </c>
      <c r="U30" s="772">
        <f t="shared" si="13"/>
        <v>100</v>
      </c>
      <c r="V30" s="771" t="s">
        <v>17</v>
      </c>
      <c r="W30" s="772">
        <f t="shared" si="14"/>
        <v>100</v>
      </c>
      <c r="X30" s="1812"/>
      <c r="Y30" s="3548"/>
      <c r="Z30" s="1813" t="str">
        <f t="shared" si="15"/>
        <v>物业等级</v>
      </c>
      <c r="AA30" s="1810">
        <f t="shared" si="3"/>
        <v>1</v>
      </c>
      <c r="AB30" s="1810">
        <f t="shared" si="4"/>
        <v>1</v>
      </c>
      <c r="AC30" s="1810">
        <f t="shared" si="5"/>
        <v>1</v>
      </c>
    </row>
    <row r="31" spans="1:29" s="115" customFormat="1" ht="15">
      <c r="A31" s="656"/>
      <c r="B31" s="652" t="s">
        <v>2716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1"/>
      <c r="M31" s="1132"/>
      <c r="N31" s="1132"/>
      <c r="O31" s="1132"/>
      <c r="P31" s="3548"/>
      <c r="Q31" s="1794" t="str">
        <f t="shared" si="11"/>
        <v>停车位面积</v>
      </c>
      <c r="R31" s="767" t="s">
        <v>17</v>
      </c>
      <c r="S31" s="768" t="e">
        <f t="shared" si="12"/>
        <v>#N/A</v>
      </c>
      <c r="T31" s="767" t="s">
        <v>17</v>
      </c>
      <c r="U31" s="768" t="e">
        <f t="shared" si="13"/>
        <v>#N/A</v>
      </c>
      <c r="V31" s="767" t="s">
        <v>17</v>
      </c>
      <c r="W31" s="768" t="e">
        <f t="shared" si="14"/>
        <v>#N/A</v>
      </c>
      <c r="X31" s="769"/>
      <c r="Y31" s="3548"/>
      <c r="Z31" s="54" t="str">
        <f t="shared" si="15"/>
        <v>停车位面积</v>
      </c>
      <c r="AA31" s="770" t="e">
        <f t="shared" si="3"/>
        <v>#N/A</v>
      </c>
      <c r="AB31" s="770" t="e">
        <f t="shared" si="4"/>
        <v>#N/A</v>
      </c>
      <c r="AC31" s="770" t="e">
        <f t="shared" si="5"/>
        <v>#N/A</v>
      </c>
    </row>
    <row r="32" spans="1:29" ht="15">
      <c r="A32" s="654"/>
      <c r="B32" s="652" t="s">
        <v>2717</v>
      </c>
      <c r="C32" s="458"/>
      <c r="D32" s="433">
        <v>100</v>
      </c>
      <c r="E32" s="458"/>
      <c r="F32" s="459">
        <f>SUMIF(93:93,E32,94:94)-SUMIF(93:93,C32,94:94)+100</f>
        <v>100</v>
      </c>
      <c r="G32" s="458"/>
      <c r="H32" s="433">
        <f>SUMIF(93:93,G32,94:94)-SUMIF(93:93,C32,94:94)+100</f>
        <v>100</v>
      </c>
      <c r="I32" s="458"/>
      <c r="J32" s="433">
        <f>SUMIF(93:93,I32,94:94)-SUMIF(93:93,C32,94:94)+100</f>
        <v>100</v>
      </c>
      <c r="K32" s="610"/>
      <c r="L32" s="1139"/>
      <c r="M32" s="1130"/>
      <c r="N32" s="1130"/>
      <c r="O32" s="1130"/>
      <c r="P32" s="3548" t="s">
        <v>2564</v>
      </c>
      <c r="Q32" s="1809" t="str">
        <f t="shared" si="11"/>
        <v>车位类型</v>
      </c>
      <c r="R32" s="771" t="s">
        <v>17</v>
      </c>
      <c r="S32" s="772">
        <f t="shared" si="12"/>
        <v>100</v>
      </c>
      <c r="T32" s="771" t="s">
        <v>17</v>
      </c>
      <c r="U32" s="772">
        <f t="shared" si="13"/>
        <v>100</v>
      </c>
      <c r="V32" s="771" t="s">
        <v>17</v>
      </c>
      <c r="W32" s="772">
        <f t="shared" si="14"/>
        <v>100</v>
      </c>
      <c r="X32" s="1812"/>
      <c r="Y32" s="3548" t="s">
        <v>2564</v>
      </c>
      <c r="Z32" s="1813" t="str">
        <f t="shared" si="15"/>
        <v>车位类型</v>
      </c>
      <c r="AA32" s="1810">
        <f t="shared" si="3"/>
        <v>1</v>
      </c>
      <c r="AB32" s="1810">
        <f t="shared" si="4"/>
        <v>1</v>
      </c>
      <c r="AC32" s="1810">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39"/>
      <c r="M33" s="1130"/>
      <c r="N33" s="1130"/>
      <c r="O33" s="1130"/>
      <c r="P33" s="3548"/>
      <c r="Q33" s="1809" t="str">
        <f t="shared" si="11"/>
        <v>是否直接入户</v>
      </c>
      <c r="R33" s="771" t="s">
        <v>17</v>
      </c>
      <c r="S33" s="772">
        <f t="shared" si="12"/>
        <v>100</v>
      </c>
      <c r="T33" s="771" t="s">
        <v>17</v>
      </c>
      <c r="U33" s="772">
        <f t="shared" si="13"/>
        <v>100</v>
      </c>
      <c r="V33" s="771" t="s">
        <v>17</v>
      </c>
      <c r="W33" s="772">
        <f t="shared" si="14"/>
        <v>100</v>
      </c>
      <c r="X33" s="1812"/>
      <c r="Y33" s="3548"/>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9"/>
      <c r="M34" s="1130"/>
      <c r="N34" s="1130"/>
      <c r="O34" s="1130"/>
      <c r="P34" s="3548"/>
      <c r="Q34" s="1809">
        <f t="shared" si="11"/>
        <v>111</v>
      </c>
      <c r="R34" s="771" t="s">
        <v>17</v>
      </c>
      <c r="S34" s="772">
        <f t="shared" si="12"/>
        <v>100</v>
      </c>
      <c r="T34" s="771" t="s">
        <v>17</v>
      </c>
      <c r="U34" s="772">
        <f t="shared" si="13"/>
        <v>100</v>
      </c>
      <c r="V34" s="771" t="s">
        <v>17</v>
      </c>
      <c r="W34" s="772">
        <f t="shared" si="14"/>
        <v>100</v>
      </c>
      <c r="X34" s="1812"/>
      <c r="Y34" s="3548"/>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7"/>
      <c r="M35" s="1140"/>
      <c r="N35" s="1140"/>
      <c r="O35" s="1140"/>
      <c r="P35" s="3548"/>
      <c r="Q35" s="773">
        <f t="shared" si="11"/>
        <v>111</v>
      </c>
      <c r="R35" s="774" t="s">
        <v>17</v>
      </c>
      <c r="S35" s="775">
        <f t="shared" si="12"/>
        <v>100</v>
      </c>
      <c r="T35" s="774" t="s">
        <v>17</v>
      </c>
      <c r="U35" s="775">
        <f t="shared" si="13"/>
        <v>100</v>
      </c>
      <c r="V35" s="774" t="s">
        <v>17</v>
      </c>
      <c r="W35" s="775">
        <f t="shared" si="14"/>
        <v>100</v>
      </c>
      <c r="X35" s="776"/>
      <c r="Y35" s="3548"/>
      <c r="Z35" s="777">
        <f t="shared" si="15"/>
        <v>111</v>
      </c>
      <c r="AA35" s="1810">
        <f t="shared" si="3"/>
        <v>1</v>
      </c>
      <c r="AB35" s="1810">
        <f t="shared" si="4"/>
        <v>1</v>
      </c>
      <c r="AC35" s="181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9"/>
      <c r="M36" s="1130"/>
      <c r="N36" s="1130"/>
      <c r="O36" s="1130"/>
      <c r="P36" s="3548"/>
      <c r="Q36" s="1809">
        <f t="shared" si="11"/>
        <v>111</v>
      </c>
      <c r="R36" s="771" t="s">
        <v>17</v>
      </c>
      <c r="S36" s="772">
        <f t="shared" si="12"/>
        <v>100</v>
      </c>
      <c r="T36" s="771" t="s">
        <v>17</v>
      </c>
      <c r="U36" s="772">
        <f t="shared" si="13"/>
        <v>100</v>
      </c>
      <c r="V36" s="771" t="s">
        <v>17</v>
      </c>
      <c r="W36" s="772">
        <f t="shared" si="14"/>
        <v>100</v>
      </c>
      <c r="X36" s="1812"/>
      <c r="Y36" s="3548"/>
      <c r="Z36" s="1813">
        <f t="shared" si="15"/>
        <v>111</v>
      </c>
      <c r="AA36" s="1810">
        <f t="shared" si="3"/>
        <v>1</v>
      </c>
      <c r="AB36" s="1810">
        <f t="shared" si="4"/>
        <v>1</v>
      </c>
      <c r="AC36" s="1810">
        <f t="shared" si="5"/>
        <v>1</v>
      </c>
    </row>
    <row r="37" spans="1:29" ht="14.4">
      <c r="A37" s="477" t="s">
        <v>2719</v>
      </c>
      <c r="B37" s="2693" t="s">
        <v>2720</v>
      </c>
      <c r="C37" s="1406" t="s">
        <v>1</v>
      </c>
      <c r="D37" s="1407"/>
      <c r="E37" s="1408"/>
      <c r="F37" s="1409"/>
      <c r="G37" s="1410"/>
      <c r="H37" s="1411"/>
      <c r="I37" s="1408"/>
      <c r="J37" s="1411"/>
      <c r="K37" s="617"/>
      <c r="L37" s="1142"/>
      <c r="M37" s="1143"/>
      <c r="N37" s="1130"/>
      <c r="O37" s="1143"/>
      <c r="P37" s="3540" t="str">
        <f>A37</f>
        <v>成交单价</v>
      </c>
      <c r="Q37" s="3540"/>
      <c r="R37" s="3541">
        <f>E37</f>
        <v>0</v>
      </c>
      <c r="S37" s="3541"/>
      <c r="T37" s="3541">
        <f>G37</f>
        <v>0</v>
      </c>
      <c r="U37" s="3541"/>
      <c r="V37" s="3541">
        <f>I37</f>
        <v>0</v>
      </c>
      <c r="W37" s="3541"/>
      <c r="X37" s="756"/>
      <c r="Y37" s="778"/>
      <c r="Z37" s="756"/>
      <c r="AA37" s="756"/>
      <c r="AB37" s="756"/>
      <c r="AC37" s="756"/>
    </row>
    <row r="38" spans="1:29" ht="15" thickBot="1">
      <c r="A38" s="484" t="s">
        <v>2721</v>
      </c>
      <c r="B38" s="485" t="str">
        <f>B37</f>
        <v>元/车位</v>
      </c>
      <c r="C38" s="1412" t="e">
        <f>R39</f>
        <v>#DIV/0!</v>
      </c>
      <c r="D38" s="1413"/>
      <c r="E38" s="1414" t="e">
        <f>R38</f>
        <v>#DIV/0!</v>
      </c>
      <c r="F38" s="1414"/>
      <c r="G38" s="1412" t="e">
        <f>T38</f>
        <v>#DIV/0!</v>
      </c>
      <c r="H38" s="1413"/>
      <c r="I38" s="1414" t="e">
        <f>V38</f>
        <v>#DIV/0!</v>
      </c>
      <c r="J38" s="1413"/>
      <c r="K38" s="618"/>
      <c r="L38" s="1142"/>
      <c r="M38" s="1143"/>
      <c r="N38" s="1143"/>
      <c r="O38" s="1143"/>
      <c r="P38" s="3540" t="str">
        <f>A38</f>
        <v>比较价值（元/平方米）</v>
      </c>
      <c r="Q38" s="3540"/>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756"/>
      <c r="Y38" s="756"/>
      <c r="Z38" s="756"/>
      <c r="AA38" s="756"/>
      <c r="AB38" s="756"/>
      <c r="AC38" s="756"/>
    </row>
    <row r="39" spans="1:29" ht="15" thickBot="1">
      <c r="A39" s="490" t="s">
        <v>2722</v>
      </c>
      <c r="B39" s="491"/>
      <c r="C39" s="1416" t="e">
        <f>R39</f>
        <v>#DIV/0!</v>
      </c>
      <c r="D39" s="1416"/>
      <c r="E39" s="1416"/>
      <c r="F39" s="1416"/>
      <c r="G39" s="1416"/>
      <c r="H39" s="1416"/>
      <c r="I39" s="1416"/>
      <c r="J39" s="1416"/>
      <c r="K39" s="619"/>
      <c r="L39" s="1142"/>
      <c r="M39" s="1143"/>
      <c r="N39" s="1143"/>
      <c r="O39" s="1143"/>
      <c r="P39" s="3542" t="str">
        <f>A39</f>
        <v>估价对象XX用房的比较价值（楼面单价，元/平方米）</v>
      </c>
      <c r="Q39" s="3543"/>
      <c r="R39" s="3544" t="e">
        <f>IF(F1="售价",ROUND(AVERAGE(R38:V38),0),ROUND(AVERAGE(R38:V38),1))</f>
        <v>#DIV/0!</v>
      </c>
      <c r="S39" s="3544"/>
      <c r="T39" s="3544"/>
      <c r="U39" s="3544"/>
      <c r="V39" s="3544"/>
      <c r="W39" s="3544"/>
      <c r="X39" s="756"/>
      <c r="Y39" s="756"/>
      <c r="Z39" s="756"/>
      <c r="AA39" s="756"/>
      <c r="AB39" s="756"/>
      <c r="AC39" s="756"/>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5" t="s">
        <v>2723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5" t="s">
        <v>2724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0" customFormat="1" ht="13.5" customHeight="1">
      <c r="A44" s="1144"/>
      <c r="B44" s="1144"/>
      <c r="C44" s="495" t="s">
        <v>2725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0"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6" customFormat="1" ht="14.4">
      <c r="A48" s="503" t="s">
        <v>2727</v>
      </c>
      <c r="B48" s="504"/>
      <c r="C48" s="1573" t="str">
        <f>YEAR(C7)&amp;"-"&amp;MONTH(C7)</f>
        <v>2018-11</v>
      </c>
      <c r="D48" s="1574">
        <f>EDATE(C48,-1)</f>
        <v>43374</v>
      </c>
      <c r="E48" s="1574">
        <f t="shared" ref="E48:O48" si="16">EDATE(D48,-1)</f>
        <v>43344</v>
      </c>
      <c r="F48" s="1574">
        <f t="shared" si="16"/>
        <v>43313</v>
      </c>
      <c r="G48" s="1574">
        <f t="shared" si="16"/>
        <v>43282</v>
      </c>
      <c r="H48" s="1574">
        <f t="shared" si="16"/>
        <v>43252</v>
      </c>
      <c r="I48" s="1574">
        <f t="shared" si="16"/>
        <v>43221</v>
      </c>
      <c r="J48" s="1574">
        <f t="shared" si="16"/>
        <v>43191</v>
      </c>
      <c r="K48" s="1574">
        <f t="shared" si="16"/>
        <v>43160</v>
      </c>
      <c r="L48" s="1574">
        <f t="shared" si="16"/>
        <v>43132</v>
      </c>
      <c r="M48" s="1574">
        <f t="shared" si="16"/>
        <v>43101</v>
      </c>
      <c r="N48" s="1574">
        <f t="shared" si="16"/>
        <v>43070</v>
      </c>
      <c r="O48" s="1574">
        <f t="shared" si="16"/>
        <v>43040</v>
      </c>
      <c r="P48" s="1437"/>
      <c r="Q48" s="1438"/>
      <c r="R48" s="1438"/>
      <c r="S48" s="1438"/>
      <c r="T48" s="1438"/>
      <c r="U48" s="1438"/>
      <c r="V48" s="1438"/>
      <c r="W48" s="1438"/>
      <c r="X48" s="1438"/>
      <c r="Y48" s="1438"/>
      <c r="Z48" s="1438"/>
      <c r="AA48" s="1438"/>
      <c r="AB48" s="1438"/>
      <c r="AC48" s="1438"/>
    </row>
    <row r="49" spans="1:29" s="115" customFormat="1">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 thickBot="1">
      <c r="A50" s="513" t="s">
        <v>2584</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4.4">
      <c r="A51" s="519" t="s">
        <v>2549</v>
      </c>
      <c r="B51" s="508"/>
      <c r="C51" s="520" t="s">
        <v>2651</v>
      </c>
      <c r="D51" s="521"/>
      <c r="E51" s="521"/>
      <c r="F51" s="521"/>
      <c r="G51" s="521"/>
      <c r="H51" s="521"/>
      <c r="I51" s="521"/>
      <c r="J51" s="521"/>
      <c r="K51" s="521"/>
      <c r="L51" s="522"/>
      <c r="M51" s="523"/>
      <c r="N51" s="1150"/>
      <c r="O51" s="1150"/>
      <c r="P51" s="1425"/>
      <c r="Q51" s="1422"/>
      <c r="R51" s="1426"/>
      <c r="S51" s="1426"/>
      <c r="T51" s="1426"/>
      <c r="U51" s="1426"/>
      <c r="V51" s="1426"/>
      <c r="W51" s="1426"/>
      <c r="X51" s="1426"/>
      <c r="Y51" s="1426"/>
      <c r="Z51" s="1426"/>
      <c r="AA51" s="1426"/>
      <c r="AB51" s="1426"/>
      <c r="AC51" s="1426"/>
    </row>
    <row r="52" spans="1:29" s="115" customFormat="1" ht="14.4" thickBot="1">
      <c r="A52" s="519"/>
      <c r="B52" s="508"/>
      <c r="C52" s="637">
        <v>100</v>
      </c>
      <c r="D52" s="510"/>
      <c r="E52" s="510"/>
      <c r="F52" s="510"/>
      <c r="G52" s="510"/>
      <c r="H52" s="510"/>
      <c r="I52" s="510"/>
      <c r="J52" s="510"/>
      <c r="K52" s="510"/>
      <c r="L52" s="510"/>
      <c r="M52" s="512"/>
      <c r="N52" s="1150"/>
      <c r="O52" s="1150"/>
      <c r="P52" s="1427"/>
      <c r="Q52" s="1422"/>
      <c r="R52" s="1426"/>
      <c r="S52" s="1426"/>
      <c r="T52" s="1426"/>
      <c r="U52" s="1426"/>
      <c r="V52" s="1426"/>
      <c r="W52" s="1426"/>
      <c r="X52" s="1426"/>
      <c r="Y52" s="1426"/>
      <c r="Z52" s="1426"/>
      <c r="AA52" s="1426"/>
      <c r="AB52" s="1426"/>
      <c r="AC52" s="1426"/>
    </row>
    <row r="53" spans="1:29" ht="14.4">
      <c r="A53" s="525" t="s">
        <v>2587</v>
      </c>
      <c r="B53" s="526" t="s">
        <v>2553</v>
      </c>
      <c r="C53" s="527">
        <f>C9</f>
        <v>0</v>
      </c>
      <c r="D53" s="528"/>
      <c r="E53" s="528"/>
      <c r="F53" s="528"/>
      <c r="G53" s="528"/>
      <c r="H53" s="528"/>
      <c r="I53" s="528"/>
      <c r="J53" s="528"/>
      <c r="K53" s="529"/>
      <c r="L53" s="530"/>
      <c r="M53" s="531"/>
      <c r="N53" s="1151"/>
      <c r="O53" s="1151"/>
      <c r="P53" s="1428"/>
      <c r="Q53" s="1422"/>
      <c r="R53" s="1143"/>
      <c r="S53" s="1143"/>
      <c r="T53" s="1143"/>
      <c r="U53" s="1143"/>
      <c r="V53" s="1143"/>
      <c r="W53" s="1143"/>
      <c r="X53" s="1143"/>
      <c r="Y53" s="1143"/>
      <c r="Z53" s="1143"/>
      <c r="AA53" s="1143"/>
      <c r="AB53" s="1143"/>
      <c r="AC53" s="1143"/>
    </row>
    <row r="54" spans="1:29" ht="14.4" thickBot="1">
      <c r="A54" s="532"/>
      <c r="B54" s="533"/>
      <c r="C54" s="534">
        <v>100</v>
      </c>
      <c r="D54" s="534"/>
      <c r="E54" s="534"/>
      <c r="F54" s="534"/>
      <c r="G54" s="534"/>
      <c r="H54" s="534"/>
      <c r="I54" s="534"/>
      <c r="J54" s="534"/>
      <c r="K54" s="534"/>
      <c r="L54" s="534"/>
      <c r="M54" s="535"/>
      <c r="N54" s="1152"/>
      <c r="O54" s="1152"/>
      <c r="P54" s="1428"/>
      <c r="Q54" s="1422"/>
      <c r="R54" s="1143"/>
      <c r="S54" s="1143"/>
      <c r="T54" s="1143"/>
      <c r="U54" s="1143"/>
      <c r="V54" s="1143"/>
      <c r="W54" s="1143"/>
      <c r="X54" s="1143"/>
      <c r="Y54" s="1143"/>
      <c r="Z54" s="1143"/>
      <c r="AA54" s="1143"/>
      <c r="AB54" s="1143"/>
      <c r="AC54" s="1143"/>
    </row>
    <row r="55" spans="1:29" ht="29.4" thickTop="1">
      <c r="A55" s="532"/>
      <c r="B55" s="536" t="s">
        <v>2556</v>
      </c>
      <c r="C55" s="537" t="s">
        <v>2588</v>
      </c>
      <c r="D55" s="537" t="s">
        <v>2589</v>
      </c>
      <c r="E55" s="537" t="s">
        <v>2590</v>
      </c>
      <c r="F55" s="537" t="s">
        <v>2591</v>
      </c>
      <c r="G55" s="537" t="s">
        <v>2592</v>
      </c>
      <c r="H55" s="537" t="s">
        <v>2593</v>
      </c>
      <c r="I55" s="537" t="s">
        <v>2594</v>
      </c>
      <c r="J55" s="537"/>
      <c r="K55" s="538"/>
      <c r="L55" s="539"/>
      <c r="M55" s="540"/>
      <c r="N55" s="1151"/>
      <c r="O55" s="1151"/>
      <c r="P55" s="1428"/>
      <c r="Q55" s="1422"/>
      <c r="R55" s="1143"/>
      <c r="S55" s="1143"/>
      <c r="T55" s="1143"/>
      <c r="U55" s="1143"/>
      <c r="V55" s="1143"/>
      <c r="W55" s="1143"/>
      <c r="X55" s="1143"/>
      <c r="Y55" s="1143"/>
      <c r="Z55" s="1143"/>
      <c r="AA55" s="1143"/>
      <c r="AB55" s="1143"/>
      <c r="AC55" s="1143"/>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2"/>
      <c r="O56" s="1152"/>
      <c r="P56" s="1428"/>
      <c r="Q56" s="1422"/>
      <c r="R56" s="1143"/>
      <c r="S56" s="1143"/>
      <c r="T56" s="1143"/>
      <c r="U56" s="1143"/>
      <c r="V56" s="1143"/>
      <c r="W56" s="1143"/>
      <c r="X56" s="1143"/>
      <c r="Y56" s="1143"/>
      <c r="Z56" s="1143"/>
      <c r="AA56" s="1143"/>
      <c r="AB56" s="1143"/>
      <c r="AC56" s="1143"/>
    </row>
    <row r="57" spans="1:29" ht="14.4" thickTop="1">
      <c r="A57" s="532"/>
      <c r="B57" s="658">
        <f>B11</f>
        <v>111</v>
      </c>
      <c r="C57" s="547"/>
      <c r="D57" s="547"/>
      <c r="E57" s="547"/>
      <c r="F57" s="547"/>
      <c r="G57" s="547"/>
      <c r="H57" s="547"/>
      <c r="I57" s="547"/>
      <c r="J57" s="547"/>
      <c r="K57" s="548"/>
      <c r="L57" s="549"/>
      <c r="M57" s="550"/>
      <c r="N57" s="1151"/>
      <c r="O57" s="1151"/>
      <c r="P57" s="1428"/>
      <c r="Q57" s="1422"/>
      <c r="R57" s="1143"/>
      <c r="S57" s="1143"/>
      <c r="T57" s="1143"/>
      <c r="U57" s="1143"/>
      <c r="V57" s="1143"/>
      <c r="W57" s="1143"/>
      <c r="X57" s="1143"/>
      <c r="Y57" s="1143"/>
      <c r="Z57" s="1143"/>
      <c r="AA57" s="1143"/>
      <c r="AB57" s="1143"/>
      <c r="AC57" s="1143"/>
    </row>
    <row r="58" spans="1:29" ht="14.4" thickBot="1">
      <c r="A58" s="532"/>
      <c r="B58" s="533"/>
      <c r="C58" s="558"/>
      <c r="D58" s="534"/>
      <c r="E58" s="534"/>
      <c r="F58" s="534"/>
      <c r="G58" s="534"/>
      <c r="H58" s="534"/>
      <c r="I58" s="534"/>
      <c r="J58" s="534"/>
      <c r="K58" s="534"/>
      <c r="L58" s="534"/>
      <c r="M58" s="535"/>
      <c r="N58" s="1152"/>
      <c r="O58" s="1152"/>
      <c r="P58" s="1428"/>
      <c r="Q58" s="1422"/>
      <c r="R58" s="1143"/>
      <c r="S58" s="1143"/>
      <c r="T58" s="1143"/>
      <c r="U58" s="1143"/>
      <c r="V58" s="1143"/>
      <c r="W58" s="1143"/>
      <c r="X58" s="1143"/>
      <c r="Y58" s="1143"/>
      <c r="Z58" s="1143"/>
      <c r="AA58" s="1143"/>
      <c r="AB58" s="1143"/>
      <c r="AC58" s="1143"/>
    </row>
    <row r="59" spans="1:29" s="469" customFormat="1" ht="14.4" thickTop="1">
      <c r="A59" s="551"/>
      <c r="B59" s="536">
        <f>B12</f>
        <v>111</v>
      </c>
      <c r="C59" s="547"/>
      <c r="D59" s="547"/>
      <c r="E59" s="547"/>
      <c r="F59" s="547"/>
      <c r="G59" s="552"/>
      <c r="H59" s="553"/>
      <c r="I59" s="553"/>
      <c r="J59" s="553"/>
      <c r="K59" s="553"/>
      <c r="L59" s="554"/>
      <c r="M59" s="555"/>
      <c r="N59" s="1153"/>
      <c r="O59" s="1153"/>
      <c r="P59" s="1429"/>
      <c r="Q59" s="1430"/>
      <c r="R59" s="1431"/>
      <c r="S59" s="1431"/>
      <c r="T59" s="1431"/>
      <c r="U59" s="1431"/>
      <c r="V59" s="1431"/>
      <c r="W59" s="1431"/>
      <c r="X59" s="1431"/>
      <c r="Y59" s="1431"/>
      <c r="Z59" s="1431"/>
      <c r="AA59" s="1431"/>
      <c r="AB59" s="1431"/>
      <c r="AC59" s="1431"/>
    </row>
    <row r="60" spans="1:29" s="469" customFormat="1" ht="14.4" thickBot="1">
      <c r="A60" s="551"/>
      <c r="B60" s="541"/>
      <c r="C60" s="558"/>
      <c r="D60" s="534"/>
      <c r="E60" s="534"/>
      <c r="F60" s="534"/>
      <c r="G60" s="534"/>
      <c r="H60" s="534"/>
      <c r="I60" s="534"/>
      <c r="J60" s="534"/>
      <c r="K60" s="534"/>
      <c r="L60" s="534"/>
      <c r="M60" s="535"/>
      <c r="N60" s="1152"/>
      <c r="O60" s="1152"/>
      <c r="P60" s="1429"/>
      <c r="Q60" s="1430"/>
      <c r="R60" s="1431"/>
      <c r="S60" s="1431"/>
      <c r="T60" s="1431"/>
      <c r="U60" s="1431"/>
      <c r="V60" s="1431"/>
      <c r="W60" s="1431"/>
      <c r="X60" s="1431"/>
      <c r="Y60" s="1431"/>
      <c r="Z60" s="1431"/>
      <c r="AA60" s="1431"/>
      <c r="AB60" s="1431"/>
      <c r="AC60" s="1431"/>
    </row>
    <row r="61" spans="1:29" s="469" customFormat="1" ht="14.4" thickTop="1">
      <c r="A61" s="551"/>
      <c r="B61" s="536">
        <f>B13</f>
        <v>111</v>
      </c>
      <c r="C61" s="552"/>
      <c r="D61" s="552"/>
      <c r="E61" s="552"/>
      <c r="F61" s="552"/>
      <c r="G61" s="552"/>
      <c r="H61" s="553"/>
      <c r="I61" s="553"/>
      <c r="J61" s="553"/>
      <c r="K61" s="553"/>
      <c r="L61" s="554"/>
      <c r="M61" s="555"/>
      <c r="N61" s="1153"/>
      <c r="O61" s="1153"/>
      <c r="P61" s="1432"/>
      <c r="Q61" s="1433"/>
      <c r="R61" s="1431"/>
      <c r="S61" s="1431"/>
      <c r="T61" s="1431"/>
      <c r="U61" s="1431"/>
      <c r="V61" s="1431"/>
      <c r="W61" s="1431"/>
      <c r="X61" s="1431"/>
      <c r="Y61" s="1431"/>
      <c r="Z61" s="1431"/>
      <c r="AA61" s="1431"/>
      <c r="AB61" s="1431"/>
      <c r="AC61" s="1431"/>
    </row>
    <row r="62" spans="1:29" s="469" customFormat="1" ht="14.4" thickBot="1">
      <c r="A62" s="551"/>
      <c r="B62" s="541"/>
      <c r="C62" s="558"/>
      <c r="D62" s="558"/>
      <c r="E62" s="558"/>
      <c r="F62" s="558"/>
      <c r="G62" s="558"/>
      <c r="H62" s="560"/>
      <c r="I62" s="560"/>
      <c r="J62" s="560"/>
      <c r="K62" s="560"/>
      <c r="L62" s="560"/>
      <c r="M62" s="561"/>
      <c r="N62" s="1153"/>
      <c r="O62" s="1153"/>
      <c r="P62" s="1429"/>
      <c r="Q62" s="1430"/>
      <c r="R62" s="1431"/>
      <c r="S62" s="1431"/>
      <c r="T62" s="1431"/>
      <c r="U62" s="1431"/>
      <c r="V62" s="1431"/>
      <c r="W62" s="1431"/>
      <c r="X62" s="1431"/>
      <c r="Y62" s="1431"/>
      <c r="Z62" s="1431"/>
      <c r="AA62" s="1431"/>
      <c r="AB62" s="1431"/>
      <c r="AC62" s="1431"/>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51"/>
      <c r="O63" s="1151"/>
      <c r="P63" s="1434"/>
      <c r="Q63" s="1422"/>
      <c r="R63" s="1143"/>
      <c r="S63" s="1143"/>
      <c r="T63" s="1143"/>
      <c r="U63" s="1143"/>
      <c r="V63" s="1143"/>
      <c r="W63" s="1143"/>
      <c r="X63" s="1143"/>
      <c r="Y63" s="1143"/>
      <c r="Z63" s="1143"/>
      <c r="AA63" s="1143"/>
      <c r="AB63" s="1143"/>
      <c r="AC63" s="1143"/>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2"/>
      <c r="O64" s="1152"/>
      <c r="P64" s="1428"/>
      <c r="Q64" s="1422"/>
      <c r="R64" s="1143"/>
      <c r="S64" s="1143"/>
      <c r="T64" s="1143"/>
      <c r="U64" s="1143"/>
      <c r="V64" s="1143"/>
      <c r="W64" s="1143"/>
      <c r="X64" s="1143"/>
      <c r="Y64" s="1143"/>
      <c r="Z64" s="1143"/>
      <c r="AA64" s="1143"/>
      <c r="AB64" s="1143"/>
      <c r="AC64" s="1143"/>
    </row>
    <row r="65" spans="1:29" ht="15" thickTop="1">
      <c r="A65" s="532"/>
      <c r="B65" s="536" t="s">
        <v>2602</v>
      </c>
      <c r="C65" s="576" t="s">
        <v>2596</v>
      </c>
      <c r="D65" s="576" t="s">
        <v>2597</v>
      </c>
      <c r="E65" s="576" t="s">
        <v>2598</v>
      </c>
      <c r="F65" s="576" t="s">
        <v>2599</v>
      </c>
      <c r="G65" s="576" t="s">
        <v>2600</v>
      </c>
      <c r="H65" s="537"/>
      <c r="I65" s="537"/>
      <c r="J65" s="537"/>
      <c r="K65" s="538"/>
      <c r="L65" s="539"/>
      <c r="M65" s="540"/>
      <c r="N65" s="1151"/>
      <c r="O65" s="1151"/>
      <c r="P65" s="1428"/>
      <c r="Q65" s="1422"/>
      <c r="R65" s="1143"/>
      <c r="S65" s="1143"/>
      <c r="T65" s="1143"/>
      <c r="U65" s="1143"/>
      <c r="V65" s="1143"/>
      <c r="W65" s="1143"/>
      <c r="X65" s="1143"/>
      <c r="Y65" s="1143"/>
      <c r="Z65" s="1143"/>
      <c r="AA65" s="1143"/>
      <c r="AB65" s="1143"/>
      <c r="AC65" s="1143"/>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2"/>
      <c r="O66" s="1152"/>
      <c r="P66" s="1428"/>
      <c r="Q66" s="1422"/>
      <c r="R66" s="1143"/>
      <c r="S66" s="1143"/>
      <c r="T66" s="1143"/>
      <c r="U66" s="1143"/>
      <c r="V66" s="1143"/>
      <c r="W66" s="1143"/>
      <c r="X66" s="1143"/>
      <c r="Y66" s="1143"/>
      <c r="Z66" s="1143"/>
      <c r="AA66" s="1143"/>
      <c r="AB66" s="1143"/>
      <c r="AC66" s="1143"/>
    </row>
    <row r="67" spans="1:29" ht="15" thickTop="1">
      <c r="A67" s="532"/>
      <c r="B67" s="544" t="s">
        <v>2688</v>
      </c>
      <c r="C67" s="658" t="s">
        <v>2674</v>
      </c>
      <c r="D67" s="658" t="s">
        <v>2675</v>
      </c>
      <c r="E67" s="658" t="s">
        <v>2676</v>
      </c>
      <c r="F67" s="658" t="s">
        <v>2677</v>
      </c>
      <c r="G67" s="658" t="s">
        <v>2678</v>
      </c>
      <c r="H67" s="537"/>
      <c r="I67" s="537"/>
      <c r="J67" s="537"/>
      <c r="K67" s="537"/>
      <c r="L67" s="537"/>
      <c r="M67" s="1381"/>
      <c r="N67" s="1152"/>
      <c r="O67" s="1152"/>
      <c r="P67" s="1428"/>
      <c r="Q67" s="1422"/>
      <c r="R67" s="1143"/>
      <c r="S67" s="1143"/>
      <c r="T67" s="1143"/>
      <c r="U67" s="1143"/>
      <c r="V67" s="1143"/>
      <c r="W67" s="1143"/>
      <c r="X67" s="1143"/>
      <c r="Y67" s="1143"/>
      <c r="Z67" s="1143"/>
      <c r="AA67" s="1143"/>
      <c r="AB67" s="1143"/>
      <c r="AC67" s="1143"/>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2"/>
      <c r="O68" s="1152"/>
      <c r="P68" s="1428"/>
      <c r="Q68" s="1422"/>
      <c r="R68" s="1143"/>
      <c r="S68" s="1143"/>
      <c r="T68" s="1143"/>
      <c r="U68" s="1143"/>
      <c r="V68" s="1143"/>
      <c r="W68" s="1143"/>
      <c r="X68" s="1143"/>
      <c r="Y68" s="1143"/>
      <c r="Z68" s="1143"/>
      <c r="AA68" s="1143"/>
      <c r="AB68" s="1143"/>
      <c r="AC68" s="1143"/>
    </row>
    <row r="69" spans="1:29" ht="15" thickTop="1">
      <c r="A69" s="532"/>
      <c r="B69" s="536" t="s">
        <v>2608</v>
      </c>
      <c r="C69" s="576" t="s">
        <v>2596</v>
      </c>
      <c r="D69" s="576" t="s">
        <v>2597</v>
      </c>
      <c r="E69" s="576" t="s">
        <v>2598</v>
      </c>
      <c r="F69" s="576" t="s">
        <v>2599</v>
      </c>
      <c r="G69" s="576" t="s">
        <v>2600</v>
      </c>
      <c r="H69" s="537"/>
      <c r="I69" s="537"/>
      <c r="J69" s="537"/>
      <c r="K69" s="538"/>
      <c r="L69" s="539"/>
      <c r="M69" s="540"/>
      <c r="N69" s="1151"/>
      <c r="O69" s="1151"/>
      <c r="P69" s="1428"/>
      <c r="Q69" s="1422"/>
      <c r="R69" s="1143"/>
      <c r="S69" s="1143"/>
      <c r="T69" s="1143"/>
      <c r="U69" s="1143"/>
      <c r="V69" s="1143"/>
      <c r="W69" s="1143"/>
      <c r="X69" s="1143"/>
      <c r="Y69" s="1143"/>
      <c r="Z69" s="1143"/>
      <c r="AA69" s="1143"/>
      <c r="AB69" s="1143"/>
      <c r="AC69" s="1143"/>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2"/>
      <c r="O70" s="1152"/>
      <c r="P70" s="1428"/>
      <c r="Q70" s="1422"/>
      <c r="R70" s="1143"/>
      <c r="S70" s="1143"/>
      <c r="T70" s="1143"/>
      <c r="U70" s="1143"/>
      <c r="V70" s="1143"/>
      <c r="W70" s="1143"/>
      <c r="X70" s="1143"/>
      <c r="Y70" s="1143"/>
      <c r="Z70" s="1143"/>
      <c r="AA70" s="1143"/>
      <c r="AB70" s="1143"/>
      <c r="AC70" s="1143"/>
    </row>
    <row r="71" spans="1:29" ht="15" thickTop="1">
      <c r="A71" s="532"/>
      <c r="B71" s="536" t="s">
        <v>2728</v>
      </c>
      <c r="C71" s="552"/>
      <c r="D71" s="552"/>
      <c r="E71" s="552"/>
      <c r="F71" s="552"/>
      <c r="G71" s="552"/>
      <c r="H71" s="581"/>
      <c r="I71" s="581"/>
      <c r="J71" s="581"/>
      <c r="K71" s="582"/>
      <c r="L71" s="583"/>
      <c r="M71" s="584"/>
      <c r="N71" s="1151"/>
      <c r="O71" s="1151"/>
      <c r="P71" s="1428"/>
      <c r="Q71" s="1422"/>
      <c r="R71" s="1143"/>
      <c r="S71" s="1143"/>
      <c r="T71" s="1143"/>
      <c r="U71" s="1143"/>
      <c r="V71" s="1143"/>
      <c r="W71" s="1143"/>
      <c r="X71" s="1143"/>
      <c r="Y71" s="1143"/>
      <c r="Z71" s="1143"/>
      <c r="AA71" s="1143"/>
      <c r="AB71" s="1143"/>
      <c r="AC71" s="1143"/>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2"/>
      <c r="O72" s="1152"/>
      <c r="P72" s="1428"/>
      <c r="Q72" s="1422"/>
      <c r="R72" s="1143"/>
      <c r="S72" s="1143"/>
      <c r="T72" s="1143"/>
      <c r="U72" s="1143"/>
      <c r="V72" s="1143"/>
      <c r="W72" s="1143"/>
      <c r="X72" s="1143"/>
      <c r="Y72" s="1143"/>
      <c r="Z72" s="1143"/>
      <c r="AA72" s="1143"/>
      <c r="AB72" s="1143"/>
      <c r="AC72" s="1143"/>
    </row>
    <row r="73" spans="1:29" s="115" customFormat="1" ht="14.4" thickTop="1">
      <c r="A73" s="577"/>
      <c r="B73" s="536">
        <f>B23</f>
        <v>111</v>
      </c>
      <c r="C73" s="547"/>
      <c r="D73" s="547"/>
      <c r="E73" s="547"/>
      <c r="F73" s="547"/>
      <c r="G73" s="552"/>
      <c r="H73" s="552"/>
      <c r="I73" s="552"/>
      <c r="J73" s="552"/>
      <c r="K73" s="552"/>
      <c r="L73" s="578"/>
      <c r="M73" s="579"/>
      <c r="N73" s="1150"/>
      <c r="O73" s="1150"/>
      <c r="P73" s="1428"/>
      <c r="Q73" s="1422"/>
      <c r="R73" s="1426"/>
      <c r="S73" s="1426"/>
      <c r="T73" s="1426"/>
      <c r="U73" s="1426"/>
      <c r="V73" s="1426"/>
      <c r="W73" s="1426"/>
      <c r="X73" s="1426"/>
      <c r="Y73" s="1426"/>
      <c r="Z73" s="1426"/>
      <c r="AA73" s="1426"/>
      <c r="AB73" s="1426"/>
      <c r="AC73" s="1426"/>
    </row>
    <row r="74" spans="1:29" s="115" customFormat="1" ht="14.4" thickBot="1">
      <c r="A74" s="577"/>
      <c r="B74" s="541"/>
      <c r="C74" s="558"/>
      <c r="D74" s="534"/>
      <c r="E74" s="534"/>
      <c r="F74" s="534"/>
      <c r="G74" s="534"/>
      <c r="H74" s="534"/>
      <c r="I74" s="534"/>
      <c r="J74" s="534"/>
      <c r="K74" s="534"/>
      <c r="L74" s="534"/>
      <c r="M74" s="535"/>
      <c r="N74" s="1152"/>
      <c r="O74" s="1152"/>
      <c r="P74" s="1428"/>
      <c r="Q74" s="1422"/>
      <c r="R74" s="1426"/>
      <c r="S74" s="1426"/>
      <c r="T74" s="1426"/>
      <c r="U74" s="1426"/>
      <c r="V74" s="1426"/>
      <c r="W74" s="1426"/>
      <c r="X74" s="1426"/>
      <c r="Y74" s="1426"/>
      <c r="Z74" s="1426"/>
      <c r="AA74" s="1426"/>
      <c r="AB74" s="1426"/>
      <c r="AC74" s="1426"/>
    </row>
    <row r="75" spans="1:29" s="115" customFormat="1" ht="14.4" thickTop="1">
      <c r="A75" s="577"/>
      <c r="B75" s="536">
        <f>B24</f>
        <v>111</v>
      </c>
      <c r="C75" s="547"/>
      <c r="D75" s="547"/>
      <c r="E75" s="547"/>
      <c r="F75" s="547"/>
      <c r="G75" s="552"/>
      <c r="H75" s="552"/>
      <c r="I75" s="552"/>
      <c r="J75" s="552"/>
      <c r="K75" s="552"/>
      <c r="L75" s="552"/>
      <c r="M75" s="579"/>
      <c r="N75" s="1150"/>
      <c r="O75" s="1150"/>
      <c r="P75" s="1428"/>
      <c r="Q75" s="1422"/>
      <c r="R75" s="1426"/>
      <c r="S75" s="1426"/>
      <c r="T75" s="1426"/>
      <c r="U75" s="1426"/>
      <c r="V75" s="1426"/>
      <c r="W75" s="1426"/>
      <c r="X75" s="1426"/>
      <c r="Y75" s="1426"/>
      <c r="Z75" s="1426"/>
      <c r="AA75" s="1426"/>
      <c r="AB75" s="1426"/>
      <c r="AC75" s="1426"/>
    </row>
    <row r="76" spans="1:29" s="115" customFormat="1" ht="14.4" thickBot="1">
      <c r="A76" s="577"/>
      <c r="B76" s="541"/>
      <c r="C76" s="558"/>
      <c r="D76" s="534"/>
      <c r="E76" s="534"/>
      <c r="F76" s="534"/>
      <c r="G76" s="534"/>
      <c r="H76" s="534"/>
      <c r="I76" s="534"/>
      <c r="J76" s="534"/>
      <c r="K76" s="534"/>
      <c r="L76" s="534"/>
      <c r="M76" s="535"/>
      <c r="N76" s="1152"/>
      <c r="O76" s="1152"/>
      <c r="P76" s="1428"/>
      <c r="Q76" s="1422"/>
      <c r="R76" s="1426"/>
      <c r="S76" s="1426"/>
      <c r="T76" s="1426"/>
      <c r="U76" s="1426"/>
      <c r="V76" s="1426"/>
      <c r="W76" s="1426"/>
      <c r="X76" s="1426"/>
      <c r="Y76" s="1426"/>
      <c r="Z76" s="1426"/>
      <c r="AA76" s="1426"/>
      <c r="AB76" s="1426"/>
      <c r="AC76" s="1426"/>
    </row>
    <row r="77" spans="1:29" s="469" customFormat="1" ht="14.4" thickTop="1">
      <c r="A77" s="551"/>
      <c r="B77" s="536">
        <f>B25</f>
        <v>111</v>
      </c>
      <c r="C77" s="552"/>
      <c r="D77" s="552"/>
      <c r="E77" s="552"/>
      <c r="F77" s="552"/>
      <c r="G77" s="552"/>
      <c r="H77" s="553"/>
      <c r="I77" s="553"/>
      <c r="J77" s="553"/>
      <c r="K77" s="553"/>
      <c r="L77" s="554"/>
      <c r="M77" s="555"/>
      <c r="N77" s="1153"/>
      <c r="O77" s="1153"/>
      <c r="P77" s="1429"/>
      <c r="Q77" s="1430"/>
      <c r="R77" s="1431"/>
      <c r="S77" s="1431"/>
      <c r="T77" s="1431"/>
      <c r="U77" s="1431"/>
      <c r="V77" s="1431"/>
      <c r="W77" s="1431"/>
      <c r="X77" s="1431"/>
      <c r="Y77" s="1431"/>
      <c r="Z77" s="1431"/>
      <c r="AA77" s="1431"/>
      <c r="AB77" s="1431"/>
      <c r="AC77" s="1431"/>
    </row>
    <row r="78" spans="1:29" s="469" customFormat="1" ht="14.4" thickBot="1">
      <c r="A78" s="551"/>
      <c r="B78" s="541"/>
      <c r="C78" s="558"/>
      <c r="D78" s="558"/>
      <c r="E78" s="558"/>
      <c r="F78" s="558"/>
      <c r="G78" s="534"/>
      <c r="H78" s="534"/>
      <c r="I78" s="534"/>
      <c r="J78" s="534"/>
      <c r="K78" s="534"/>
      <c r="L78" s="534"/>
      <c r="M78" s="535"/>
      <c r="N78" s="1153"/>
      <c r="O78" s="1153"/>
      <c r="P78" s="1429"/>
      <c r="Q78" s="1430"/>
      <c r="R78" s="1431"/>
      <c r="S78" s="1431"/>
      <c r="T78" s="1431"/>
      <c r="U78" s="1431"/>
      <c r="V78" s="1431"/>
      <c r="W78" s="1431"/>
      <c r="X78" s="1431"/>
      <c r="Y78" s="1431"/>
      <c r="Z78" s="1431"/>
      <c r="AA78" s="1431"/>
      <c r="AB78" s="1431"/>
      <c r="AC78" s="1431"/>
    </row>
    <row r="79" spans="1:29" ht="29.4" thickTop="1">
      <c r="A79" s="525" t="s">
        <v>2562</v>
      </c>
      <c r="B79" s="526" t="s">
        <v>2729</v>
      </c>
      <c r="C79" s="527">
        <f>C26</f>
        <v>0</v>
      </c>
      <c r="D79" s="528"/>
      <c r="E79" s="528"/>
      <c r="F79" s="528"/>
      <c r="G79" s="528"/>
      <c r="H79" s="528"/>
      <c r="I79" s="528"/>
      <c r="J79" s="528"/>
      <c r="K79" s="529"/>
      <c r="L79" s="530"/>
      <c r="M79" s="531"/>
      <c r="N79" s="1151"/>
      <c r="O79" s="1151"/>
      <c r="P79" s="1428"/>
      <c r="Q79" s="1422"/>
      <c r="R79" s="1143"/>
      <c r="S79" s="1143"/>
      <c r="T79" s="1143"/>
      <c r="U79" s="1143"/>
      <c r="V79" s="1143"/>
      <c r="W79" s="1143"/>
      <c r="X79" s="1143"/>
      <c r="Y79" s="1143"/>
      <c r="Z79" s="1143"/>
      <c r="AA79" s="1143"/>
      <c r="AB79" s="1143"/>
      <c r="AC79" s="1143"/>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2"/>
      <c r="B81" s="536" t="s">
        <v>2730</v>
      </c>
      <c r="C81" s="659"/>
      <c r="D81" s="659"/>
      <c r="E81" s="659"/>
      <c r="F81" s="659"/>
      <c r="G81" s="659"/>
      <c r="H81" s="659"/>
      <c r="I81" s="659"/>
      <c r="J81" s="659"/>
      <c r="K81" s="660"/>
      <c r="L81" s="661"/>
      <c r="M81" s="662"/>
      <c r="N81" s="1150"/>
      <c r="O81" s="1150"/>
      <c r="P81" s="1428"/>
      <c r="Q81" s="1422"/>
      <c r="R81" s="1143"/>
      <c r="S81" s="1143"/>
      <c r="T81" s="1143"/>
      <c r="U81" s="1143"/>
      <c r="V81" s="1143"/>
      <c r="W81" s="1143"/>
      <c r="X81" s="1143"/>
      <c r="Y81" s="1143"/>
      <c r="Z81" s="1143"/>
      <c r="AA81" s="1143"/>
      <c r="AB81" s="1143"/>
      <c r="AC81" s="1143"/>
    </row>
    <row r="82" spans="1:29" s="469" customFormat="1" ht="14.4" thickBot="1">
      <c r="A82" s="551"/>
      <c r="B82" s="541"/>
      <c r="C82" s="558"/>
      <c r="D82" s="534"/>
      <c r="E82" s="534"/>
      <c r="F82" s="534"/>
      <c r="G82" s="534"/>
      <c r="H82" s="534"/>
      <c r="I82" s="534"/>
      <c r="J82" s="534"/>
      <c r="K82" s="534"/>
      <c r="L82" s="534"/>
      <c r="M82" s="535"/>
      <c r="N82" s="1152"/>
      <c r="O82" s="1152"/>
      <c r="P82" s="1429"/>
      <c r="Q82" s="1430"/>
      <c r="R82" s="1431"/>
      <c r="S82" s="1431"/>
      <c r="T82" s="1431"/>
      <c r="U82" s="1431"/>
      <c r="V82" s="1431"/>
      <c r="W82" s="1431"/>
      <c r="X82" s="1431"/>
      <c r="Y82" s="1431"/>
      <c r="Z82" s="1431"/>
      <c r="AA82" s="1431"/>
      <c r="AB82" s="1431"/>
      <c r="AC82" s="1431"/>
    </row>
    <row r="83" spans="1:29" ht="15" thickTop="1">
      <c r="A83" s="597"/>
      <c r="B83" s="536" t="s">
        <v>2615</v>
      </c>
      <c r="C83" s="552"/>
      <c r="D83" s="552"/>
      <c r="E83" s="581"/>
      <c r="F83" s="581"/>
      <c r="G83" s="581"/>
      <c r="H83" s="581"/>
      <c r="I83" s="581"/>
      <c r="J83" s="581"/>
      <c r="K83" s="582"/>
      <c r="L83" s="583"/>
      <c r="M83" s="584"/>
      <c r="N83" s="1151"/>
      <c r="O83" s="1151"/>
      <c r="P83" s="1428"/>
      <c r="Q83" s="1422"/>
      <c r="R83" s="1143"/>
      <c r="S83" s="1143"/>
      <c r="T83" s="1143"/>
      <c r="U83" s="1143"/>
      <c r="V83" s="1143"/>
      <c r="W83" s="1143"/>
      <c r="X83" s="1143"/>
      <c r="Y83" s="1143"/>
      <c r="Z83" s="1143"/>
      <c r="AA83" s="1143"/>
      <c r="AB83" s="1143"/>
      <c r="AC83" s="1143"/>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7"/>
      <c r="B85" s="536" t="s">
        <v>2731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1"/>
      <c r="O85" s="1151"/>
      <c r="P85" s="1428"/>
      <c r="Q85" s="1422"/>
      <c r="R85" s="1143"/>
      <c r="S85" s="1143"/>
      <c r="T85" s="1143"/>
      <c r="U85" s="1143"/>
      <c r="V85" s="1143"/>
      <c r="W85" s="1143"/>
      <c r="X85" s="1143"/>
      <c r="Y85" s="1143"/>
      <c r="Z85" s="1143"/>
      <c r="AA85" s="1143"/>
      <c r="AB85" s="1143"/>
      <c r="AC85" s="1143"/>
    </row>
    <row r="86" spans="1:29">
      <c r="A86" s="597"/>
      <c r="B86" s="544"/>
      <c r="C86" s="601">
        <v>0.5</v>
      </c>
      <c r="D86" s="601">
        <v>0.6</v>
      </c>
      <c r="E86" s="601">
        <v>0.7</v>
      </c>
      <c r="F86" s="601">
        <v>0.8</v>
      </c>
      <c r="G86" s="601">
        <v>0.9</v>
      </c>
      <c r="H86" s="601">
        <v>1.0001</v>
      </c>
      <c r="I86" s="621"/>
      <c r="J86" s="621"/>
      <c r="K86" s="622"/>
      <c r="L86" s="623"/>
      <c r="M86" s="624"/>
      <c r="N86" s="1151"/>
      <c r="O86" s="1151"/>
      <c r="P86" s="1428"/>
      <c r="Q86" s="1422"/>
      <c r="R86" s="1143"/>
      <c r="S86" s="1143"/>
      <c r="T86" s="1143"/>
      <c r="U86" s="1143"/>
      <c r="V86" s="1143"/>
      <c r="W86" s="1143"/>
      <c r="X86" s="1143"/>
      <c r="Y86" s="1143"/>
      <c r="Z86" s="1143"/>
      <c r="AA86" s="1143"/>
      <c r="AB86" s="1143"/>
      <c r="AC86" s="1143"/>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7"/>
      <c r="B88" s="544" t="s">
        <v>2732</v>
      </c>
      <c r="C88" s="528"/>
      <c r="D88" s="528"/>
      <c r="E88" s="528"/>
      <c r="F88" s="528"/>
      <c r="G88" s="528"/>
      <c r="H88" s="528"/>
      <c r="I88" s="528"/>
      <c r="J88" s="528"/>
      <c r="K88" s="529"/>
      <c r="L88" s="530"/>
      <c r="M88" s="531"/>
      <c r="N88" s="1151"/>
      <c r="O88" s="1151"/>
      <c r="P88" s="1428"/>
      <c r="Q88" s="1422"/>
      <c r="R88" s="1143"/>
      <c r="S88" s="1143"/>
      <c r="T88" s="1143"/>
      <c r="U88" s="1143"/>
      <c r="V88" s="1143"/>
      <c r="W88" s="1143"/>
      <c r="X88" s="1143"/>
      <c r="Y88" s="1143"/>
      <c r="Z88" s="1143"/>
      <c r="AA88" s="1143"/>
      <c r="AB88" s="1143"/>
      <c r="AC88" s="1143"/>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2"/>
      <c r="O89" s="1152"/>
      <c r="P89" s="1428"/>
      <c r="Q89" s="1422"/>
      <c r="R89" s="1143"/>
      <c r="S89" s="1143"/>
      <c r="T89" s="1143"/>
      <c r="U89" s="1143"/>
      <c r="V89" s="1143"/>
      <c r="W89" s="1143"/>
      <c r="X89" s="1143"/>
      <c r="Y89" s="1143"/>
      <c r="Z89" s="1143"/>
      <c r="AA89" s="1143"/>
      <c r="AB89" s="1143"/>
      <c r="AC89" s="1143"/>
    </row>
    <row r="90" spans="1:29" s="469" customFormat="1" ht="15" thickTop="1">
      <c r="A90" s="591"/>
      <c r="B90" s="536" t="s">
        <v>2733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3"/>
      <c r="O90" s="1153"/>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3"/>
      <c r="O91" s="1153"/>
      <c r="P91" s="1429"/>
      <c r="Q91" s="1430"/>
      <c r="R91" s="1431"/>
      <c r="S91" s="1431"/>
      <c r="T91" s="1431"/>
      <c r="U91" s="1431"/>
      <c r="V91" s="1431"/>
      <c r="W91" s="1431"/>
      <c r="X91" s="1431"/>
      <c r="Y91" s="1431"/>
      <c r="Z91" s="1431"/>
      <c r="AA91" s="1431"/>
      <c r="AB91" s="1431"/>
      <c r="AC91" s="1431"/>
    </row>
    <row r="92" spans="1:29" s="469" customFormat="1" ht="14.4" thickBot="1">
      <c r="A92" s="551"/>
      <c r="B92" s="541"/>
      <c r="C92" s="558"/>
      <c r="D92" s="534"/>
      <c r="E92" s="534"/>
      <c r="F92" s="534"/>
      <c r="G92" s="534"/>
      <c r="H92" s="534"/>
      <c r="I92" s="534"/>
      <c r="J92" s="534"/>
      <c r="K92" s="534"/>
      <c r="L92" s="534"/>
      <c r="M92" s="535"/>
      <c r="N92" s="1153"/>
      <c r="O92" s="1153"/>
      <c r="P92" s="1429"/>
      <c r="Q92" s="1430"/>
      <c r="R92" s="1431"/>
      <c r="S92" s="1431"/>
      <c r="T92" s="1431"/>
      <c r="U92" s="1431"/>
      <c r="V92" s="1431"/>
      <c r="W92" s="1431"/>
      <c r="X92" s="1431"/>
      <c r="Y92" s="1431"/>
      <c r="Z92" s="1431"/>
      <c r="AA92" s="1431"/>
      <c r="AB92" s="1431"/>
      <c r="AC92" s="1431"/>
    </row>
    <row r="93" spans="1:29" ht="15" thickTop="1">
      <c r="A93" s="597"/>
      <c r="B93" s="536" t="s">
        <v>2734</v>
      </c>
      <c r="C93" s="552"/>
      <c r="D93" s="552"/>
      <c r="E93" s="581"/>
      <c r="F93" s="581"/>
      <c r="G93" s="581"/>
      <c r="H93" s="581"/>
      <c r="I93" s="581"/>
      <c r="J93" s="581"/>
      <c r="K93" s="582"/>
      <c r="L93" s="583"/>
      <c r="M93" s="584"/>
      <c r="N93" s="1151"/>
      <c r="O93" s="1151"/>
      <c r="P93" s="1428"/>
      <c r="Q93" s="1422"/>
      <c r="R93" s="1143"/>
      <c r="S93" s="1143"/>
      <c r="T93" s="1143"/>
      <c r="U93" s="1143"/>
      <c r="V93" s="1143"/>
      <c r="W93" s="1143"/>
      <c r="X93" s="1143"/>
      <c r="Y93" s="1143"/>
      <c r="Z93" s="1143"/>
      <c r="AA93" s="1143"/>
      <c r="AB93" s="1143"/>
      <c r="AC93" s="1143"/>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7"/>
      <c r="B95" s="536" t="s">
        <v>2735</v>
      </c>
      <c r="C95" s="528"/>
      <c r="D95" s="528"/>
      <c r="E95" s="528"/>
      <c r="F95" s="528"/>
      <c r="G95" s="528"/>
      <c r="H95" s="528"/>
      <c r="I95" s="528"/>
      <c r="J95" s="528"/>
      <c r="K95" s="529"/>
      <c r="L95" s="530"/>
      <c r="M95" s="531"/>
      <c r="N95" s="1151"/>
      <c r="O95" s="1151"/>
      <c r="P95" s="1428"/>
      <c r="Q95" s="1422"/>
      <c r="R95" s="1143"/>
      <c r="S95" s="1143"/>
      <c r="T95" s="1143"/>
      <c r="U95" s="1143"/>
      <c r="V95" s="1143"/>
      <c r="W95" s="1143"/>
      <c r="X95" s="1143"/>
      <c r="Y95" s="1143"/>
      <c r="Z95" s="1143"/>
      <c r="AA95" s="1143"/>
      <c r="AB95" s="1143"/>
      <c r="AC95" s="1143"/>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2"/>
      <c r="O96" s="1152"/>
      <c r="P96" s="1428"/>
      <c r="Q96" s="1422"/>
      <c r="R96" s="1143"/>
      <c r="S96" s="1143"/>
      <c r="T96" s="1143"/>
      <c r="U96" s="1143"/>
      <c r="V96" s="1143"/>
      <c r="W96" s="1143"/>
      <c r="X96" s="1143"/>
      <c r="Y96" s="1143"/>
      <c r="Z96" s="1143"/>
      <c r="AA96" s="1143"/>
      <c r="AB96" s="1143"/>
      <c r="AC96" s="1143"/>
    </row>
    <row r="97" spans="1:29" ht="14.4" thickTop="1">
      <c r="A97" s="597"/>
      <c r="B97" s="634">
        <f>B34</f>
        <v>111</v>
      </c>
      <c r="C97" s="547"/>
      <c r="D97" s="547"/>
      <c r="E97" s="547"/>
      <c r="F97" s="547"/>
      <c r="G97" s="552"/>
      <c r="H97" s="553"/>
      <c r="I97" s="553"/>
      <c r="J97" s="553"/>
      <c r="K97" s="553"/>
      <c r="L97" s="554"/>
      <c r="M97" s="555"/>
      <c r="N97" s="1152"/>
      <c r="O97" s="1152"/>
      <c r="P97" s="1435"/>
      <c r="Q97" s="1436"/>
      <c r="R97" s="1143"/>
      <c r="S97" s="1143"/>
      <c r="T97" s="1143"/>
      <c r="U97" s="1143"/>
      <c r="V97" s="1143"/>
      <c r="W97" s="1143"/>
      <c r="X97" s="1143"/>
      <c r="Y97" s="1143"/>
      <c r="Z97" s="1143"/>
      <c r="AA97" s="1143"/>
      <c r="AB97" s="1143"/>
      <c r="AC97" s="1143"/>
    </row>
    <row r="98" spans="1:29" ht="14.4" thickBot="1">
      <c r="A98" s="532"/>
      <c r="B98" s="541"/>
      <c r="C98" s="558"/>
      <c r="D98" s="534"/>
      <c r="E98" s="534"/>
      <c r="F98" s="534"/>
      <c r="G98" s="558"/>
      <c r="H98" s="560"/>
      <c r="I98" s="560"/>
      <c r="J98" s="560"/>
      <c r="K98" s="560"/>
      <c r="L98" s="560"/>
      <c r="M98" s="561"/>
      <c r="N98" s="1152"/>
      <c r="O98" s="1152"/>
      <c r="P98" s="1428"/>
      <c r="Q98" s="1422"/>
      <c r="R98" s="1143"/>
      <c r="S98" s="1143"/>
      <c r="T98" s="1143"/>
      <c r="U98" s="1143"/>
      <c r="V98" s="1143"/>
      <c r="W98" s="1143"/>
      <c r="X98" s="1143"/>
      <c r="Y98" s="1143"/>
      <c r="Z98" s="1143"/>
      <c r="AA98" s="1143"/>
      <c r="AB98" s="1143"/>
      <c r="AC98" s="1143"/>
    </row>
    <row r="99" spans="1:29" s="469" customFormat="1" ht="14.4" thickTop="1">
      <c r="A99" s="591"/>
      <c r="B99" s="536">
        <f>B35</f>
        <v>111</v>
      </c>
      <c r="C99" s="547"/>
      <c r="D99" s="547"/>
      <c r="E99" s="547"/>
      <c r="F99" s="547"/>
      <c r="G99" s="552"/>
      <c r="H99" s="553"/>
      <c r="I99" s="553"/>
      <c r="J99" s="553"/>
      <c r="K99" s="553"/>
      <c r="L99" s="554"/>
      <c r="M99" s="555"/>
      <c r="N99" s="1153"/>
      <c r="O99" s="1153"/>
      <c r="P99" s="1429"/>
      <c r="Q99" s="1430"/>
      <c r="R99" s="1431"/>
      <c r="S99" s="1431"/>
      <c r="T99" s="1431"/>
      <c r="U99" s="1431"/>
      <c r="V99" s="1431"/>
      <c r="W99" s="1431"/>
      <c r="X99" s="1431"/>
      <c r="Y99" s="1431"/>
      <c r="Z99" s="1431"/>
      <c r="AA99" s="1431"/>
      <c r="AB99" s="1431"/>
      <c r="AC99" s="1431"/>
    </row>
    <row r="100" spans="1:29" s="469" customFormat="1" ht="14.4" thickBot="1">
      <c r="A100" s="551"/>
      <c r="B100" s="533"/>
      <c r="C100" s="558"/>
      <c r="D100" s="534"/>
      <c r="E100" s="534"/>
      <c r="F100" s="534"/>
      <c r="G100" s="558"/>
      <c r="H100" s="560"/>
      <c r="I100" s="560"/>
      <c r="J100" s="560"/>
      <c r="K100" s="560"/>
      <c r="L100" s="560"/>
      <c r="M100" s="561"/>
      <c r="N100" s="1153"/>
      <c r="O100" s="1153"/>
      <c r="P100" s="1429"/>
      <c r="Q100" s="1430"/>
      <c r="R100" s="1431"/>
      <c r="S100" s="1431"/>
      <c r="T100" s="1431"/>
      <c r="U100" s="1431"/>
      <c r="V100" s="1431"/>
      <c r="W100" s="1431"/>
      <c r="X100" s="1431"/>
      <c r="Y100" s="1431"/>
      <c r="Z100" s="1431"/>
      <c r="AA100" s="1431"/>
      <c r="AB100" s="1431"/>
      <c r="AC100" s="1431"/>
    </row>
    <row r="101" spans="1:29" ht="14.4" thickTop="1">
      <c r="A101" s="597"/>
      <c r="B101" s="536">
        <f>B36</f>
        <v>111</v>
      </c>
      <c r="C101" s="552"/>
      <c r="D101" s="552"/>
      <c r="E101" s="552"/>
      <c r="F101" s="552"/>
      <c r="G101" s="552"/>
      <c r="H101" s="553"/>
      <c r="I101" s="553"/>
      <c r="J101" s="553"/>
      <c r="K101" s="553"/>
      <c r="L101" s="554"/>
      <c r="M101" s="555"/>
      <c r="N101" s="1151"/>
      <c r="O101" s="1151"/>
      <c r="P101" s="1428"/>
      <c r="Q101" s="1422"/>
      <c r="R101" s="1143"/>
      <c r="S101" s="1143"/>
      <c r="T101" s="1143"/>
      <c r="U101" s="1143"/>
      <c r="V101" s="1143"/>
      <c r="W101" s="1143"/>
      <c r="X101" s="1143"/>
      <c r="Y101" s="1143"/>
      <c r="Z101" s="1143"/>
      <c r="AA101" s="1143"/>
      <c r="AB101" s="1143"/>
      <c r="AC101" s="1143"/>
    </row>
    <row r="102" spans="1:29" ht="14.4" thickBot="1">
      <c r="A102" s="532"/>
      <c r="B102" s="541"/>
      <c r="C102" s="558"/>
      <c r="D102" s="558"/>
      <c r="E102" s="558"/>
      <c r="F102" s="558"/>
      <c r="G102" s="558"/>
      <c r="H102" s="560"/>
      <c r="I102" s="560"/>
      <c r="J102" s="560"/>
      <c r="K102" s="560"/>
      <c r="L102" s="560"/>
      <c r="M102" s="561"/>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2706</v>
      </c>
      <c r="B1" s="1618"/>
      <c r="C1" s="1619" t="s">
        <v>2529</v>
      </c>
      <c r="D1" s="1620"/>
      <c r="E1" s="1629"/>
      <c r="F1" s="2582"/>
      <c r="G1" s="1630" t="s">
        <v>2642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2329</v>
      </c>
      <c r="B2" s="1417" t="e">
        <f ca="1">IF(C2="——",ROUND(C37*D3/10000,0),ROUND(C37*D3/10000,0)-D2)</f>
        <v>#DIV/0!</v>
      </c>
      <c r="C2" s="2584"/>
      <c r="D2" s="1123" t="e">
        <f ca="1">SUMIF(INDIRECT("'"&amp;F2&amp;"'"&amp;"!A:A"),"承租人权益价值",INDIRECT("'"&amp;F2&amp;"'"&amp;"!c:c"))</f>
        <v>#REF!</v>
      </c>
      <c r="E2" s="2585" t="s">
        <v>2330</v>
      </c>
      <c r="F2" s="2586"/>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6" customFormat="1" ht="28.5" customHeight="1" thickBot="1">
      <c r="A3" s="245" t="s">
        <v>2331</v>
      </c>
      <c r="B3" s="607" t="e">
        <f ca="1">IF(C2="——",C37,ROUND(B2*10000/D3,0))</f>
        <v>#DIV/0!</v>
      </c>
      <c r="C3" s="398" t="s">
        <v>2643</v>
      </c>
      <c r="D3" s="397">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4.4">
      <c r="A4" s="399" t="s">
        <v>2644</v>
      </c>
      <c r="B4" s="400"/>
      <c r="C4" s="3553" t="s">
        <v>2645</v>
      </c>
      <c r="D4" s="3554"/>
      <c r="E4" s="3555" t="s">
        <v>2646</v>
      </c>
      <c r="F4" s="3556"/>
      <c r="G4" s="3553" t="s">
        <v>2647</v>
      </c>
      <c r="H4" s="3554"/>
      <c r="I4" s="3553" t="s">
        <v>2648</v>
      </c>
      <c r="J4" s="3554"/>
      <c r="K4" s="608" t="s">
        <v>2649</v>
      </c>
      <c r="L4" s="1129"/>
      <c r="M4" s="1130"/>
      <c r="N4" s="1130"/>
      <c r="O4" s="1130"/>
      <c r="P4" s="3557" t="s">
        <v>2650</v>
      </c>
      <c r="Q4" s="3558"/>
      <c r="R4" s="3563" t="s">
        <v>2646</v>
      </c>
      <c r="S4" s="3564"/>
      <c r="T4" s="3563" t="s">
        <v>2647</v>
      </c>
      <c r="U4" s="3564"/>
      <c r="V4" s="3569" t="s">
        <v>2648</v>
      </c>
      <c r="W4" s="3569"/>
      <c r="X4" s="1812"/>
      <c r="Y4" s="3563" t="s">
        <v>2650</v>
      </c>
      <c r="Z4" s="3564"/>
      <c r="AA4" s="3550" t="s">
        <v>2646</v>
      </c>
      <c r="AB4" s="3551" t="s">
        <v>2647</v>
      </c>
      <c r="AC4" s="3550" t="s">
        <v>2648</v>
      </c>
    </row>
    <row r="5" spans="1:29">
      <c r="A5" s="402"/>
      <c r="B5" s="403"/>
      <c r="C5" s="3572" t="s">
        <v>2541</v>
      </c>
      <c r="D5" s="3573"/>
      <c r="E5" s="3579" t="s">
        <v>2542</v>
      </c>
      <c r="F5" s="3580"/>
      <c r="G5" s="3572" t="s">
        <v>2543</v>
      </c>
      <c r="H5" s="3573"/>
      <c r="I5" s="3572" t="s">
        <v>2544</v>
      </c>
      <c r="J5" s="3573"/>
      <c r="K5" s="608"/>
      <c r="L5" s="1129"/>
      <c r="M5" s="1130"/>
      <c r="N5" s="1130"/>
      <c r="O5" s="1130"/>
      <c r="P5" s="3559"/>
      <c r="Q5" s="3560"/>
      <c r="R5" s="3565"/>
      <c r="S5" s="3566"/>
      <c r="T5" s="3565"/>
      <c r="U5" s="3566"/>
      <c r="V5" s="3569"/>
      <c r="W5" s="3569"/>
      <c r="X5" s="1812"/>
      <c r="Y5" s="3565"/>
      <c r="Z5" s="3566"/>
      <c r="AA5" s="3551"/>
      <c r="AB5" s="3551"/>
      <c r="AC5" s="3551"/>
    </row>
    <row r="6" spans="1:29" ht="15" thickBot="1">
      <c r="A6" s="404"/>
      <c r="B6" s="405"/>
      <c r="C6" s="3570" t="s">
        <v>2545</v>
      </c>
      <c r="D6" s="3571"/>
      <c r="E6" s="3577" t="s">
        <v>2545</v>
      </c>
      <c r="F6" s="3578"/>
      <c r="G6" s="3570" t="s">
        <v>2545</v>
      </c>
      <c r="H6" s="3571"/>
      <c r="I6" s="3570" t="s">
        <v>2545</v>
      </c>
      <c r="J6" s="3571"/>
      <c r="K6" s="608" t="s">
        <v>2546</v>
      </c>
      <c r="L6" s="1129"/>
      <c r="M6" s="1130"/>
      <c r="N6" s="1130"/>
      <c r="O6" s="1130"/>
      <c r="P6" s="3561"/>
      <c r="Q6" s="3562"/>
      <c r="R6" s="3565"/>
      <c r="S6" s="3566"/>
      <c r="T6" s="3567"/>
      <c r="U6" s="3568"/>
      <c r="V6" s="3569"/>
      <c r="W6" s="3569"/>
      <c r="X6" s="1812"/>
      <c r="Y6" s="3567"/>
      <c r="Z6" s="3568"/>
      <c r="AA6" s="3552"/>
      <c r="AB6" s="3552"/>
      <c r="AC6" s="3552"/>
    </row>
    <row r="7" spans="1:29" s="115" customFormat="1" ht="15" thickBot="1">
      <c r="A7" s="406" t="s">
        <v>2547</v>
      </c>
      <c r="B7" s="407"/>
      <c r="C7" s="408">
        <f>'数据-取费表'!B2</f>
        <v>43424</v>
      </c>
      <c r="D7" s="409">
        <v>100</v>
      </c>
      <c r="E7" s="410"/>
      <c r="F7" s="411">
        <f>SUMIF(46:46,YEAR(E7)&amp;"-"&amp;MONTH(E7),47:47)</f>
        <v>0</v>
      </c>
      <c r="G7" s="2694"/>
      <c r="H7" s="409">
        <f>SUMIF(46:46,YEAR(G7)&amp;"-"&amp;MONTH(G7),47:47)</f>
        <v>0</v>
      </c>
      <c r="I7" s="410"/>
      <c r="J7" s="409">
        <f>SUMIF(46:46,YEAR(I7)&amp;"-"&amp;MONTH(I7),47:47)</f>
        <v>0</v>
      </c>
      <c r="K7" s="609"/>
      <c r="L7" s="1131"/>
      <c r="M7" s="1132"/>
      <c r="N7" s="1132"/>
      <c r="O7" s="1132"/>
      <c r="P7" s="3574" t="s">
        <v>2548</v>
      </c>
      <c r="Q7" s="3576"/>
      <c r="R7" s="767" t="s">
        <v>17</v>
      </c>
      <c r="S7" s="768">
        <f t="shared" ref="S7:S14" si="0">F7</f>
        <v>0</v>
      </c>
      <c r="T7" s="767" t="s">
        <v>17</v>
      </c>
      <c r="U7" s="768">
        <f t="shared" ref="U7:U14" si="1">H7</f>
        <v>0</v>
      </c>
      <c r="V7" s="767" t="s">
        <v>17</v>
      </c>
      <c r="W7" s="768">
        <f t="shared" ref="W7:W14" si="2">J7</f>
        <v>0</v>
      </c>
      <c r="X7" s="769"/>
      <c r="Y7" s="3574" t="s">
        <v>2548</v>
      </c>
      <c r="Z7" s="3575"/>
      <c r="AA7" s="770" t="e">
        <f>D7/F7</f>
        <v>#DIV/0!</v>
      </c>
      <c r="AB7" s="770" t="e">
        <f>D7/H7</f>
        <v>#DIV/0!</v>
      </c>
      <c r="AC7" s="770" t="e">
        <f>D7/J7</f>
        <v>#DIV/0!</v>
      </c>
    </row>
    <row r="8" spans="1:29" s="115" customFormat="1" ht="1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31"/>
      <c r="M8" s="1132"/>
      <c r="N8" s="1132"/>
      <c r="O8" s="1132"/>
      <c r="P8" s="3574" t="s">
        <v>2551</v>
      </c>
      <c r="Q8" s="3575"/>
      <c r="R8" s="767" t="s">
        <v>17</v>
      </c>
      <c r="S8" s="768">
        <f t="shared" si="0"/>
        <v>0</v>
      </c>
      <c r="T8" s="767" t="s">
        <v>17</v>
      </c>
      <c r="U8" s="768">
        <f t="shared" si="1"/>
        <v>0</v>
      </c>
      <c r="V8" s="767" t="s">
        <v>17</v>
      </c>
      <c r="W8" s="768">
        <f t="shared" si="2"/>
        <v>0</v>
      </c>
      <c r="X8" s="769"/>
      <c r="Y8" s="3574" t="s">
        <v>2551</v>
      </c>
      <c r="Z8" s="3575"/>
      <c r="AA8" s="770" t="e">
        <f t="shared" ref="AA8:AA34" si="3">D8/F8</f>
        <v>#DIV/0!</v>
      </c>
      <c r="AB8" s="770" t="e">
        <f t="shared" ref="AB8:AB34" si="4">D8/H8</f>
        <v>#DIV/0!</v>
      </c>
      <c r="AC8" s="770" t="e">
        <f t="shared" ref="AC8:AC34" si="5">D8/J8</f>
        <v>#DIV/0!</v>
      </c>
    </row>
    <row r="9" spans="1:29" s="115" customFormat="1" ht="14.4">
      <c r="A9" s="413" t="s">
        <v>2552</v>
      </c>
      <c r="B9" s="70" t="s">
        <v>2553</v>
      </c>
      <c r="C9" s="414"/>
      <c r="D9" s="133">
        <v>100</v>
      </c>
      <c r="E9" s="417"/>
      <c r="F9" s="416">
        <f>SUMIF(51:51,E9,52:52)-SUMIF(51:51,C9,52:52)+100</f>
        <v>100</v>
      </c>
      <c r="G9" s="417"/>
      <c r="H9" s="133">
        <f>SUMIF(51:51,G9,52:52)-SUMIF(51:51,C9,52:52)+100</f>
        <v>100</v>
      </c>
      <c r="I9" s="417"/>
      <c r="J9" s="133">
        <f>SUMIF(51:51,I9,52:52)-SUMIF(51:51,C9,52:52)+100</f>
        <v>100</v>
      </c>
      <c r="K9" s="609"/>
      <c r="L9" s="1131"/>
      <c r="M9" s="1132"/>
      <c r="N9" s="1132"/>
      <c r="O9" s="1133"/>
      <c r="P9" s="3540" t="s">
        <v>2554</v>
      </c>
      <c r="Q9" s="1794" t="str">
        <f t="shared" ref="Q9:Q14" si="6">B9</f>
        <v>用途</v>
      </c>
      <c r="R9" s="767" t="s">
        <v>17</v>
      </c>
      <c r="S9" s="768">
        <f t="shared" si="0"/>
        <v>100</v>
      </c>
      <c r="T9" s="767" t="s">
        <v>17</v>
      </c>
      <c r="U9" s="768">
        <f t="shared" si="1"/>
        <v>100</v>
      </c>
      <c r="V9" s="767" t="s">
        <v>17</v>
      </c>
      <c r="W9" s="768">
        <f t="shared" si="2"/>
        <v>100</v>
      </c>
      <c r="X9" s="769"/>
      <c r="Y9" s="3390" t="s">
        <v>2555</v>
      </c>
      <c r="Z9" s="54" t="str">
        <f t="shared" ref="Z9:Z14" si="7">Q9</f>
        <v>用途</v>
      </c>
      <c r="AA9" s="770">
        <f t="shared" si="3"/>
        <v>1</v>
      </c>
      <c r="AB9" s="770">
        <f t="shared" si="4"/>
        <v>1</v>
      </c>
      <c r="AC9" s="770">
        <f t="shared" si="5"/>
        <v>1</v>
      </c>
    </row>
    <row r="10" spans="1:29" s="425" customFormat="1" ht="28.8">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34"/>
      <c r="M10" s="1135"/>
      <c r="N10" s="1135"/>
      <c r="O10" s="1136"/>
      <c r="P10" s="3540"/>
      <c r="Q10" s="1794" t="str">
        <f t="shared" si="6"/>
        <v>土地使用年限（年）</v>
      </c>
      <c r="R10" s="767" t="s">
        <v>17</v>
      </c>
      <c r="S10" s="768">
        <f t="shared" si="0"/>
        <v>100</v>
      </c>
      <c r="T10" s="767" t="s">
        <v>17</v>
      </c>
      <c r="U10" s="768">
        <f t="shared" si="1"/>
        <v>100</v>
      </c>
      <c r="V10" s="767" t="s">
        <v>17</v>
      </c>
      <c r="W10" s="768">
        <f t="shared" si="2"/>
        <v>100</v>
      </c>
      <c r="X10" s="769"/>
      <c r="Y10" s="3390"/>
      <c r="Z10" s="54" t="str">
        <f t="shared" si="7"/>
        <v>土地使用年限（年）</v>
      </c>
      <c r="AA10" s="770">
        <f t="shared" si="3"/>
        <v>1</v>
      </c>
      <c r="AB10" s="770">
        <f t="shared" si="4"/>
        <v>1</v>
      </c>
      <c r="AC10" s="770">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7"/>
      <c r="M11" s="1130"/>
      <c r="N11" s="1130"/>
      <c r="O11" s="1138"/>
      <c r="P11" s="3540"/>
      <c r="Q11" s="1794">
        <f t="shared" si="6"/>
        <v>111</v>
      </c>
      <c r="R11" s="767" t="s">
        <v>17</v>
      </c>
      <c r="S11" s="768">
        <f t="shared" si="0"/>
        <v>100</v>
      </c>
      <c r="T11" s="767" t="s">
        <v>17</v>
      </c>
      <c r="U11" s="768">
        <f t="shared" si="1"/>
        <v>100</v>
      </c>
      <c r="V11" s="767" t="s">
        <v>17</v>
      </c>
      <c r="W11" s="768">
        <f t="shared" si="2"/>
        <v>100</v>
      </c>
      <c r="X11" s="769"/>
      <c r="Y11" s="3390"/>
      <c r="Z11" s="54">
        <f t="shared" si="7"/>
        <v>111</v>
      </c>
      <c r="AA11" s="770">
        <f t="shared" si="3"/>
        <v>1</v>
      </c>
      <c r="AB11" s="770">
        <f t="shared" si="4"/>
        <v>1</v>
      </c>
      <c r="AC11" s="770">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1"/>
      <c r="M12" s="1132"/>
      <c r="N12" s="1132"/>
      <c r="O12" s="1133"/>
      <c r="P12" s="3540"/>
      <c r="Q12" s="1794">
        <f t="shared" si="6"/>
        <v>111</v>
      </c>
      <c r="R12" s="767" t="s">
        <v>17</v>
      </c>
      <c r="S12" s="768">
        <f t="shared" si="0"/>
        <v>100</v>
      </c>
      <c r="T12" s="767" t="s">
        <v>17</v>
      </c>
      <c r="U12" s="768">
        <f t="shared" si="1"/>
        <v>100</v>
      </c>
      <c r="V12" s="767" t="s">
        <v>17</v>
      </c>
      <c r="W12" s="768">
        <f t="shared" si="2"/>
        <v>100</v>
      </c>
      <c r="X12" s="769"/>
      <c r="Y12" s="3390"/>
      <c r="Z12" s="54">
        <f t="shared" si="7"/>
        <v>111</v>
      </c>
      <c r="AA12" s="770">
        <f>D12/F12</f>
        <v>1</v>
      </c>
      <c r="AB12" s="770">
        <f>D12/H12</f>
        <v>1</v>
      </c>
      <c r="AC12" s="770">
        <f>D12/J12</f>
        <v>1</v>
      </c>
    </row>
    <row r="13" spans="1:29" ht="15.6"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9"/>
      <c r="M13" s="1130"/>
      <c r="N13" s="1130"/>
      <c r="O13" s="1138"/>
      <c r="P13" s="3540"/>
      <c r="Q13" s="1794">
        <f t="shared" si="6"/>
        <v>111</v>
      </c>
      <c r="R13" s="767" t="s">
        <v>17</v>
      </c>
      <c r="S13" s="768">
        <f t="shared" si="0"/>
        <v>100</v>
      </c>
      <c r="T13" s="767" t="s">
        <v>17</v>
      </c>
      <c r="U13" s="768">
        <f t="shared" si="1"/>
        <v>100</v>
      </c>
      <c r="V13" s="767" t="s">
        <v>17</v>
      </c>
      <c r="W13" s="768">
        <f t="shared" si="2"/>
        <v>100</v>
      </c>
      <c r="X13" s="769"/>
      <c r="Y13" s="3390"/>
      <c r="Z13" s="54">
        <f t="shared" si="7"/>
        <v>111</v>
      </c>
      <c r="AA13" s="770">
        <f t="shared" si="3"/>
        <v>1</v>
      </c>
      <c r="AB13" s="770">
        <f t="shared" si="4"/>
        <v>1</v>
      </c>
      <c r="AC13" s="770">
        <f t="shared" si="5"/>
        <v>1</v>
      </c>
    </row>
    <row r="14" spans="1:29" ht="96.6">
      <c r="A14" s="438" t="s">
        <v>2558</v>
      </c>
      <c r="B14" s="68" t="s">
        <v>2708</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9"/>
      <c r="M14" s="1130"/>
      <c r="N14" s="1130"/>
      <c r="O14" s="1138"/>
      <c r="P14" s="3545" t="s">
        <v>2559</v>
      </c>
      <c r="Q14" s="1809" t="str">
        <f t="shared" si="6"/>
        <v>交通便捷度</v>
      </c>
      <c r="R14" s="771" t="s">
        <v>17</v>
      </c>
      <c r="S14" s="772">
        <f t="shared" si="0"/>
        <v>100</v>
      </c>
      <c r="T14" s="771" t="s">
        <v>17</v>
      </c>
      <c r="U14" s="772">
        <f t="shared" si="1"/>
        <v>100</v>
      </c>
      <c r="V14" s="771" t="s">
        <v>17</v>
      </c>
      <c r="W14" s="772">
        <f t="shared" si="2"/>
        <v>100</v>
      </c>
      <c r="X14" s="1812"/>
      <c r="Y14" s="3545" t="s">
        <v>2559</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39"/>
      <c r="M15" s="1130"/>
      <c r="N15" s="1130"/>
      <c r="O15" s="1138"/>
      <c r="P15" s="3546"/>
      <c r="Q15" s="1809"/>
      <c r="R15" s="771"/>
      <c r="S15" s="772"/>
      <c r="T15" s="771"/>
      <c r="U15" s="772"/>
      <c r="V15" s="771"/>
      <c r="W15" s="772"/>
      <c r="X15" s="1812"/>
      <c r="Y15" s="3546"/>
      <c r="Z15" s="1813"/>
      <c r="AA15" s="1810">
        <v>1</v>
      </c>
      <c r="AB15" s="1810">
        <v>1</v>
      </c>
      <c r="AC15" s="1810">
        <v>1</v>
      </c>
    </row>
    <row r="16" spans="1:29" ht="41.4">
      <c r="A16" s="426"/>
      <c r="B16" s="449" t="s">
        <v>2687</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9"/>
      <c r="M16" s="1130"/>
      <c r="N16" s="1130"/>
      <c r="O16" s="1138"/>
      <c r="P16" s="3546"/>
      <c r="Q16" s="1809" t="str">
        <f>B16</f>
        <v>公共配套设施</v>
      </c>
      <c r="R16" s="771" t="s">
        <v>17</v>
      </c>
      <c r="S16" s="772">
        <f>F16</f>
        <v>100</v>
      </c>
      <c r="T16" s="771" t="s">
        <v>17</v>
      </c>
      <c r="U16" s="772">
        <f>H16</f>
        <v>100</v>
      </c>
      <c r="V16" s="771" t="s">
        <v>17</v>
      </c>
      <c r="W16" s="772">
        <f>J16</f>
        <v>100</v>
      </c>
      <c r="X16" s="1812"/>
      <c r="Y16" s="3546"/>
      <c r="Z16" s="1813" t="str">
        <f>Q16</f>
        <v>公共配套设施</v>
      </c>
      <c r="AA16" s="1810">
        <f t="shared" si="3"/>
        <v>1</v>
      </c>
      <c r="AB16" s="1810">
        <f t="shared" si="4"/>
        <v>1</v>
      </c>
      <c r="AC16" s="1810">
        <f t="shared" si="5"/>
        <v>1</v>
      </c>
    </row>
    <row r="17" spans="1:29" ht="15">
      <c r="A17" s="426"/>
      <c r="B17" s="454"/>
      <c r="C17" s="2606"/>
      <c r="D17" s="446"/>
      <c r="E17" s="445"/>
      <c r="F17" s="447"/>
      <c r="G17" s="445"/>
      <c r="H17" s="446"/>
      <c r="I17" s="445"/>
      <c r="J17" s="446"/>
      <c r="K17" s="613"/>
      <c r="L17" s="1139"/>
      <c r="M17" s="1130"/>
      <c r="N17" s="1130"/>
      <c r="O17" s="1138"/>
      <c r="P17" s="3546"/>
      <c r="Q17" s="1809"/>
      <c r="R17" s="771"/>
      <c r="S17" s="772"/>
      <c r="T17" s="771"/>
      <c r="U17" s="772"/>
      <c r="V17" s="771"/>
      <c r="W17" s="772"/>
      <c r="X17" s="1812"/>
      <c r="Y17" s="3546"/>
      <c r="Z17" s="1813"/>
      <c r="AA17" s="1810">
        <v>1</v>
      </c>
      <c r="AB17" s="1810">
        <v>1</v>
      </c>
      <c r="AC17" s="1810">
        <v>1</v>
      </c>
    </row>
    <row r="18" spans="1:29" ht="41.4">
      <c r="A18" s="426"/>
      <c r="B18" s="1383" t="s">
        <v>2688</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9"/>
      <c r="M18" s="1130"/>
      <c r="N18" s="1130"/>
      <c r="O18" s="1138"/>
      <c r="P18" s="3546"/>
      <c r="Q18" s="1809" t="str">
        <f>B18</f>
        <v>基础设施水平</v>
      </c>
      <c r="R18" s="771" t="s">
        <v>17</v>
      </c>
      <c r="S18" s="772">
        <f>F18</f>
        <v>100</v>
      </c>
      <c r="T18" s="771" t="s">
        <v>17</v>
      </c>
      <c r="U18" s="772">
        <f>H18</f>
        <v>100</v>
      </c>
      <c r="V18" s="771" t="s">
        <v>17</v>
      </c>
      <c r="W18" s="772">
        <f>J18</f>
        <v>100</v>
      </c>
      <c r="X18" s="1812"/>
      <c r="Y18" s="3546"/>
      <c r="Z18" s="1813" t="str">
        <f>Q18</f>
        <v>基础设施水平</v>
      </c>
      <c r="AA18" s="1810">
        <f t="shared" ref="AA18" si="8">D18/F18</f>
        <v>1</v>
      </c>
      <c r="AB18" s="1810">
        <f t="shared" ref="AB18" si="9">D18/H18</f>
        <v>1</v>
      </c>
      <c r="AC18" s="1810">
        <f t="shared" ref="AC18" si="10">D18/J18</f>
        <v>1</v>
      </c>
    </row>
    <row r="19" spans="1:29" ht="15">
      <c r="A19" s="426"/>
      <c r="B19" s="1383"/>
      <c r="C19" s="2606"/>
      <c r="D19" s="448"/>
      <c r="E19" s="2606"/>
      <c r="F19" s="451"/>
      <c r="G19" s="2606"/>
      <c r="H19" s="446"/>
      <c r="I19" s="445"/>
      <c r="J19" s="446"/>
      <c r="K19" s="1382"/>
      <c r="L19" s="1139"/>
      <c r="M19" s="1130"/>
      <c r="N19" s="1130"/>
      <c r="O19" s="1138"/>
      <c r="P19" s="3546"/>
      <c r="Q19" s="1809"/>
      <c r="R19" s="771"/>
      <c r="S19" s="772"/>
      <c r="T19" s="771"/>
      <c r="U19" s="772"/>
      <c r="V19" s="771"/>
      <c r="W19" s="772"/>
      <c r="X19" s="1812"/>
      <c r="Y19" s="3546"/>
      <c r="Z19" s="1813"/>
      <c r="AA19" s="1810">
        <v>1</v>
      </c>
      <c r="AB19" s="1810">
        <v>1</v>
      </c>
      <c r="AC19" s="1810">
        <v>1</v>
      </c>
    </row>
    <row r="20" spans="1:29" ht="55.2">
      <c r="A20" s="426"/>
      <c r="B20" s="449" t="s">
        <v>2709</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9"/>
      <c r="M20" s="1130"/>
      <c r="N20" s="1130"/>
      <c r="O20" s="1138"/>
      <c r="P20" s="3546"/>
      <c r="Q20" s="1809" t="str">
        <f>B20</f>
        <v>自然及人文环境</v>
      </c>
      <c r="R20" s="771" t="s">
        <v>17</v>
      </c>
      <c r="S20" s="772">
        <f>F20</f>
        <v>100</v>
      </c>
      <c r="T20" s="771" t="s">
        <v>17</v>
      </c>
      <c r="U20" s="772">
        <f>H20</f>
        <v>100</v>
      </c>
      <c r="V20" s="771" t="s">
        <v>17</v>
      </c>
      <c r="W20" s="772">
        <f>J20</f>
        <v>100</v>
      </c>
      <c r="X20" s="1812"/>
      <c r="Y20" s="3546"/>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39"/>
      <c r="M21" s="1130"/>
      <c r="N21" s="1130"/>
      <c r="O21" s="1138"/>
      <c r="P21" s="3546"/>
      <c r="Q21" s="1809"/>
      <c r="R21" s="771"/>
      <c r="S21" s="772"/>
      <c r="T21" s="771"/>
      <c r="U21" s="772"/>
      <c r="V21" s="771"/>
      <c r="W21" s="772"/>
      <c r="X21" s="1812"/>
      <c r="Y21" s="3546"/>
      <c r="Z21" s="1813"/>
      <c r="AA21" s="1810">
        <v>1</v>
      </c>
      <c r="AB21" s="1810">
        <v>1</v>
      </c>
      <c r="AC21" s="1810">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39"/>
      <c r="M22" s="1130"/>
      <c r="N22" s="1130"/>
      <c r="O22" s="1138"/>
      <c r="P22" s="3546"/>
      <c r="Q22" s="1809" t="str">
        <f>B22</f>
        <v>楼层</v>
      </c>
      <c r="R22" s="771" t="s">
        <v>17</v>
      </c>
      <c r="S22" s="772">
        <f>F22</f>
        <v>100</v>
      </c>
      <c r="T22" s="771" t="s">
        <v>17</v>
      </c>
      <c r="U22" s="772">
        <f>H22</f>
        <v>100</v>
      </c>
      <c r="V22" s="771" t="s">
        <v>17</v>
      </c>
      <c r="W22" s="772">
        <f>J22</f>
        <v>100</v>
      </c>
      <c r="X22" s="1812"/>
      <c r="Y22" s="3546"/>
      <c r="Z22" s="1813" t="str">
        <f>Q22</f>
        <v>楼层</v>
      </c>
      <c r="AA22" s="1810">
        <f t="shared" si="3"/>
        <v>1</v>
      </c>
      <c r="AB22" s="1810">
        <f t="shared" si="4"/>
        <v>1</v>
      </c>
      <c r="AC22" s="1810">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9"/>
      <c r="M23" s="1130"/>
      <c r="N23" s="1130"/>
      <c r="O23" s="1138"/>
      <c r="P23" s="3546"/>
      <c r="Q23" s="1809">
        <f>B23</f>
        <v>111</v>
      </c>
      <c r="R23" s="771" t="s">
        <v>17</v>
      </c>
      <c r="S23" s="772">
        <f>F23</f>
        <v>100</v>
      </c>
      <c r="T23" s="771" t="s">
        <v>17</v>
      </c>
      <c r="U23" s="772">
        <f>H23</f>
        <v>100</v>
      </c>
      <c r="V23" s="771" t="s">
        <v>17</v>
      </c>
      <c r="W23" s="772">
        <f>J23</f>
        <v>100</v>
      </c>
      <c r="X23" s="1812"/>
      <c r="Y23" s="3546"/>
      <c r="Z23" s="1813">
        <f>Q23</f>
        <v>111</v>
      </c>
      <c r="AA23" s="1810">
        <f t="shared" si="3"/>
        <v>1</v>
      </c>
      <c r="AB23" s="1810">
        <f t="shared" si="4"/>
        <v>1</v>
      </c>
      <c r="AC23" s="1810">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9"/>
      <c r="M24" s="1130"/>
      <c r="N24" s="1130"/>
      <c r="O24" s="1138"/>
      <c r="P24" s="3546"/>
      <c r="Q24" s="1809">
        <f t="shared" ref="Q24:Q34" si="11">B24</f>
        <v>111</v>
      </c>
      <c r="R24" s="771" t="s">
        <v>17</v>
      </c>
      <c r="S24" s="772">
        <f>F24</f>
        <v>100</v>
      </c>
      <c r="T24" s="771" t="s">
        <v>17</v>
      </c>
      <c r="U24" s="772">
        <f>H24</f>
        <v>100</v>
      </c>
      <c r="V24" s="771" t="s">
        <v>17</v>
      </c>
      <c r="W24" s="772">
        <f>J24</f>
        <v>100</v>
      </c>
      <c r="X24" s="1812"/>
      <c r="Y24" s="3546"/>
      <c r="Z24" s="1813">
        <f>Q24</f>
        <v>111</v>
      </c>
      <c r="AA24" s="1810">
        <f t="shared" si="3"/>
        <v>1</v>
      </c>
      <c r="AB24" s="1810">
        <f t="shared" si="4"/>
        <v>1</v>
      </c>
      <c r="AC24" s="1810">
        <f t="shared" si="5"/>
        <v>1</v>
      </c>
    </row>
    <row r="25" spans="1:29" s="115" customFormat="1" ht="15.6"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1"/>
      <c r="M25" s="1132"/>
      <c r="N25" s="1132"/>
      <c r="O25" s="1133"/>
      <c r="P25" s="3546"/>
      <c r="Q25" s="1794">
        <f t="shared" si="11"/>
        <v>111</v>
      </c>
      <c r="R25" s="767" t="s">
        <v>17</v>
      </c>
      <c r="S25" s="768">
        <f>F25</f>
        <v>100</v>
      </c>
      <c r="T25" s="767" t="s">
        <v>17</v>
      </c>
      <c r="U25" s="768">
        <f>H25</f>
        <v>100</v>
      </c>
      <c r="V25" s="767" t="s">
        <v>17</v>
      </c>
      <c r="W25" s="768">
        <f>J25</f>
        <v>100</v>
      </c>
      <c r="X25" s="769"/>
      <c r="Y25" s="3546"/>
      <c r="Z25" s="54">
        <f>Q25</f>
        <v>111</v>
      </c>
      <c r="AA25" s="1810">
        <f>D25/F25</f>
        <v>1</v>
      </c>
      <c r="AB25" s="1810">
        <f>D25/H25</f>
        <v>1</v>
      </c>
      <c r="AC25" s="1810">
        <f>D25/J25</f>
        <v>1</v>
      </c>
    </row>
    <row r="26" spans="1:29" ht="30">
      <c r="A26" s="464" t="s">
        <v>2562</v>
      </c>
      <c r="B26" s="70" t="s">
        <v>2713</v>
      </c>
      <c r="C26" s="2677"/>
      <c r="D26" s="465">
        <v>100</v>
      </c>
      <c r="E26" s="2677"/>
      <c r="F26" s="665">
        <f>SUMIF(77:77,E26,78:78)-SUMIF(77:77,C26,78:78)+100</f>
        <v>100</v>
      </c>
      <c r="G26" s="2677"/>
      <c r="H26" s="465">
        <f>SUMIF(77:77,G26,78:78)-SUMIF(77:77,C26,78:78)+100</f>
        <v>100</v>
      </c>
      <c r="I26" s="2677"/>
      <c r="J26" s="465">
        <f>SUMIF(77:77,I26,78:78)-SUMIF(77:77,C26,78:78)+100</f>
        <v>100</v>
      </c>
      <c r="K26" s="610"/>
      <c r="L26" s="1139"/>
      <c r="M26" s="1130"/>
      <c r="N26" s="1130"/>
      <c r="O26" s="1138"/>
      <c r="P26" s="3547" t="s">
        <v>2564</v>
      </c>
      <c r="Q26" s="1809" t="str">
        <f t="shared" si="11"/>
        <v>公共部分装修</v>
      </c>
      <c r="R26" s="771" t="s">
        <v>17</v>
      </c>
      <c r="S26" s="772">
        <f t="shared" ref="S26:S34" si="12">F26</f>
        <v>100</v>
      </c>
      <c r="T26" s="771" t="s">
        <v>17</v>
      </c>
      <c r="U26" s="772">
        <f t="shared" ref="U26:U34" si="13">H26</f>
        <v>100</v>
      </c>
      <c r="V26" s="771" t="s">
        <v>17</v>
      </c>
      <c r="W26" s="772">
        <f t="shared" ref="W26:W34" si="14">J26</f>
        <v>100</v>
      </c>
      <c r="X26" s="1812"/>
      <c r="Y26" s="3548" t="s">
        <v>2564</v>
      </c>
      <c r="Z26" s="1813" t="str">
        <f t="shared" ref="Z26:Z34" si="15">Q26</f>
        <v>公共部分装修</v>
      </c>
      <c r="AA26" s="1810">
        <f t="shared" si="3"/>
        <v>1</v>
      </c>
      <c r="AB26" s="1810">
        <f t="shared" si="4"/>
        <v>1</v>
      </c>
      <c r="AC26" s="1810">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7"/>
      <c r="M27" s="1140"/>
      <c r="N27" s="1140"/>
      <c r="O27" s="1141"/>
      <c r="P27" s="3548"/>
      <c r="Q27" s="773" t="str">
        <f t="shared" si="11"/>
        <v>成新率</v>
      </c>
      <c r="R27" s="774" t="s">
        <v>17</v>
      </c>
      <c r="S27" s="775" t="e">
        <f t="shared" si="12"/>
        <v>#N/A</v>
      </c>
      <c r="T27" s="774" t="s">
        <v>17</v>
      </c>
      <c r="U27" s="775" t="e">
        <f t="shared" si="13"/>
        <v>#N/A</v>
      </c>
      <c r="V27" s="774" t="s">
        <v>17</v>
      </c>
      <c r="W27" s="775" t="e">
        <f t="shared" si="14"/>
        <v>#N/A</v>
      </c>
      <c r="X27" s="776"/>
      <c r="Y27" s="3548"/>
      <c r="Z27" s="777" t="str">
        <f t="shared" si="15"/>
        <v>成新率</v>
      </c>
      <c r="AA27" s="1810" t="e">
        <f t="shared" si="3"/>
        <v>#N/A</v>
      </c>
      <c r="AB27" s="1810" t="e">
        <f t="shared" si="4"/>
        <v>#N/A</v>
      </c>
      <c r="AC27" s="1810"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39"/>
      <c r="M28" s="1130"/>
      <c r="N28" s="1130"/>
      <c r="O28" s="1138"/>
      <c r="P28" s="3548"/>
      <c r="Q28" s="1809" t="str">
        <f t="shared" si="11"/>
        <v>物业等级</v>
      </c>
      <c r="R28" s="771" t="s">
        <v>17</v>
      </c>
      <c r="S28" s="772">
        <f t="shared" si="12"/>
        <v>100</v>
      </c>
      <c r="T28" s="771" t="s">
        <v>17</v>
      </c>
      <c r="U28" s="772">
        <f t="shared" si="13"/>
        <v>100</v>
      </c>
      <c r="V28" s="771" t="s">
        <v>17</v>
      </c>
      <c r="W28" s="772">
        <f t="shared" si="14"/>
        <v>100</v>
      </c>
      <c r="X28" s="1812"/>
      <c r="Y28" s="3548"/>
      <c r="Z28" s="1813" t="str">
        <f t="shared" si="15"/>
        <v>物业等级</v>
      </c>
      <c r="AA28" s="1810">
        <f t="shared" si="3"/>
        <v>1</v>
      </c>
      <c r="AB28" s="1810">
        <f t="shared" si="4"/>
        <v>1</v>
      </c>
      <c r="AC28" s="1810">
        <f t="shared" si="5"/>
        <v>1</v>
      </c>
    </row>
    <row r="29" spans="1:29" ht="15">
      <c r="A29" s="470"/>
      <c r="B29" s="420" t="s">
        <v>2736</v>
      </c>
      <c r="C29" s="655"/>
      <c r="D29" s="433">
        <v>100</v>
      </c>
      <c r="E29" s="655"/>
      <c r="F29" s="459">
        <f>SUMIF(84:84,E29,85:85)-SUMIF(84:84,C29,85:85)+100</f>
        <v>100</v>
      </c>
      <c r="G29" s="655"/>
      <c r="H29" s="433">
        <f>SUMIF(84:84,G29,85:85)-SUMIF(84:84,C29,85:85)+100</f>
        <v>100</v>
      </c>
      <c r="I29" s="655"/>
      <c r="J29" s="433">
        <f>SUMIF(84:84,I29,85:85)-SUMIF(84:84,C29,85:85)+100</f>
        <v>100</v>
      </c>
      <c r="K29" s="610"/>
      <c r="L29" s="1139"/>
      <c r="M29" s="1130"/>
      <c r="N29" s="1130"/>
      <c r="O29" s="1138"/>
      <c r="P29" s="3548"/>
      <c r="Q29" s="1809" t="str">
        <f t="shared" si="11"/>
        <v>有无电梯</v>
      </c>
      <c r="R29" s="771" t="s">
        <v>17</v>
      </c>
      <c r="S29" s="772">
        <f t="shared" si="12"/>
        <v>100</v>
      </c>
      <c r="T29" s="771" t="s">
        <v>17</v>
      </c>
      <c r="U29" s="772">
        <f t="shared" si="13"/>
        <v>100</v>
      </c>
      <c r="V29" s="771" t="s">
        <v>17</v>
      </c>
      <c r="W29" s="772">
        <f t="shared" si="14"/>
        <v>100</v>
      </c>
      <c r="X29" s="1812"/>
      <c r="Y29" s="3548"/>
      <c r="Z29" s="1813" t="str">
        <f t="shared" si="15"/>
        <v>有无电梯</v>
      </c>
      <c r="AA29" s="1810">
        <f t="shared" si="3"/>
        <v>1</v>
      </c>
      <c r="AB29" s="1810">
        <f t="shared" si="4"/>
        <v>1</v>
      </c>
      <c r="AC29" s="1810">
        <f t="shared" si="5"/>
        <v>1</v>
      </c>
    </row>
    <row r="30" spans="1:29" ht="15">
      <c r="A30" s="470"/>
      <c r="B30" s="420" t="s">
        <v>2737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9"/>
      <c r="M30" s="1130"/>
      <c r="N30" s="1130"/>
      <c r="O30" s="1138"/>
      <c r="P30" s="3548"/>
      <c r="Q30" s="1809" t="str">
        <f t="shared" si="11"/>
        <v>建筑面积</v>
      </c>
      <c r="R30" s="771" t="s">
        <v>17</v>
      </c>
      <c r="S30" s="772" t="e">
        <f t="shared" si="12"/>
        <v>#N/A</v>
      </c>
      <c r="T30" s="771" t="s">
        <v>17</v>
      </c>
      <c r="U30" s="772" t="e">
        <f t="shared" si="13"/>
        <v>#N/A</v>
      </c>
      <c r="V30" s="771" t="s">
        <v>17</v>
      </c>
      <c r="W30" s="772" t="e">
        <f t="shared" si="14"/>
        <v>#N/A</v>
      </c>
      <c r="X30" s="1812"/>
      <c r="Y30" s="3548"/>
      <c r="Z30" s="1813" t="str">
        <f t="shared" si="15"/>
        <v>建筑面积</v>
      </c>
      <c r="AA30" s="1810" t="e">
        <f t="shared" si="3"/>
        <v>#N/A</v>
      </c>
      <c r="AB30" s="1810" t="e">
        <f t="shared" si="4"/>
        <v>#N/A</v>
      </c>
      <c r="AC30" s="1810" t="e">
        <f t="shared" si="5"/>
        <v>#N/A</v>
      </c>
    </row>
    <row r="31" spans="1:29" s="115" customFormat="1" ht="15">
      <c r="A31" s="471"/>
      <c r="B31" s="420" t="s">
        <v>2738</v>
      </c>
      <c r="C31" s="655"/>
      <c r="D31" s="134">
        <v>100</v>
      </c>
      <c r="E31" s="655"/>
      <c r="F31" s="459">
        <f>SUMIF(89:89,E31,90:90)-SUMIF(89:89,C31,90:90)+100</f>
        <v>100</v>
      </c>
      <c r="G31" s="655"/>
      <c r="H31" s="433">
        <f>SUMIF(89:89,G31,90:90)-SUMIF(89:89,C31,90:90)+100</f>
        <v>100</v>
      </c>
      <c r="I31" s="655"/>
      <c r="J31" s="433">
        <f>SUMIF(89:89,I31,90:90)-SUMIF(89:89,C31,90:90)+100</f>
        <v>100</v>
      </c>
      <c r="K31" s="610"/>
      <c r="L31" s="1131"/>
      <c r="M31" s="1132"/>
      <c r="N31" s="1132"/>
      <c r="O31" s="1133"/>
      <c r="P31" s="3548"/>
      <c r="Q31" s="1794" t="str">
        <f t="shared" si="11"/>
        <v>是否封闭</v>
      </c>
      <c r="R31" s="767" t="s">
        <v>17</v>
      </c>
      <c r="S31" s="768">
        <f t="shared" si="12"/>
        <v>100</v>
      </c>
      <c r="T31" s="767" t="s">
        <v>17</v>
      </c>
      <c r="U31" s="768">
        <f t="shared" si="13"/>
        <v>100</v>
      </c>
      <c r="V31" s="767" t="s">
        <v>17</v>
      </c>
      <c r="W31" s="768">
        <f t="shared" si="14"/>
        <v>100</v>
      </c>
      <c r="X31" s="769"/>
      <c r="Y31" s="3548"/>
      <c r="Z31" s="54" t="str">
        <f t="shared" si="15"/>
        <v>是否封闭</v>
      </c>
      <c r="AA31" s="770">
        <f t="shared" si="3"/>
        <v>1</v>
      </c>
      <c r="AB31" s="770">
        <f t="shared" si="4"/>
        <v>1</v>
      </c>
      <c r="AC31" s="770">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9"/>
      <c r="M32" s="1130"/>
      <c r="N32" s="1130"/>
      <c r="O32" s="1138"/>
      <c r="P32" s="3548" t="s">
        <v>2564</v>
      </c>
      <c r="Q32" s="1809">
        <f t="shared" si="11"/>
        <v>111</v>
      </c>
      <c r="R32" s="771" t="s">
        <v>17</v>
      </c>
      <c r="S32" s="772">
        <f t="shared" si="12"/>
        <v>100</v>
      </c>
      <c r="T32" s="771" t="s">
        <v>17</v>
      </c>
      <c r="U32" s="772">
        <f t="shared" si="13"/>
        <v>100</v>
      </c>
      <c r="V32" s="771" t="s">
        <v>17</v>
      </c>
      <c r="W32" s="772">
        <f t="shared" si="14"/>
        <v>100</v>
      </c>
      <c r="X32" s="1812"/>
      <c r="Y32" s="3548" t="s">
        <v>2564</v>
      </c>
      <c r="Z32" s="1813">
        <f t="shared" si="15"/>
        <v>111</v>
      </c>
      <c r="AA32" s="1810">
        <f t="shared" si="3"/>
        <v>1</v>
      </c>
      <c r="AB32" s="1810">
        <f t="shared" si="4"/>
        <v>1</v>
      </c>
      <c r="AC32" s="1810">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9"/>
      <c r="M33" s="1130"/>
      <c r="N33" s="1130"/>
      <c r="O33" s="1138"/>
      <c r="P33" s="3548"/>
      <c r="Q33" s="1809">
        <f t="shared" si="11"/>
        <v>111</v>
      </c>
      <c r="R33" s="771" t="s">
        <v>17</v>
      </c>
      <c r="S33" s="772">
        <f t="shared" si="12"/>
        <v>100</v>
      </c>
      <c r="T33" s="771" t="s">
        <v>17</v>
      </c>
      <c r="U33" s="772">
        <f t="shared" si="13"/>
        <v>100</v>
      </c>
      <c r="V33" s="771" t="s">
        <v>17</v>
      </c>
      <c r="W33" s="772">
        <f t="shared" si="14"/>
        <v>100</v>
      </c>
      <c r="X33" s="1812"/>
      <c r="Y33" s="3548"/>
      <c r="Z33" s="1813">
        <f t="shared" si="15"/>
        <v>111</v>
      </c>
      <c r="AA33" s="1810">
        <f t="shared" si="3"/>
        <v>1</v>
      </c>
      <c r="AB33" s="1810">
        <f t="shared" si="4"/>
        <v>1</v>
      </c>
      <c r="AC33" s="1810">
        <f t="shared" si="5"/>
        <v>1</v>
      </c>
    </row>
    <row r="34" spans="1:29" ht="15.6"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9"/>
      <c r="M34" s="1130"/>
      <c r="N34" s="1130"/>
      <c r="O34" s="1138"/>
      <c r="P34" s="3548"/>
      <c r="Q34" s="1809">
        <f t="shared" si="11"/>
        <v>111</v>
      </c>
      <c r="R34" s="771" t="s">
        <v>17</v>
      </c>
      <c r="S34" s="772">
        <f t="shared" si="12"/>
        <v>100</v>
      </c>
      <c r="T34" s="771" t="s">
        <v>17</v>
      </c>
      <c r="U34" s="772">
        <f t="shared" si="13"/>
        <v>100</v>
      </c>
      <c r="V34" s="771" t="s">
        <v>17</v>
      </c>
      <c r="W34" s="772">
        <f t="shared" si="14"/>
        <v>100</v>
      </c>
      <c r="X34" s="1812"/>
      <c r="Y34" s="3548"/>
      <c r="Z34" s="1813">
        <f t="shared" si="15"/>
        <v>111</v>
      </c>
      <c r="AA34" s="1810">
        <f t="shared" si="3"/>
        <v>1</v>
      </c>
      <c r="AB34" s="1810">
        <f t="shared" si="4"/>
        <v>1</v>
      </c>
      <c r="AC34" s="1810">
        <f t="shared" si="5"/>
        <v>1</v>
      </c>
    </row>
    <row r="35" spans="1:29" ht="14.4">
      <c r="A35" s="477" t="s">
        <v>2576</v>
      </c>
      <c r="B35" s="478"/>
      <c r="C35" s="1406" t="s">
        <v>1</v>
      </c>
      <c r="D35" s="1407"/>
      <c r="E35" s="1408"/>
      <c r="F35" s="1409"/>
      <c r="G35" s="1410"/>
      <c r="H35" s="1411"/>
      <c r="I35" s="1408"/>
      <c r="J35" s="1411"/>
      <c r="K35" s="780"/>
      <c r="L35" s="1142"/>
      <c r="M35" s="1143"/>
      <c r="N35" s="1130"/>
      <c r="O35" s="1143"/>
      <c r="P35" s="3540" t="str">
        <f>A35</f>
        <v>成交单价（元/平方米）</v>
      </c>
      <c r="Q35" s="3540"/>
      <c r="R35" s="3541">
        <f>E35</f>
        <v>0</v>
      </c>
      <c r="S35" s="3541"/>
      <c r="T35" s="3541">
        <f>G35</f>
        <v>0</v>
      </c>
      <c r="U35" s="3541"/>
      <c r="V35" s="3541">
        <f>I35</f>
        <v>0</v>
      </c>
      <c r="W35" s="3541"/>
      <c r="X35" s="756"/>
      <c r="Y35" s="778"/>
      <c r="Z35" s="756"/>
      <c r="AA35" s="756"/>
      <c r="AB35" s="756"/>
      <c r="AC35" s="756"/>
    </row>
    <row r="36" spans="1:29" ht="15" thickBot="1">
      <c r="A36" s="484" t="s">
        <v>2668</v>
      </c>
      <c r="B36" s="485"/>
      <c r="C36" s="1412" t="e">
        <f>R37</f>
        <v>#DIV/0!</v>
      </c>
      <c r="D36" s="1413"/>
      <c r="E36" s="1414" t="e">
        <f>R36</f>
        <v>#DIV/0!</v>
      </c>
      <c r="F36" s="1414"/>
      <c r="G36" s="1412" t="e">
        <f>T36</f>
        <v>#DIV/0!</v>
      </c>
      <c r="H36" s="1413"/>
      <c r="I36" s="1414" t="e">
        <f>V36</f>
        <v>#DIV/0!</v>
      </c>
      <c r="J36" s="1413"/>
      <c r="K36" s="781"/>
      <c r="L36" s="1142"/>
      <c r="M36" s="1143"/>
      <c r="N36" s="1130"/>
      <c r="O36" s="1143"/>
      <c r="P36" s="3540" t="str">
        <f>A36</f>
        <v>比较价值（元/平方米）</v>
      </c>
      <c r="Q36" s="3540"/>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756"/>
      <c r="Y36" s="756"/>
      <c r="Z36" s="756"/>
      <c r="AA36" s="756"/>
      <c r="AB36" s="756"/>
      <c r="AC36" s="756"/>
    </row>
    <row r="37" spans="1:29" ht="15" thickBot="1">
      <c r="A37" s="490" t="s">
        <v>2669</v>
      </c>
      <c r="B37" s="491"/>
      <c r="C37" s="1416" t="e">
        <f>R37</f>
        <v>#DIV/0!</v>
      </c>
      <c r="D37" s="1416"/>
      <c r="E37" s="1416"/>
      <c r="F37" s="1416"/>
      <c r="G37" s="1416"/>
      <c r="H37" s="1416"/>
      <c r="I37" s="1416"/>
      <c r="J37" s="1416"/>
      <c r="K37" s="782"/>
      <c r="L37" s="1142"/>
      <c r="M37" s="1143"/>
      <c r="N37" s="1143"/>
      <c r="O37" s="1143"/>
      <c r="P37" s="3542" t="str">
        <f>A37</f>
        <v>估价对象XX用房的比较价值（楼面单价，元/平方米）</v>
      </c>
      <c r="Q37" s="3543"/>
      <c r="R37" s="3544" t="e">
        <f>IF(F1="售价",ROUND(AVERAGE(R36:V36),0),ROUND(AVERAGE(R36:V36),1))</f>
        <v>#DIV/0!</v>
      </c>
      <c r="S37" s="3544"/>
      <c r="T37" s="3544"/>
      <c r="U37" s="3544"/>
      <c r="V37" s="3544"/>
      <c r="W37" s="3544"/>
      <c r="X37" s="756"/>
      <c r="Y37" s="756"/>
      <c r="Z37" s="756"/>
      <c r="AA37" s="756"/>
      <c r="AB37" s="756"/>
      <c r="AC37" s="756"/>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4"/>
      <c r="L40" s="1105"/>
      <c r="M40" s="1143"/>
      <c r="N40" s="1143"/>
      <c r="O40" s="1143"/>
    </row>
    <row r="41" spans="1:29" ht="13.5" customHeight="1">
      <c r="A41" s="1143"/>
      <c r="B41" s="1143"/>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4"/>
      <c r="L41" s="1105"/>
      <c r="M41" s="1143"/>
      <c r="N41" s="1143"/>
      <c r="O41" s="1143"/>
    </row>
    <row r="42" spans="1:29" s="500" customFormat="1" ht="13.5" customHeight="1">
      <c r="A42" s="1144"/>
      <c r="B42" s="1144"/>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7"/>
      <c r="L42" s="1148"/>
      <c r="M42" s="1144"/>
      <c r="N42" s="1144"/>
      <c r="O42" s="1144"/>
    </row>
    <row r="43" spans="1:29" s="500"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0" t="s">
        <v>2673</v>
      </c>
      <c r="B45" s="756"/>
      <c r="C45" s="761"/>
      <c r="D45" s="761"/>
      <c r="E45" s="761"/>
      <c r="F45" s="762"/>
      <c r="G45" s="762"/>
      <c r="H45" s="761"/>
      <c r="I45" s="761"/>
      <c r="J45" s="761"/>
      <c r="K45" s="763"/>
      <c r="L45" s="764"/>
      <c r="M45" s="761"/>
      <c r="N45" s="761"/>
      <c r="O45" s="761"/>
      <c r="P45" s="501"/>
      <c r="Q45" s="502"/>
    </row>
    <row r="46" spans="1:29" s="506" customFormat="1" ht="14.4">
      <c r="A46" s="503" t="s">
        <v>2547</v>
      </c>
      <c r="B46" s="504"/>
      <c r="C46" s="1573" t="str">
        <f>YEAR(C7)&amp;"-"&amp;MONTH(C7)</f>
        <v>2018-11</v>
      </c>
      <c r="D46" s="1574">
        <f>EDATE(C46,-1)</f>
        <v>43374</v>
      </c>
      <c r="E46" s="1574">
        <f t="shared" ref="E46:O46" si="16">EDATE(D46,-1)</f>
        <v>43344</v>
      </c>
      <c r="F46" s="1574">
        <f t="shared" si="16"/>
        <v>43313</v>
      </c>
      <c r="G46" s="1574">
        <f t="shared" si="16"/>
        <v>43282</v>
      </c>
      <c r="H46" s="1574">
        <f t="shared" si="16"/>
        <v>43252</v>
      </c>
      <c r="I46" s="1574">
        <f t="shared" si="16"/>
        <v>43221</v>
      </c>
      <c r="J46" s="1574">
        <f t="shared" si="16"/>
        <v>43191</v>
      </c>
      <c r="K46" s="1574">
        <f t="shared" si="16"/>
        <v>43160</v>
      </c>
      <c r="L46" s="1574">
        <f t="shared" si="16"/>
        <v>43132</v>
      </c>
      <c r="M46" s="1574">
        <f t="shared" si="16"/>
        <v>43101</v>
      </c>
      <c r="N46" s="1574">
        <f t="shared" si="16"/>
        <v>43070</v>
      </c>
      <c r="O46" s="1574">
        <f t="shared" si="16"/>
        <v>43040</v>
      </c>
      <c r="P46" s="505"/>
    </row>
    <row r="47" spans="1:29" s="115" customFormat="1">
      <c r="A47" s="507"/>
      <c r="B47" s="508"/>
      <c r="C47" s="1572">
        <v>100</v>
      </c>
      <c r="D47" s="510"/>
      <c r="E47" s="510"/>
      <c r="F47" s="510"/>
      <c r="G47" s="510"/>
      <c r="H47" s="510"/>
      <c r="I47" s="510"/>
      <c r="J47" s="510"/>
      <c r="K47" s="510"/>
      <c r="L47" s="510"/>
      <c r="M47" s="511"/>
      <c r="N47" s="510"/>
      <c r="O47" s="512"/>
      <c r="P47" s="502"/>
    </row>
    <row r="48" spans="1:29" s="115" customFormat="1" ht="15" thickBot="1">
      <c r="A48" s="513" t="s">
        <v>2584</v>
      </c>
      <c r="B48" s="514"/>
      <c r="C48" s="515"/>
      <c r="D48" s="516"/>
      <c r="E48" s="516"/>
      <c r="F48" s="516"/>
      <c r="G48" s="516"/>
      <c r="H48" s="516"/>
      <c r="I48" s="516"/>
      <c r="J48" s="516"/>
      <c r="K48" s="516"/>
      <c r="L48" s="516"/>
      <c r="M48" s="517"/>
      <c r="N48" s="516"/>
      <c r="O48" s="518"/>
      <c r="P48" s="502"/>
      <c r="Q48" s="502"/>
    </row>
    <row r="49" spans="1:17" s="115" customFormat="1" ht="14.4">
      <c r="A49" s="519" t="s">
        <v>2549</v>
      </c>
      <c r="B49" s="508"/>
      <c r="C49" s="520" t="s">
        <v>2651</v>
      </c>
      <c r="D49" s="521"/>
      <c r="E49" s="521"/>
      <c r="F49" s="521"/>
      <c r="G49" s="521"/>
      <c r="H49" s="521"/>
      <c r="I49" s="521"/>
      <c r="J49" s="521"/>
      <c r="K49" s="521"/>
      <c r="L49" s="522"/>
      <c r="M49" s="523"/>
      <c r="N49" s="1150"/>
      <c r="O49" s="1150"/>
      <c r="P49" s="524"/>
      <c r="Q49" s="502"/>
    </row>
    <row r="50" spans="1:17" s="115" customFormat="1" ht="14.4" thickBot="1">
      <c r="A50" s="519"/>
      <c r="B50" s="508"/>
      <c r="C50" s="637">
        <v>100</v>
      </c>
      <c r="D50" s="510"/>
      <c r="E50" s="510"/>
      <c r="F50" s="510"/>
      <c r="G50" s="510"/>
      <c r="H50" s="510"/>
      <c r="I50" s="510"/>
      <c r="J50" s="510"/>
      <c r="K50" s="510"/>
      <c r="L50" s="510"/>
      <c r="M50" s="512"/>
      <c r="N50" s="1150"/>
      <c r="O50" s="1150"/>
      <c r="P50" s="502"/>
      <c r="Q50" s="502"/>
    </row>
    <row r="51" spans="1:17" ht="14.4">
      <c r="A51" s="525" t="s">
        <v>2587</v>
      </c>
      <c r="B51" s="526" t="s">
        <v>2553</v>
      </c>
      <c r="C51" s="527">
        <f>C9</f>
        <v>0</v>
      </c>
      <c r="D51" s="528"/>
      <c r="E51" s="528"/>
      <c r="F51" s="528"/>
      <c r="G51" s="528"/>
      <c r="H51" s="528"/>
      <c r="I51" s="528"/>
      <c r="J51" s="528"/>
      <c r="K51" s="529"/>
      <c r="L51" s="530"/>
      <c r="M51" s="531"/>
      <c r="N51" s="1151"/>
      <c r="O51" s="1151"/>
      <c r="P51" s="44"/>
      <c r="Q51" s="502"/>
    </row>
    <row r="52" spans="1:17" ht="14.4" thickBot="1">
      <c r="A52" s="532"/>
      <c r="B52" s="533"/>
      <c r="C52" s="534">
        <v>100</v>
      </c>
      <c r="D52" s="534"/>
      <c r="E52" s="534"/>
      <c r="F52" s="534"/>
      <c r="G52" s="534"/>
      <c r="H52" s="534"/>
      <c r="I52" s="534"/>
      <c r="J52" s="534"/>
      <c r="K52" s="534"/>
      <c r="L52" s="534"/>
      <c r="M52" s="535"/>
      <c r="N52" s="1152"/>
      <c r="O52" s="1152"/>
      <c r="P52" s="44"/>
      <c r="Q52" s="502"/>
    </row>
    <row r="53" spans="1:17" ht="29.4" thickTop="1">
      <c r="A53" s="532"/>
      <c r="B53" s="536" t="s">
        <v>2556</v>
      </c>
      <c r="C53" s="537" t="s">
        <v>2588</v>
      </c>
      <c r="D53" s="537" t="s">
        <v>2589</v>
      </c>
      <c r="E53" s="537" t="s">
        <v>2590</v>
      </c>
      <c r="F53" s="537" t="s">
        <v>2591</v>
      </c>
      <c r="G53" s="537" t="s">
        <v>2592</v>
      </c>
      <c r="H53" s="537" t="s">
        <v>2593</v>
      </c>
      <c r="I53" s="537" t="s">
        <v>2594</v>
      </c>
      <c r="J53" s="537"/>
      <c r="K53" s="538"/>
      <c r="L53" s="539"/>
      <c r="M53" s="540"/>
      <c r="N53" s="1151"/>
      <c r="O53" s="1151"/>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2"/>
      <c r="O54" s="1152"/>
      <c r="P54" s="44"/>
      <c r="Q54" s="502"/>
    </row>
    <row r="55" spans="1:17" ht="14.4" thickTop="1">
      <c r="A55" s="532"/>
      <c r="B55" s="658">
        <f>B11</f>
        <v>111</v>
      </c>
      <c r="C55" s="547"/>
      <c r="D55" s="547"/>
      <c r="E55" s="547"/>
      <c r="F55" s="547"/>
      <c r="G55" s="547"/>
      <c r="H55" s="547"/>
      <c r="I55" s="547"/>
      <c r="J55" s="547"/>
      <c r="K55" s="548"/>
      <c r="L55" s="549"/>
      <c r="M55" s="550"/>
      <c r="N55" s="1151"/>
      <c r="O55" s="1151"/>
      <c r="P55" s="44"/>
      <c r="Q55" s="502"/>
    </row>
    <row r="56" spans="1:17" ht="14.4" thickBot="1">
      <c r="A56" s="532"/>
      <c r="B56" s="533"/>
      <c r="C56" s="558"/>
      <c r="D56" s="534"/>
      <c r="E56" s="534"/>
      <c r="F56" s="534"/>
      <c r="G56" s="534"/>
      <c r="H56" s="534"/>
      <c r="I56" s="534"/>
      <c r="J56" s="534"/>
      <c r="K56" s="534"/>
      <c r="L56" s="534"/>
      <c r="M56" s="535"/>
      <c r="N56" s="1152"/>
      <c r="O56" s="1152"/>
      <c r="P56" s="44"/>
      <c r="Q56" s="502"/>
    </row>
    <row r="57" spans="1:17" s="469" customFormat="1" ht="14.4" thickTop="1">
      <c r="A57" s="551"/>
      <c r="B57" s="536">
        <f>B12</f>
        <v>111</v>
      </c>
      <c r="C57" s="547"/>
      <c r="D57" s="547"/>
      <c r="E57" s="547"/>
      <c r="F57" s="547"/>
      <c r="G57" s="552"/>
      <c r="H57" s="553"/>
      <c r="I57" s="553"/>
      <c r="J57" s="553"/>
      <c r="K57" s="553"/>
      <c r="L57" s="554"/>
      <c r="M57" s="555"/>
      <c r="N57" s="1153"/>
      <c r="O57" s="1153"/>
      <c r="P57" s="556"/>
      <c r="Q57" s="557"/>
    </row>
    <row r="58" spans="1:17" s="469" customFormat="1" ht="14.4" thickBot="1">
      <c r="A58" s="551"/>
      <c r="B58" s="541"/>
      <c r="C58" s="558"/>
      <c r="D58" s="534"/>
      <c r="E58" s="534"/>
      <c r="F58" s="534"/>
      <c r="G58" s="534"/>
      <c r="H58" s="534"/>
      <c r="I58" s="534"/>
      <c r="J58" s="534"/>
      <c r="K58" s="534"/>
      <c r="L58" s="534"/>
      <c r="M58" s="535"/>
      <c r="N58" s="1152"/>
      <c r="O58" s="1152"/>
      <c r="P58" s="556"/>
      <c r="Q58" s="557"/>
    </row>
    <row r="59" spans="1:17" s="469" customFormat="1" ht="14.4" thickTop="1">
      <c r="A59" s="551"/>
      <c r="B59" s="536">
        <f>B13</f>
        <v>111</v>
      </c>
      <c r="C59" s="547"/>
      <c r="D59" s="547"/>
      <c r="E59" s="547"/>
      <c r="F59" s="547"/>
      <c r="G59" s="552"/>
      <c r="H59" s="553"/>
      <c r="I59" s="553"/>
      <c r="J59" s="553"/>
      <c r="K59" s="553"/>
      <c r="L59" s="554"/>
      <c r="M59" s="555"/>
      <c r="N59" s="1153"/>
      <c r="O59" s="1153"/>
      <c r="P59" s="468"/>
      <c r="Q59" s="559"/>
    </row>
    <row r="60" spans="1:17" s="469" customFormat="1" ht="14.4" thickBot="1">
      <c r="A60" s="551"/>
      <c r="B60" s="541"/>
      <c r="C60" s="558"/>
      <c r="D60" s="558"/>
      <c r="E60" s="558"/>
      <c r="F60" s="558"/>
      <c r="G60" s="558"/>
      <c r="H60" s="560"/>
      <c r="I60" s="560"/>
      <c r="J60" s="560"/>
      <c r="K60" s="560"/>
      <c r="L60" s="560"/>
      <c r="M60" s="561"/>
      <c r="N60" s="1153"/>
      <c r="O60" s="1153"/>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51"/>
      <c r="O61" s="1151"/>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2"/>
      <c r="O62" s="1152"/>
      <c r="P62" s="44"/>
      <c r="Q62" s="502"/>
    </row>
    <row r="63" spans="1:17" ht="29.4" thickTop="1">
      <c r="A63" s="532"/>
      <c r="B63" s="536" t="s">
        <v>2739</v>
      </c>
      <c r="C63" s="576" t="s">
        <v>2596</v>
      </c>
      <c r="D63" s="576" t="s">
        <v>2597</v>
      </c>
      <c r="E63" s="576" t="s">
        <v>2598</v>
      </c>
      <c r="F63" s="576" t="s">
        <v>2599</v>
      </c>
      <c r="G63" s="576" t="s">
        <v>2600</v>
      </c>
      <c r="H63" s="537"/>
      <c r="I63" s="537"/>
      <c r="J63" s="537"/>
      <c r="K63" s="538"/>
      <c r="L63" s="539"/>
      <c r="M63" s="540"/>
      <c r="N63" s="1151"/>
      <c r="O63" s="1151"/>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2"/>
      <c r="O64" s="1152"/>
      <c r="P64" s="44"/>
      <c r="Q64" s="502"/>
    </row>
    <row r="65" spans="1:17" ht="15" thickTop="1">
      <c r="A65" s="532"/>
      <c r="B65" s="544" t="s">
        <v>2688</v>
      </c>
      <c r="C65" s="658" t="s">
        <v>2674</v>
      </c>
      <c r="D65" s="658" t="s">
        <v>2675</v>
      </c>
      <c r="E65" s="658" t="s">
        <v>2676</v>
      </c>
      <c r="F65" s="658" t="s">
        <v>2677</v>
      </c>
      <c r="G65" s="658" t="s">
        <v>2678</v>
      </c>
      <c r="H65" s="537"/>
      <c r="I65" s="537"/>
      <c r="J65" s="537"/>
      <c r="K65" s="537"/>
      <c r="L65" s="537"/>
      <c r="M65" s="1381"/>
      <c r="N65" s="1152"/>
      <c r="O65" s="1152"/>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2"/>
      <c r="O66" s="1152"/>
      <c r="P66" s="44"/>
      <c r="Q66" s="502"/>
    </row>
    <row r="67" spans="1:17" ht="15" thickTop="1">
      <c r="A67" s="532"/>
      <c r="B67" s="536" t="s">
        <v>2608</v>
      </c>
      <c r="C67" s="576" t="s">
        <v>2596</v>
      </c>
      <c r="D67" s="576" t="s">
        <v>2597</v>
      </c>
      <c r="E67" s="576" t="s">
        <v>2598</v>
      </c>
      <c r="F67" s="576" t="s">
        <v>2599</v>
      </c>
      <c r="G67" s="576" t="s">
        <v>2600</v>
      </c>
      <c r="H67" s="537"/>
      <c r="I67" s="537"/>
      <c r="J67" s="537"/>
      <c r="K67" s="538"/>
      <c r="L67" s="539"/>
      <c r="M67" s="540"/>
      <c r="N67" s="1151"/>
      <c r="O67" s="1151"/>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2"/>
      <c r="O68" s="1152"/>
      <c r="P68" s="44"/>
      <c r="Q68" s="502"/>
    </row>
    <row r="69" spans="1:17" ht="15" thickTop="1">
      <c r="A69" s="532"/>
      <c r="B69" s="536" t="s">
        <v>2728</v>
      </c>
      <c r="C69" s="552"/>
      <c r="D69" s="552"/>
      <c r="E69" s="552"/>
      <c r="F69" s="552"/>
      <c r="G69" s="552"/>
      <c r="H69" s="581"/>
      <c r="I69" s="581"/>
      <c r="J69" s="581"/>
      <c r="K69" s="582"/>
      <c r="L69" s="583"/>
      <c r="M69" s="584"/>
      <c r="N69" s="1151"/>
      <c r="O69" s="1151"/>
      <c r="P69" s="44"/>
      <c r="Q69" s="502"/>
    </row>
    <row r="70" spans="1:17" ht="14.4" thickBot="1">
      <c r="A70" s="532"/>
      <c r="B70" s="541"/>
      <c r="C70" s="542">
        <v>100</v>
      </c>
      <c r="D70" s="542">
        <f>C70-$K22</f>
        <v>100</v>
      </c>
      <c r="E70" s="542"/>
      <c r="F70" s="542"/>
      <c r="G70" s="542"/>
      <c r="H70" s="542"/>
      <c r="I70" s="542"/>
      <c r="J70" s="542"/>
      <c r="K70" s="542"/>
      <c r="L70" s="542"/>
      <c r="M70" s="543"/>
      <c r="N70" s="1152"/>
      <c r="O70" s="1152"/>
      <c r="P70" s="44"/>
      <c r="Q70" s="502"/>
    </row>
    <row r="71" spans="1:17" s="115" customFormat="1" ht="14.4" thickTop="1">
      <c r="A71" s="577"/>
      <c r="B71" s="536">
        <f>B23</f>
        <v>111</v>
      </c>
      <c r="C71" s="547"/>
      <c r="D71" s="547"/>
      <c r="E71" s="547"/>
      <c r="F71" s="547"/>
      <c r="G71" s="552"/>
      <c r="H71" s="552"/>
      <c r="I71" s="552"/>
      <c r="J71" s="552"/>
      <c r="K71" s="552"/>
      <c r="L71" s="578"/>
      <c r="M71" s="579"/>
      <c r="N71" s="1150"/>
      <c r="O71" s="1150"/>
      <c r="P71" s="44"/>
      <c r="Q71" s="502"/>
    </row>
    <row r="72" spans="1:17" s="115" customFormat="1" ht="14.4" thickBot="1">
      <c r="A72" s="577"/>
      <c r="B72" s="541"/>
      <c r="C72" s="558"/>
      <c r="D72" s="534"/>
      <c r="E72" s="534"/>
      <c r="F72" s="534"/>
      <c r="G72" s="534"/>
      <c r="H72" s="534"/>
      <c r="I72" s="534"/>
      <c r="J72" s="534"/>
      <c r="K72" s="534"/>
      <c r="L72" s="534"/>
      <c r="M72" s="535"/>
      <c r="N72" s="1152"/>
      <c r="O72" s="1152"/>
      <c r="P72" s="44"/>
      <c r="Q72" s="502"/>
    </row>
    <row r="73" spans="1:17" s="115" customFormat="1" ht="14.4" thickTop="1">
      <c r="A73" s="577"/>
      <c r="B73" s="536">
        <f>B24</f>
        <v>111</v>
      </c>
      <c r="C73" s="547"/>
      <c r="D73" s="547"/>
      <c r="E73" s="547"/>
      <c r="F73" s="547"/>
      <c r="G73" s="552"/>
      <c r="H73" s="552"/>
      <c r="I73" s="552"/>
      <c r="J73" s="552"/>
      <c r="K73" s="552"/>
      <c r="L73" s="552"/>
      <c r="M73" s="579"/>
      <c r="N73" s="1150"/>
      <c r="O73" s="1150"/>
      <c r="P73" s="44"/>
      <c r="Q73" s="502"/>
    </row>
    <row r="74" spans="1:17" s="115" customFormat="1" ht="14.4" thickBot="1">
      <c r="A74" s="577"/>
      <c r="B74" s="541"/>
      <c r="C74" s="558"/>
      <c r="D74" s="534"/>
      <c r="E74" s="534"/>
      <c r="F74" s="534"/>
      <c r="G74" s="534"/>
      <c r="H74" s="534"/>
      <c r="I74" s="534"/>
      <c r="J74" s="534"/>
      <c r="K74" s="534"/>
      <c r="L74" s="534"/>
      <c r="M74" s="535"/>
      <c r="N74" s="1152"/>
      <c r="O74" s="1152"/>
      <c r="P74" s="44"/>
      <c r="Q74" s="502"/>
    </row>
    <row r="75" spans="1:17" s="469" customFormat="1" ht="14.4" thickTop="1">
      <c r="A75" s="551"/>
      <c r="B75" s="536">
        <f>B25</f>
        <v>111</v>
      </c>
      <c r="C75" s="547"/>
      <c r="D75" s="547"/>
      <c r="E75" s="547"/>
      <c r="F75" s="547"/>
      <c r="G75" s="552"/>
      <c r="H75" s="553"/>
      <c r="I75" s="553"/>
      <c r="J75" s="553"/>
      <c r="K75" s="553"/>
      <c r="L75" s="554"/>
      <c r="M75" s="555"/>
      <c r="N75" s="1153"/>
      <c r="O75" s="1153"/>
      <c r="P75" s="556"/>
      <c r="Q75" s="557"/>
    </row>
    <row r="76" spans="1:17" s="469" customFormat="1" ht="14.4" thickBot="1">
      <c r="A76" s="551"/>
      <c r="B76" s="541"/>
      <c r="C76" s="558"/>
      <c r="D76" s="558"/>
      <c r="E76" s="558"/>
      <c r="F76" s="558"/>
      <c r="G76" s="534"/>
      <c r="H76" s="534"/>
      <c r="I76" s="534"/>
      <c r="J76" s="534"/>
      <c r="K76" s="534"/>
      <c r="L76" s="534"/>
      <c r="M76" s="535"/>
      <c r="N76" s="1153"/>
      <c r="O76" s="1153"/>
      <c r="P76" s="556"/>
      <c r="Q76" s="557"/>
    </row>
    <row r="77" spans="1:17" ht="15" thickTop="1">
      <c r="A77" s="525" t="s">
        <v>2562</v>
      </c>
      <c r="B77" s="526" t="s">
        <v>2615</v>
      </c>
      <c r="C77" s="552"/>
      <c r="D77" s="552"/>
      <c r="E77" s="528"/>
      <c r="F77" s="528"/>
      <c r="G77" s="528"/>
      <c r="H77" s="528"/>
      <c r="I77" s="528"/>
      <c r="J77" s="528"/>
      <c r="K77" s="529"/>
      <c r="L77" s="530"/>
      <c r="M77" s="531"/>
      <c r="N77" s="1151"/>
      <c r="O77" s="1151"/>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2"/>
      <c r="O78" s="1152"/>
      <c r="P78" s="44"/>
      <c r="Q78" s="502"/>
    </row>
    <row r="79" spans="1:17" ht="15" thickTop="1">
      <c r="A79" s="532"/>
      <c r="B79" s="536" t="s">
        <v>2731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0"/>
      <c r="O79" s="1150"/>
      <c r="P79" s="44"/>
      <c r="Q79" s="502"/>
    </row>
    <row r="80" spans="1:17">
      <c r="A80" s="532"/>
      <c r="B80" s="544"/>
      <c r="C80" s="601">
        <v>0.5</v>
      </c>
      <c r="D80" s="601">
        <v>0.6</v>
      </c>
      <c r="E80" s="601">
        <v>0.7</v>
      </c>
      <c r="F80" s="601">
        <v>0.8</v>
      </c>
      <c r="G80" s="601">
        <v>0.9</v>
      </c>
      <c r="H80" s="601">
        <v>1.0001</v>
      </c>
      <c r="I80" s="658"/>
      <c r="J80" s="658"/>
      <c r="K80" s="666"/>
      <c r="L80" s="667"/>
      <c r="M80" s="668"/>
      <c r="N80" s="1150"/>
      <c r="O80" s="1150"/>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2"/>
      <c r="O81" s="1152"/>
      <c r="P81" s="556"/>
      <c r="Q81" s="557"/>
    </row>
    <row r="82" spans="1:17" ht="15" thickTop="1">
      <c r="A82" s="597"/>
      <c r="B82" s="544" t="s">
        <v>2732</v>
      </c>
      <c r="C82" s="552"/>
      <c r="D82" s="552"/>
      <c r="E82" s="581"/>
      <c r="F82" s="581"/>
      <c r="G82" s="581"/>
      <c r="H82" s="581"/>
      <c r="I82" s="581"/>
      <c r="J82" s="581"/>
      <c r="K82" s="582"/>
      <c r="L82" s="583"/>
      <c r="M82" s="584"/>
      <c r="N82" s="1151"/>
      <c r="O82" s="1151"/>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2"/>
      <c r="O83" s="1152"/>
      <c r="P83" s="44"/>
      <c r="Q83" s="502"/>
    </row>
    <row r="84" spans="1:17" ht="15" thickTop="1">
      <c r="A84" s="597"/>
      <c r="B84" s="536" t="s">
        <v>2740</v>
      </c>
      <c r="C84" s="552"/>
      <c r="D84" s="552"/>
      <c r="E84" s="552"/>
      <c r="F84" s="552"/>
      <c r="G84" s="552"/>
      <c r="H84" s="552"/>
      <c r="I84" s="581"/>
      <c r="J84" s="581"/>
      <c r="K84" s="582"/>
      <c r="L84" s="583"/>
      <c r="M84" s="584"/>
      <c r="N84" s="1151"/>
      <c r="O84" s="1151"/>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2"/>
      <c r="O85" s="1152"/>
      <c r="P85" s="44"/>
      <c r="Q85" s="502"/>
    </row>
    <row r="86" spans="1:17" ht="15" thickTop="1">
      <c r="A86" s="597"/>
      <c r="B86" s="544" t="s">
        <v>2741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1"/>
      <c r="O86" s="1151"/>
      <c r="P86" s="44"/>
      <c r="Q86" s="502"/>
    </row>
    <row r="87" spans="1:17">
      <c r="A87" s="597"/>
      <c r="B87" s="544"/>
      <c r="C87" s="593"/>
      <c r="D87" s="593"/>
      <c r="E87" s="593"/>
      <c r="F87" s="593"/>
      <c r="G87" s="593"/>
      <c r="H87" s="593"/>
      <c r="I87" s="593"/>
      <c r="J87" s="594"/>
      <c r="K87" s="594"/>
      <c r="L87" s="595"/>
      <c r="M87" s="596"/>
      <c r="N87" s="1151"/>
      <c r="O87" s="1151"/>
      <c r="P87" s="44"/>
      <c r="Q87" s="502"/>
    </row>
    <row r="88" spans="1:17" ht="14.4" thickBot="1">
      <c r="A88" s="532"/>
      <c r="B88" s="541"/>
      <c r="C88" s="558"/>
      <c r="D88" s="534"/>
      <c r="E88" s="534"/>
      <c r="F88" s="534"/>
      <c r="G88" s="534"/>
      <c r="H88" s="534"/>
      <c r="I88" s="534"/>
      <c r="J88" s="534"/>
      <c r="K88" s="534"/>
      <c r="L88" s="534"/>
      <c r="M88" s="534"/>
      <c r="N88" s="1152"/>
      <c r="O88" s="1152"/>
      <c r="P88" s="44"/>
      <c r="Q88" s="502"/>
    </row>
    <row r="89" spans="1:17" s="469" customFormat="1" ht="15" thickTop="1">
      <c r="A89" s="591"/>
      <c r="B89" s="536" t="s">
        <v>2742</v>
      </c>
      <c r="C89" s="552"/>
      <c r="D89" s="552"/>
      <c r="E89" s="552"/>
      <c r="F89" s="552"/>
      <c r="G89" s="552"/>
      <c r="H89" s="552"/>
      <c r="I89" s="552"/>
      <c r="J89" s="552"/>
      <c r="K89" s="552"/>
      <c r="L89" s="552"/>
      <c r="M89" s="579"/>
      <c r="N89" s="1153"/>
      <c r="O89" s="1153"/>
      <c r="P89" s="556"/>
      <c r="Q89" s="557"/>
    </row>
    <row r="90" spans="1:17" s="469" customFormat="1" ht="14.4" thickBot="1">
      <c r="A90" s="551"/>
      <c r="B90" s="541"/>
      <c r="C90" s="558"/>
      <c r="D90" s="534"/>
      <c r="E90" s="534"/>
      <c r="F90" s="534"/>
      <c r="G90" s="534"/>
      <c r="H90" s="534"/>
      <c r="I90" s="534"/>
      <c r="J90" s="534"/>
      <c r="K90" s="534"/>
      <c r="L90" s="534"/>
      <c r="M90" s="535"/>
      <c r="N90" s="1153"/>
      <c r="O90" s="1153"/>
      <c r="P90" s="556"/>
      <c r="Q90" s="557"/>
    </row>
    <row r="91" spans="1:17" ht="14.4" thickTop="1">
      <c r="A91" s="597"/>
      <c r="B91" s="536">
        <f>B32</f>
        <v>111</v>
      </c>
      <c r="C91" s="547"/>
      <c r="D91" s="547"/>
      <c r="E91" s="547"/>
      <c r="F91" s="547"/>
      <c r="G91" s="552"/>
      <c r="H91" s="553"/>
      <c r="I91" s="553"/>
      <c r="J91" s="553"/>
      <c r="K91" s="553"/>
      <c r="L91" s="554"/>
      <c r="M91" s="555"/>
      <c r="N91" s="1151"/>
      <c r="O91" s="1151"/>
      <c r="P91" s="44"/>
      <c r="Q91" s="502"/>
    </row>
    <row r="92" spans="1:17" ht="14.4" thickBot="1">
      <c r="A92" s="532"/>
      <c r="B92" s="541"/>
      <c r="C92" s="558"/>
      <c r="D92" s="534"/>
      <c r="E92" s="534"/>
      <c r="F92" s="534"/>
      <c r="G92" s="558"/>
      <c r="H92" s="560"/>
      <c r="I92" s="560"/>
      <c r="J92" s="560"/>
      <c r="K92" s="560"/>
      <c r="L92" s="560"/>
      <c r="M92" s="561"/>
      <c r="N92" s="1152"/>
      <c r="O92" s="1152"/>
      <c r="P92" s="44"/>
      <c r="Q92" s="502"/>
    </row>
    <row r="93" spans="1:17" ht="14.4" thickTop="1">
      <c r="A93" s="597"/>
      <c r="B93" s="536">
        <f>B33</f>
        <v>111</v>
      </c>
      <c r="C93" s="547"/>
      <c r="D93" s="547"/>
      <c r="E93" s="547"/>
      <c r="F93" s="547"/>
      <c r="G93" s="552"/>
      <c r="H93" s="553"/>
      <c r="I93" s="553"/>
      <c r="J93" s="553"/>
      <c r="K93" s="553"/>
      <c r="L93" s="554"/>
      <c r="M93" s="555"/>
      <c r="N93" s="1151"/>
      <c r="O93" s="1151"/>
      <c r="P93" s="44"/>
      <c r="Q93" s="502"/>
    </row>
    <row r="94" spans="1:17" ht="14.4" thickBot="1">
      <c r="A94" s="532"/>
      <c r="B94" s="541"/>
      <c r="C94" s="558"/>
      <c r="D94" s="534"/>
      <c r="E94" s="534"/>
      <c r="F94" s="534"/>
      <c r="G94" s="558"/>
      <c r="H94" s="560"/>
      <c r="I94" s="560"/>
      <c r="J94" s="560"/>
      <c r="K94" s="560"/>
      <c r="L94" s="560"/>
      <c r="M94" s="561"/>
      <c r="N94" s="1152"/>
      <c r="O94" s="1152"/>
      <c r="P94" s="44"/>
      <c r="Q94" s="502"/>
    </row>
    <row r="95" spans="1:17" ht="14.4" thickTop="1">
      <c r="A95" s="597"/>
      <c r="B95" s="634">
        <f>B34</f>
        <v>111</v>
      </c>
      <c r="C95" s="547"/>
      <c r="D95" s="547"/>
      <c r="E95" s="547"/>
      <c r="F95" s="547"/>
      <c r="G95" s="552"/>
      <c r="H95" s="553"/>
      <c r="I95" s="553"/>
      <c r="J95" s="553"/>
      <c r="K95" s="553"/>
      <c r="L95" s="554"/>
      <c r="M95" s="555"/>
      <c r="N95" s="1152"/>
      <c r="O95" s="1152"/>
      <c r="P95" s="635"/>
      <c r="Q95" s="636"/>
    </row>
    <row r="96" spans="1:17" ht="14.4" thickBot="1">
      <c r="A96" s="532"/>
      <c r="B96" s="541"/>
      <c r="C96" s="558"/>
      <c r="D96" s="558"/>
      <c r="E96" s="558"/>
      <c r="F96" s="558"/>
      <c r="G96" s="558"/>
      <c r="H96" s="560"/>
      <c r="I96" s="560"/>
      <c r="J96" s="560"/>
      <c r="K96" s="560"/>
      <c r="L96" s="560"/>
      <c r="M96" s="561"/>
      <c r="N96" s="1152"/>
      <c r="O96" s="1152"/>
      <c r="P96" s="44"/>
      <c r="Q96" s="502"/>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2743</v>
      </c>
      <c r="B1" s="393"/>
      <c r="C1" s="394"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2329</v>
      </c>
      <c r="B2" s="669"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5"/>
    </row>
    <row r="3" spans="1:30" s="396" customFormat="1" ht="28.5" customHeight="1" thickBot="1">
      <c r="A3" s="245" t="s">
        <v>2331</v>
      </c>
      <c r="B3" s="607" t="e">
        <f>ROUND(IF(D3="",B2*10000/'数据-汇总表'!E3,B2*10000/D3),0)</f>
        <v>#DIV/0!</v>
      </c>
      <c r="C3" s="245" t="s">
        <v>2745</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4.4">
      <c r="A4" s="399" t="s">
        <v>2644</v>
      </c>
      <c r="B4" s="400"/>
      <c r="C4" s="3553" t="s">
        <v>2645</v>
      </c>
      <c r="D4" s="3554"/>
      <c r="E4" s="3555" t="s">
        <v>2646</v>
      </c>
      <c r="F4" s="3556"/>
      <c r="G4" s="3553" t="s">
        <v>2647</v>
      </c>
      <c r="H4" s="3554"/>
      <c r="I4" s="3553" t="s">
        <v>2648</v>
      </c>
      <c r="J4" s="3554"/>
      <c r="K4" s="608" t="s">
        <v>2649</v>
      </c>
      <c r="L4" s="1129"/>
      <c r="M4" s="1130"/>
      <c r="N4" s="1130"/>
      <c r="O4" s="1130"/>
      <c r="P4" s="3557" t="s">
        <v>2650</v>
      </c>
      <c r="Q4" s="3558"/>
      <c r="R4" s="3563" t="s">
        <v>2646</v>
      </c>
      <c r="S4" s="3564"/>
      <c r="T4" s="3563" t="s">
        <v>2647</v>
      </c>
      <c r="U4" s="3564"/>
      <c r="V4" s="3569" t="s">
        <v>2648</v>
      </c>
      <c r="W4" s="3569"/>
      <c r="X4" s="1812"/>
      <c r="Y4" s="3563" t="s">
        <v>2650</v>
      </c>
      <c r="Z4" s="3564"/>
      <c r="AA4" s="3550" t="s">
        <v>2646</v>
      </c>
      <c r="AB4" s="3551" t="s">
        <v>2647</v>
      </c>
      <c r="AC4" s="3550" t="s">
        <v>2648</v>
      </c>
    </row>
    <row r="5" spans="1:30">
      <c r="A5" s="402"/>
      <c r="B5" s="403"/>
      <c r="C5" s="3572" t="s">
        <v>2541</v>
      </c>
      <c r="D5" s="3573"/>
      <c r="E5" s="3579" t="s">
        <v>2542</v>
      </c>
      <c r="F5" s="3580"/>
      <c r="G5" s="3572" t="s">
        <v>2543</v>
      </c>
      <c r="H5" s="3573"/>
      <c r="I5" s="3572" t="s">
        <v>2544</v>
      </c>
      <c r="J5" s="3573"/>
      <c r="K5" s="608"/>
      <c r="L5" s="1129"/>
      <c r="M5" s="1130"/>
      <c r="N5" s="1130"/>
      <c r="O5" s="1130"/>
      <c r="P5" s="3559"/>
      <c r="Q5" s="3560"/>
      <c r="R5" s="3565"/>
      <c r="S5" s="3566"/>
      <c r="T5" s="3565"/>
      <c r="U5" s="3566"/>
      <c r="V5" s="3569"/>
      <c r="W5" s="3569"/>
      <c r="X5" s="1812"/>
      <c r="Y5" s="3565"/>
      <c r="Z5" s="3566"/>
      <c r="AA5" s="3551"/>
      <c r="AB5" s="3551"/>
      <c r="AC5" s="3551"/>
    </row>
    <row r="6" spans="1:30" ht="15" thickBot="1">
      <c r="A6" s="404"/>
      <c r="B6" s="405"/>
      <c r="C6" s="3570" t="s">
        <v>2545</v>
      </c>
      <c r="D6" s="3571"/>
      <c r="E6" s="3577" t="s">
        <v>2545</v>
      </c>
      <c r="F6" s="3578"/>
      <c r="G6" s="3570" t="s">
        <v>2545</v>
      </c>
      <c r="H6" s="3571"/>
      <c r="I6" s="3570" t="s">
        <v>2545</v>
      </c>
      <c r="J6" s="3571"/>
      <c r="K6" s="608" t="s">
        <v>2546</v>
      </c>
      <c r="L6" s="1129"/>
      <c r="M6" s="1130"/>
      <c r="N6" s="1130"/>
      <c r="O6" s="1130"/>
      <c r="P6" s="3561"/>
      <c r="Q6" s="3562"/>
      <c r="R6" s="3565"/>
      <c r="S6" s="3566"/>
      <c r="T6" s="3567"/>
      <c r="U6" s="3568"/>
      <c r="V6" s="3569"/>
      <c r="W6" s="3569"/>
      <c r="X6" s="1812"/>
      <c r="Y6" s="3567"/>
      <c r="Z6" s="3568"/>
      <c r="AA6" s="3552"/>
      <c r="AB6" s="3552"/>
      <c r="AC6" s="3552"/>
    </row>
    <row r="7" spans="1:30" s="115" customFormat="1" ht="15" thickBot="1">
      <c r="A7" s="406" t="s">
        <v>2547</v>
      </c>
      <c r="B7" s="407"/>
      <c r="C7" s="408">
        <f>'数据-取费表'!B2</f>
        <v>43424</v>
      </c>
      <c r="D7" s="409">
        <v>100</v>
      </c>
      <c r="E7" s="410">
        <v>42309</v>
      </c>
      <c r="F7" s="411">
        <f>SUMIF(70:70,YEAR(E7)&amp;"-"&amp;INT((MONTH(E7)+2)/3),71:71)</f>
        <v>0</v>
      </c>
      <c r="G7" s="2694">
        <v>42309</v>
      </c>
      <c r="H7" s="409">
        <f>SUMIF(70:70,YEAR(G7)&amp;"-"&amp;INT((MONTH(G7)+2)/3),71:71)</f>
        <v>0</v>
      </c>
      <c r="I7" s="2694">
        <v>42036</v>
      </c>
      <c r="J7" s="409">
        <f>SUMIF(70:70,YEAR(I7)&amp;"-"&amp;INT((MONTH(I7)+2)/3),71:71)</f>
        <v>0</v>
      </c>
      <c r="K7" s="609"/>
      <c r="L7" s="1131"/>
      <c r="M7" s="1132"/>
      <c r="N7" s="1132"/>
      <c r="O7" s="1132"/>
      <c r="P7" s="3574" t="s">
        <v>2548</v>
      </c>
      <c r="Q7" s="3576"/>
      <c r="R7" s="767" t="s">
        <v>17</v>
      </c>
      <c r="S7" s="768">
        <f t="shared" ref="S7:S15" si="0">F7</f>
        <v>0</v>
      </c>
      <c r="T7" s="767" t="s">
        <v>17</v>
      </c>
      <c r="U7" s="768">
        <f t="shared" ref="U7:U15" si="1">H7</f>
        <v>0</v>
      </c>
      <c r="V7" s="767" t="s">
        <v>17</v>
      </c>
      <c r="W7" s="768">
        <f t="shared" ref="W7:W15" si="2">J7</f>
        <v>0</v>
      </c>
      <c r="X7" s="769"/>
      <c r="Y7" s="3574" t="s">
        <v>2548</v>
      </c>
      <c r="Z7" s="3575"/>
      <c r="AA7" s="770" t="e">
        <f>D7/F7</f>
        <v>#DIV/0!</v>
      </c>
      <c r="AB7" s="770" t="e">
        <f>D7/H7</f>
        <v>#DIV/0!</v>
      </c>
      <c r="AC7" s="770" t="e">
        <f>D7/J7</f>
        <v>#DIV/0!</v>
      </c>
    </row>
    <row r="8" spans="1:30" s="115" customFormat="1" ht="15" thickBot="1">
      <c r="A8" s="406" t="s">
        <v>2549</v>
      </c>
      <c r="B8" s="407"/>
      <c r="C8" s="412" t="s">
        <v>2550</v>
      </c>
      <c r="D8" s="409">
        <v>100</v>
      </c>
      <c r="E8" s="412"/>
      <c r="F8" s="411">
        <f>SUMIF(73:73,E8,74:74)-SUMIF(73:73,C8,74:74)+100</f>
        <v>0</v>
      </c>
      <c r="G8" s="412"/>
      <c r="H8" s="409">
        <f>SUMIF(73:73,G8,74:74)-SUMIF(73:73,C8,74:74)+100</f>
        <v>0</v>
      </c>
      <c r="I8" s="412"/>
      <c r="J8" s="409">
        <f>SUMIF(73:73,I8,74:74)-SUMIF(73:73,C8,74:74)+100</f>
        <v>0</v>
      </c>
      <c r="K8" s="609"/>
      <c r="L8" s="1131"/>
      <c r="M8" s="1132"/>
      <c r="N8" s="1132"/>
      <c r="O8" s="1132"/>
      <c r="P8" s="3574" t="s">
        <v>2551</v>
      </c>
      <c r="Q8" s="3575"/>
      <c r="R8" s="767" t="s">
        <v>17</v>
      </c>
      <c r="S8" s="768">
        <f t="shared" si="0"/>
        <v>0</v>
      </c>
      <c r="T8" s="767" t="s">
        <v>17</v>
      </c>
      <c r="U8" s="768">
        <f t="shared" si="1"/>
        <v>0</v>
      </c>
      <c r="V8" s="767" t="s">
        <v>17</v>
      </c>
      <c r="W8" s="768">
        <f t="shared" si="2"/>
        <v>0</v>
      </c>
      <c r="X8" s="769"/>
      <c r="Y8" s="3574" t="s">
        <v>2551</v>
      </c>
      <c r="Z8" s="3575"/>
      <c r="AA8" s="770" t="e">
        <f t="shared" ref="AA8:AA45" si="3">D8/F8</f>
        <v>#DIV/0!</v>
      </c>
      <c r="AB8" s="770" t="e">
        <f t="shared" ref="AB8:AB45" si="4">D8/H8</f>
        <v>#DIV/0!</v>
      </c>
      <c r="AC8" s="770" t="e">
        <f t="shared" ref="AC8:AC45" si="5">D8/J8</f>
        <v>#DIV/0!</v>
      </c>
    </row>
    <row r="9" spans="1:30" s="115" customFormat="1" ht="14.4">
      <c r="A9" s="413" t="s">
        <v>2552</v>
      </c>
      <c r="B9" s="70" t="s">
        <v>2553</v>
      </c>
      <c r="C9" s="2697"/>
      <c r="D9" s="133">
        <v>100</v>
      </c>
      <c r="E9" s="2697"/>
      <c r="F9" s="133">
        <f>SUMIF(75:75,E9,76:76)-SUMIF(75:75,C9,76:76)+100</f>
        <v>100</v>
      </c>
      <c r="G9" s="2697"/>
      <c r="H9" s="133">
        <f>SUMIF(75:75,G9,76:76)-SUMIF(75:75,C9,76:76)+100</f>
        <v>100</v>
      </c>
      <c r="I9" s="2697"/>
      <c r="J9" s="133">
        <f>SUMIF(75:75,I9,76:76)-SUMIF(75:75,C9,76:76)+100</f>
        <v>100</v>
      </c>
      <c r="K9" s="609"/>
      <c r="L9" s="1131"/>
      <c r="M9" s="1132"/>
      <c r="N9" s="1132"/>
      <c r="O9" s="1133"/>
      <c r="P9" s="3540" t="s">
        <v>2554</v>
      </c>
      <c r="Q9" s="1794" t="str">
        <f t="shared" ref="Q9:Q15" si="6">B9</f>
        <v>用途</v>
      </c>
      <c r="R9" s="767" t="s">
        <v>17</v>
      </c>
      <c r="S9" s="768">
        <f t="shared" si="0"/>
        <v>100</v>
      </c>
      <c r="T9" s="767" t="s">
        <v>17</v>
      </c>
      <c r="U9" s="768">
        <f t="shared" si="1"/>
        <v>100</v>
      </c>
      <c r="V9" s="767" t="s">
        <v>17</v>
      </c>
      <c r="W9" s="768">
        <f t="shared" si="2"/>
        <v>100</v>
      </c>
      <c r="X9" s="769"/>
      <c r="Y9" s="3390" t="s">
        <v>2555</v>
      </c>
      <c r="Z9" s="54" t="str">
        <f t="shared" ref="Z9:Z15" si="7">Q9</f>
        <v>用途</v>
      </c>
      <c r="AA9" s="770">
        <f t="shared" si="3"/>
        <v>1</v>
      </c>
      <c r="AB9" s="770">
        <f t="shared" si="4"/>
        <v>1</v>
      </c>
      <c r="AC9" s="770">
        <f t="shared" si="5"/>
        <v>1</v>
      </c>
    </row>
    <row r="10" spans="1:30" s="425" customFormat="1" ht="28.8">
      <c r="A10" s="419"/>
      <c r="B10" s="420" t="s">
        <v>2556</v>
      </c>
      <c r="C10" s="430"/>
      <c r="D10" s="134">
        <v>100</v>
      </c>
      <c r="E10" s="463"/>
      <c r="F10" s="134">
        <f>ROUND(100/'数据-取费表'!G16,0)</f>
        <v>103</v>
      </c>
      <c r="G10" s="461"/>
      <c r="H10" s="134">
        <f>ROUND(100/'数据-取费表'!G16,0)</f>
        <v>103</v>
      </c>
      <c r="I10" s="461"/>
      <c r="J10" s="134">
        <f>ROUND(100/'数据-取费表'!G16,0)</f>
        <v>103</v>
      </c>
      <c r="K10" s="670"/>
      <c r="L10" s="1134"/>
      <c r="M10" s="1135"/>
      <c r="N10" s="1135"/>
      <c r="O10" s="1136"/>
      <c r="P10" s="3540"/>
      <c r="Q10" s="1794" t="str">
        <f t="shared" si="6"/>
        <v>土地使用年限（年）</v>
      </c>
      <c r="R10" s="767" t="s">
        <v>17</v>
      </c>
      <c r="S10" s="768">
        <f t="shared" si="0"/>
        <v>103</v>
      </c>
      <c r="T10" s="767" t="s">
        <v>17</v>
      </c>
      <c r="U10" s="768">
        <f t="shared" si="1"/>
        <v>103</v>
      </c>
      <c r="V10" s="767" t="s">
        <v>17</v>
      </c>
      <c r="W10" s="768">
        <f t="shared" si="2"/>
        <v>103</v>
      </c>
      <c r="X10" s="769"/>
      <c r="Y10" s="3390"/>
      <c r="Z10" s="54" t="str">
        <f t="shared" si="7"/>
        <v>土地使用年限（年）</v>
      </c>
      <c r="AA10" s="770">
        <f t="shared" si="3"/>
        <v>0.970873786407767</v>
      </c>
      <c r="AB10" s="770">
        <f t="shared" si="4"/>
        <v>0.970873786407767</v>
      </c>
      <c r="AC10" s="770">
        <f t="shared" si="5"/>
        <v>0.970873786407767</v>
      </c>
    </row>
    <row r="11" spans="1:30" ht="15">
      <c r="A11" s="426"/>
      <c r="B11" s="420" t="s">
        <v>2557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7"/>
      <c r="M11" s="1130"/>
      <c r="N11" s="1130"/>
      <c r="O11" s="1138"/>
      <c r="P11" s="3540"/>
      <c r="Q11" s="1794" t="str">
        <f t="shared" si="6"/>
        <v>容积率</v>
      </c>
      <c r="R11" s="767" t="s">
        <v>17</v>
      </c>
      <c r="S11" s="768" t="e">
        <f t="shared" si="0"/>
        <v>#N/A</v>
      </c>
      <c r="T11" s="767" t="s">
        <v>17</v>
      </c>
      <c r="U11" s="768" t="e">
        <f t="shared" si="1"/>
        <v>#N/A</v>
      </c>
      <c r="V11" s="767" t="s">
        <v>17</v>
      </c>
      <c r="W11" s="768" t="e">
        <f t="shared" si="2"/>
        <v>#N/A</v>
      </c>
      <c r="X11" s="769"/>
      <c r="Y11" s="3390"/>
      <c r="Z11" s="54" t="str">
        <f t="shared" si="7"/>
        <v>容积率</v>
      </c>
      <c r="AA11" s="770" t="e">
        <f t="shared" si="3"/>
        <v>#N/A</v>
      </c>
      <c r="AB11" s="770" t="e">
        <f t="shared" si="4"/>
        <v>#N/A</v>
      </c>
      <c r="AC11" s="770" t="e">
        <f t="shared" si="5"/>
        <v>#N/A</v>
      </c>
    </row>
    <row r="12" spans="1:30" s="115" customFormat="1" ht="15">
      <c r="A12" s="429"/>
      <c r="B12" s="2598" t="s">
        <v>2746</v>
      </c>
      <c r="C12" s="430"/>
      <c r="D12" s="431">
        <v>100</v>
      </c>
      <c r="E12" s="463"/>
      <c r="F12" s="134">
        <f>SUMIF(82:82,E12,83:83)-SUMIF(82:82,C12,83:83)+100</f>
        <v>100</v>
      </c>
      <c r="G12" s="461"/>
      <c r="H12" s="134">
        <f>SUMIF(82:82,G12,83:83)-SUMIF(82:82,C12,83:83)+100</f>
        <v>100</v>
      </c>
      <c r="I12" s="463"/>
      <c r="J12" s="134">
        <f>SUMIF(82:82,I12,83:83)-SUMIF(82:82,C12,83:83)+100</f>
        <v>100</v>
      </c>
      <c r="K12" s="670"/>
      <c r="L12" s="1131"/>
      <c r="M12" s="1132"/>
      <c r="N12" s="1132"/>
      <c r="O12" s="1133"/>
      <c r="P12" s="3540"/>
      <c r="Q12" s="1794" t="str">
        <f t="shared" si="6"/>
        <v>配建</v>
      </c>
      <c r="R12" s="767" t="s">
        <v>17</v>
      </c>
      <c r="S12" s="768">
        <f t="shared" si="0"/>
        <v>100</v>
      </c>
      <c r="T12" s="767" t="s">
        <v>17</v>
      </c>
      <c r="U12" s="768">
        <f t="shared" si="1"/>
        <v>100</v>
      </c>
      <c r="V12" s="767" t="s">
        <v>17</v>
      </c>
      <c r="W12" s="768">
        <f t="shared" si="2"/>
        <v>100</v>
      </c>
      <c r="X12" s="769"/>
      <c r="Y12" s="3390"/>
      <c r="Z12" s="54" t="str">
        <f t="shared" si="7"/>
        <v>配建</v>
      </c>
      <c r="AA12" s="770">
        <f>D12/F12</f>
        <v>1</v>
      </c>
      <c r="AB12" s="770">
        <f>D12/H12</f>
        <v>1</v>
      </c>
      <c r="AC12" s="770">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39"/>
      <c r="M13" s="1130"/>
      <c r="N13" s="1130"/>
      <c r="O13" s="1138"/>
      <c r="P13" s="3540"/>
      <c r="Q13" s="1794">
        <f t="shared" si="6"/>
        <v>111</v>
      </c>
      <c r="R13" s="767" t="s">
        <v>17</v>
      </c>
      <c r="S13" s="768">
        <f t="shared" si="0"/>
        <v>100</v>
      </c>
      <c r="T13" s="767" t="s">
        <v>17</v>
      </c>
      <c r="U13" s="768">
        <f t="shared" si="1"/>
        <v>100</v>
      </c>
      <c r="V13" s="767" t="s">
        <v>17</v>
      </c>
      <c r="W13" s="768">
        <f t="shared" si="2"/>
        <v>100</v>
      </c>
      <c r="X13" s="769"/>
      <c r="Y13" s="3390"/>
      <c r="Z13" s="54">
        <f t="shared" si="7"/>
        <v>111</v>
      </c>
      <c r="AA13" s="770">
        <f>D13/F13</f>
        <v>1</v>
      </c>
      <c r="AB13" s="770">
        <f>D13/H13</f>
        <v>1</v>
      </c>
      <c r="AC13" s="770">
        <f>D13/J13</f>
        <v>1</v>
      </c>
    </row>
    <row r="14" spans="1:30" ht="15.6"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39"/>
      <c r="M14" s="1130"/>
      <c r="N14" s="1130"/>
      <c r="O14" s="1138"/>
      <c r="P14" s="3540"/>
      <c r="Q14" s="1794">
        <f t="shared" si="6"/>
        <v>111</v>
      </c>
      <c r="R14" s="767" t="s">
        <v>17</v>
      </c>
      <c r="S14" s="768">
        <f t="shared" si="0"/>
        <v>100</v>
      </c>
      <c r="T14" s="767" t="s">
        <v>17</v>
      </c>
      <c r="U14" s="768">
        <f t="shared" si="1"/>
        <v>100</v>
      </c>
      <c r="V14" s="767" t="s">
        <v>17</v>
      </c>
      <c r="W14" s="768">
        <f t="shared" si="2"/>
        <v>100</v>
      </c>
      <c r="X14" s="769"/>
      <c r="Y14" s="3390"/>
      <c r="Z14" s="54">
        <f t="shared" si="7"/>
        <v>111</v>
      </c>
      <c r="AA14" s="770">
        <f>D14/F14</f>
        <v>1</v>
      </c>
      <c r="AB14" s="770">
        <f>D14/H14</f>
        <v>1</v>
      </c>
      <c r="AC14" s="770">
        <f>D14/J14</f>
        <v>1</v>
      </c>
    </row>
    <row r="15" spans="1:30" ht="96.6">
      <c r="A15" s="438" t="s">
        <v>2558</v>
      </c>
      <c r="B15" s="68" t="s">
        <v>2085</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9"/>
      <c r="M15" s="1130"/>
      <c r="N15" s="1130"/>
      <c r="O15" s="1138"/>
      <c r="P15" s="3545" t="s">
        <v>2559</v>
      </c>
      <c r="Q15" s="1809" t="str">
        <f t="shared" si="6"/>
        <v>居住社区成熟度</v>
      </c>
      <c r="R15" s="771" t="s">
        <v>17</v>
      </c>
      <c r="S15" s="772">
        <f t="shared" si="0"/>
        <v>100</v>
      </c>
      <c r="T15" s="771" t="s">
        <v>17</v>
      </c>
      <c r="U15" s="772">
        <f t="shared" si="1"/>
        <v>100</v>
      </c>
      <c r="V15" s="771" t="s">
        <v>17</v>
      </c>
      <c r="W15" s="772">
        <f t="shared" si="2"/>
        <v>100</v>
      </c>
      <c r="X15" s="1812"/>
      <c r="Y15" s="3545" t="s">
        <v>2559</v>
      </c>
      <c r="Z15" s="1813" t="str">
        <f t="shared" si="7"/>
        <v>居住社区成熟度</v>
      </c>
      <c r="AA15" s="1810">
        <f t="shared" si="3"/>
        <v>1</v>
      </c>
      <c r="AB15" s="1810">
        <f t="shared" si="4"/>
        <v>1</v>
      </c>
      <c r="AC15" s="1810">
        <f t="shared" si="5"/>
        <v>1</v>
      </c>
    </row>
    <row r="16" spans="1:30" ht="15">
      <c r="A16" s="426"/>
      <c r="B16" s="444"/>
      <c r="C16" s="445"/>
      <c r="D16" s="446"/>
      <c r="E16" s="2603"/>
      <c r="F16" s="446"/>
      <c r="G16" s="2603"/>
      <c r="H16" s="448"/>
      <c r="I16" s="2602"/>
      <c r="J16" s="446"/>
      <c r="K16" s="670"/>
      <c r="L16" s="1139"/>
      <c r="M16" s="1130"/>
      <c r="N16" s="1130"/>
      <c r="O16" s="1138"/>
      <c r="P16" s="3546"/>
      <c r="Q16" s="1809"/>
      <c r="R16" s="771"/>
      <c r="S16" s="772"/>
      <c r="T16" s="771"/>
      <c r="U16" s="772"/>
      <c r="V16" s="771"/>
      <c r="W16" s="772"/>
      <c r="X16" s="1812"/>
      <c r="Y16" s="3546"/>
      <c r="Z16" s="1813"/>
      <c r="AA16" s="1810">
        <v>1</v>
      </c>
      <c r="AB16" s="1810">
        <v>1</v>
      </c>
      <c r="AC16" s="1810">
        <v>1</v>
      </c>
    </row>
    <row r="17" spans="1:29" ht="82.8">
      <c r="A17" s="426"/>
      <c r="B17" s="449" t="s">
        <v>2652</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9"/>
      <c r="M17" s="1130"/>
      <c r="N17" s="1130"/>
      <c r="O17" s="1138"/>
      <c r="P17" s="3546"/>
      <c r="Q17" s="1809" t="str">
        <f>B17</f>
        <v>商业繁华度</v>
      </c>
      <c r="R17" s="771" t="s">
        <v>17</v>
      </c>
      <c r="S17" s="772">
        <f>F17</f>
        <v>100</v>
      </c>
      <c r="T17" s="771" t="s">
        <v>17</v>
      </c>
      <c r="U17" s="772">
        <f>H17</f>
        <v>100</v>
      </c>
      <c r="V17" s="771" t="s">
        <v>17</v>
      </c>
      <c r="W17" s="772">
        <f>J17</f>
        <v>100</v>
      </c>
      <c r="X17" s="1812"/>
      <c r="Y17" s="3546"/>
      <c r="Z17" s="1813" t="str">
        <f>Q17</f>
        <v>商业繁华度</v>
      </c>
      <c r="AA17" s="1810">
        <f t="shared" si="3"/>
        <v>1</v>
      </c>
      <c r="AB17" s="1810">
        <f t="shared" si="4"/>
        <v>1</v>
      </c>
      <c r="AC17" s="1810">
        <f t="shared" si="5"/>
        <v>1</v>
      </c>
    </row>
    <row r="18" spans="1:29" ht="15">
      <c r="A18" s="426"/>
      <c r="B18" s="454"/>
      <c r="C18" s="2606"/>
      <c r="D18" s="448"/>
      <c r="E18" s="2608"/>
      <c r="F18" s="448"/>
      <c r="G18" s="2608"/>
      <c r="H18" s="446"/>
      <c r="I18" s="2607"/>
      <c r="J18" s="446"/>
      <c r="K18" s="670"/>
      <c r="L18" s="1139"/>
      <c r="M18" s="1130"/>
      <c r="N18" s="1130"/>
      <c r="O18" s="1138"/>
      <c r="P18" s="3546"/>
      <c r="Q18" s="1809"/>
      <c r="R18" s="771"/>
      <c r="S18" s="772"/>
      <c r="T18" s="771"/>
      <c r="U18" s="772"/>
      <c r="V18" s="771"/>
      <c r="W18" s="772"/>
      <c r="X18" s="1812"/>
      <c r="Y18" s="3546"/>
      <c r="Z18" s="1813"/>
      <c r="AA18" s="1810">
        <v>1</v>
      </c>
      <c r="AB18" s="1810">
        <v>1</v>
      </c>
      <c r="AC18" s="1810">
        <v>1</v>
      </c>
    </row>
    <row r="19" spans="1:29" ht="82.8">
      <c r="A19" s="426"/>
      <c r="B19" s="449" t="s">
        <v>2686</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9"/>
      <c r="M19" s="1130"/>
      <c r="N19" s="1130"/>
      <c r="O19" s="1138"/>
      <c r="P19" s="3546"/>
      <c r="Q19" s="1809" t="str">
        <f>B19</f>
        <v>办公集聚程度</v>
      </c>
      <c r="R19" s="771" t="s">
        <v>17</v>
      </c>
      <c r="S19" s="772">
        <f>F19</f>
        <v>100</v>
      </c>
      <c r="T19" s="771" t="s">
        <v>17</v>
      </c>
      <c r="U19" s="772">
        <f>H19</f>
        <v>100</v>
      </c>
      <c r="V19" s="771" t="s">
        <v>17</v>
      </c>
      <c r="W19" s="772">
        <f>J19</f>
        <v>100</v>
      </c>
      <c r="X19" s="1812"/>
      <c r="Y19" s="3546"/>
      <c r="Z19" s="1813" t="str">
        <f>Q19</f>
        <v>办公集聚程度</v>
      </c>
      <c r="AA19" s="1810">
        <f t="shared" si="3"/>
        <v>1</v>
      </c>
      <c r="AB19" s="1810">
        <f t="shared" si="4"/>
        <v>1</v>
      </c>
      <c r="AC19" s="1810">
        <f t="shared" si="5"/>
        <v>1</v>
      </c>
    </row>
    <row r="20" spans="1:29" ht="15">
      <c r="A20" s="426"/>
      <c r="B20" s="454"/>
      <c r="C20" s="445"/>
      <c r="D20" s="446"/>
      <c r="E20" s="2603"/>
      <c r="F20" s="446"/>
      <c r="G20" s="2603"/>
      <c r="H20" s="446"/>
      <c r="I20" s="2602"/>
      <c r="J20" s="446"/>
      <c r="K20" s="670"/>
      <c r="L20" s="1139"/>
      <c r="M20" s="1130"/>
      <c r="N20" s="1130"/>
      <c r="O20" s="1138"/>
      <c r="P20" s="3546"/>
      <c r="Q20" s="1809"/>
      <c r="R20" s="771"/>
      <c r="S20" s="772"/>
      <c r="T20" s="771"/>
      <c r="U20" s="772"/>
      <c r="V20" s="771"/>
      <c r="W20" s="772"/>
      <c r="X20" s="1812"/>
      <c r="Y20" s="3546"/>
      <c r="Z20" s="1813"/>
      <c r="AA20" s="1810">
        <v>1</v>
      </c>
      <c r="AB20" s="1810">
        <v>1</v>
      </c>
      <c r="AC20" s="1810">
        <v>1</v>
      </c>
    </row>
    <row r="21" spans="1:29" ht="96.6">
      <c r="A21" s="426"/>
      <c r="B21" s="449" t="s">
        <v>2708</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9"/>
      <c r="M21" s="1130"/>
      <c r="N21" s="1130"/>
      <c r="O21" s="1138"/>
      <c r="P21" s="3546"/>
      <c r="Q21" s="1809" t="str">
        <f>B21</f>
        <v>交通便捷度</v>
      </c>
      <c r="R21" s="771" t="s">
        <v>17</v>
      </c>
      <c r="S21" s="772">
        <f>F21</f>
        <v>100</v>
      </c>
      <c r="T21" s="771" t="s">
        <v>17</v>
      </c>
      <c r="U21" s="772">
        <f>H21</f>
        <v>100</v>
      </c>
      <c r="V21" s="771" t="s">
        <v>17</v>
      </c>
      <c r="W21" s="772">
        <f>J21</f>
        <v>100</v>
      </c>
      <c r="X21" s="1812"/>
      <c r="Y21" s="3546"/>
      <c r="Z21" s="1813" t="str">
        <f>Q21</f>
        <v>交通便捷度</v>
      </c>
      <c r="AA21" s="1810">
        <f t="shared" si="3"/>
        <v>1</v>
      </c>
      <c r="AB21" s="1810">
        <f t="shared" si="4"/>
        <v>1</v>
      </c>
      <c r="AC21" s="1810">
        <f t="shared" si="5"/>
        <v>1</v>
      </c>
    </row>
    <row r="22" spans="1:29" ht="15">
      <c r="A22" s="426"/>
      <c r="B22" s="1383"/>
      <c r="C22" s="445"/>
      <c r="D22" s="448"/>
      <c r="E22" s="2603"/>
      <c r="F22" s="446"/>
      <c r="G22" s="2603"/>
      <c r="H22" s="446"/>
      <c r="I22" s="2602"/>
      <c r="J22" s="446"/>
      <c r="K22" s="670"/>
      <c r="L22" s="1139"/>
      <c r="M22" s="1130"/>
      <c r="N22" s="1130"/>
      <c r="O22" s="1138"/>
      <c r="P22" s="3546"/>
      <c r="Q22" s="1809"/>
      <c r="R22" s="771"/>
      <c r="S22" s="772"/>
      <c r="T22" s="771"/>
      <c r="U22" s="772"/>
      <c r="V22" s="771"/>
      <c r="W22" s="772"/>
      <c r="X22" s="1812"/>
      <c r="Y22" s="3546"/>
      <c r="Z22" s="1813"/>
      <c r="AA22" s="1810">
        <v>1</v>
      </c>
      <c r="AB22" s="1810">
        <v>1</v>
      </c>
      <c r="AC22" s="1810">
        <v>1</v>
      </c>
    </row>
    <row r="23" spans="1:29" ht="28.8">
      <c r="A23" s="402"/>
      <c r="B23" s="449" t="s">
        <v>2747</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9"/>
      <c r="M23" s="1130"/>
      <c r="N23" s="1130"/>
      <c r="O23" s="1138"/>
      <c r="P23" s="3546"/>
      <c r="Q23" s="1809" t="str">
        <f t="shared" ref="Q23:Q37" si="8">B23</f>
        <v>区域土地利用方向</v>
      </c>
      <c r="R23" s="771" t="s">
        <v>17</v>
      </c>
      <c r="S23" s="772">
        <f>F23</f>
        <v>100</v>
      </c>
      <c r="T23" s="771" t="s">
        <v>17</v>
      </c>
      <c r="U23" s="772">
        <f>H23</f>
        <v>100</v>
      </c>
      <c r="V23" s="771" t="s">
        <v>17</v>
      </c>
      <c r="W23" s="772">
        <f>J23</f>
        <v>100</v>
      </c>
      <c r="X23" s="1812"/>
      <c r="Y23" s="3546"/>
      <c r="Z23" s="1813" t="str">
        <f>Q23</f>
        <v>区域土地利用方向</v>
      </c>
      <c r="AA23" s="1810">
        <f t="shared" si="3"/>
        <v>1</v>
      </c>
      <c r="AB23" s="1810">
        <f t="shared" si="4"/>
        <v>1</v>
      </c>
      <c r="AC23" s="1810">
        <f t="shared" si="5"/>
        <v>1</v>
      </c>
    </row>
    <row r="24" spans="1:29" ht="15">
      <c r="A24" s="402"/>
      <c r="B24" s="454"/>
      <c r="C24" s="614"/>
      <c r="D24" s="446"/>
      <c r="E24" s="2603"/>
      <c r="F24" s="446"/>
      <c r="G24" s="2602"/>
      <c r="H24" s="446"/>
      <c r="I24" s="2602"/>
      <c r="J24" s="446"/>
      <c r="K24" s="808"/>
      <c r="L24" s="1139"/>
      <c r="M24" s="1130"/>
      <c r="N24" s="1130"/>
      <c r="O24" s="1138"/>
      <c r="P24" s="3546"/>
      <c r="Q24" s="1809"/>
      <c r="R24" s="771"/>
      <c r="S24" s="772"/>
      <c r="T24" s="771"/>
      <c r="U24" s="772"/>
      <c r="V24" s="771"/>
      <c r="W24" s="772"/>
      <c r="X24" s="1812"/>
      <c r="Y24" s="3546"/>
      <c r="Z24" s="1813"/>
      <c r="AA24" s="1810"/>
      <c r="AB24" s="1810"/>
      <c r="AC24" s="1810"/>
    </row>
    <row r="25" spans="1:29" ht="55.2">
      <c r="A25" s="402"/>
      <c r="B25" s="1383" t="s">
        <v>2748</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9"/>
      <c r="M25" s="1130"/>
      <c r="N25" s="1130"/>
      <c r="O25" s="1138"/>
      <c r="P25" s="3546"/>
      <c r="Q25" s="1809" t="str">
        <f t="shared" si="8"/>
        <v>自然及人文环境状况</v>
      </c>
      <c r="R25" s="771" t="s">
        <v>17</v>
      </c>
      <c r="S25" s="772">
        <f>F25</f>
        <v>100</v>
      </c>
      <c r="T25" s="771" t="s">
        <v>17</v>
      </c>
      <c r="U25" s="772">
        <f>H25</f>
        <v>100</v>
      </c>
      <c r="V25" s="771" t="s">
        <v>17</v>
      </c>
      <c r="W25" s="772">
        <f>J25</f>
        <v>100</v>
      </c>
      <c r="X25" s="1812"/>
      <c r="Y25" s="3546"/>
      <c r="Z25" s="1813" t="str">
        <f>Q25</f>
        <v>自然及人文环境状况</v>
      </c>
      <c r="AA25" s="1810">
        <f t="shared" si="3"/>
        <v>1</v>
      </c>
      <c r="AB25" s="1810">
        <f t="shared" si="4"/>
        <v>1</v>
      </c>
      <c r="AC25" s="1810">
        <f t="shared" si="5"/>
        <v>1</v>
      </c>
    </row>
    <row r="26" spans="1:29" ht="15">
      <c r="A26" s="402"/>
      <c r="B26" s="454"/>
      <c r="C26" s="445"/>
      <c r="D26" s="446"/>
      <c r="E26" s="2609"/>
      <c r="F26" s="446"/>
      <c r="G26" s="2609"/>
      <c r="H26" s="446"/>
      <c r="I26" s="445"/>
      <c r="J26" s="446"/>
      <c r="K26" s="670"/>
      <c r="L26" s="1139"/>
      <c r="M26" s="1130"/>
      <c r="N26" s="1130"/>
      <c r="O26" s="1138"/>
      <c r="P26" s="3546"/>
      <c r="Q26" s="1809"/>
      <c r="R26" s="771"/>
      <c r="S26" s="772"/>
      <c r="T26" s="771"/>
      <c r="U26" s="772"/>
      <c r="V26" s="771"/>
      <c r="W26" s="772"/>
      <c r="X26" s="1812"/>
      <c r="Y26" s="3546"/>
      <c r="Z26" s="1813"/>
      <c r="AA26" s="1810">
        <v>1</v>
      </c>
      <c r="AB26" s="1810">
        <v>1</v>
      </c>
      <c r="AC26" s="1810">
        <v>1</v>
      </c>
    </row>
    <row r="27" spans="1:29" s="115" customFormat="1" ht="41.4">
      <c r="A27" s="647"/>
      <c r="B27" s="1383" t="s">
        <v>2653</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1"/>
      <c r="M27" s="1132"/>
      <c r="N27" s="1132"/>
      <c r="O27" s="1133"/>
      <c r="P27" s="3546"/>
      <c r="Q27" s="1794" t="str">
        <f t="shared" si="8"/>
        <v>公共配套设施</v>
      </c>
      <c r="R27" s="767" t="s">
        <v>17</v>
      </c>
      <c r="S27" s="768">
        <f>F27</f>
        <v>100</v>
      </c>
      <c r="T27" s="767" t="s">
        <v>17</v>
      </c>
      <c r="U27" s="768">
        <f>H27</f>
        <v>100</v>
      </c>
      <c r="V27" s="767" t="s">
        <v>17</v>
      </c>
      <c r="W27" s="768">
        <f>J27</f>
        <v>100</v>
      </c>
      <c r="X27" s="769"/>
      <c r="Y27" s="3546"/>
      <c r="Z27" s="54" t="str">
        <f>Q27</f>
        <v>公共配套设施</v>
      </c>
      <c r="AA27" s="1810">
        <f>D27/F27</f>
        <v>1</v>
      </c>
      <c r="AB27" s="1810">
        <f>D27/H27</f>
        <v>1</v>
      </c>
      <c r="AC27" s="1810">
        <f>D27/J27</f>
        <v>1</v>
      </c>
    </row>
    <row r="28" spans="1:29" s="115" customFormat="1" ht="15">
      <c r="A28" s="647"/>
      <c r="B28" s="454"/>
      <c r="C28" s="2698"/>
      <c r="D28" s="446"/>
      <c r="E28" s="2609"/>
      <c r="F28" s="446"/>
      <c r="G28" s="2609"/>
      <c r="H28" s="446"/>
      <c r="I28" s="445"/>
      <c r="J28" s="446"/>
      <c r="K28" s="670"/>
      <c r="L28" s="1131"/>
      <c r="M28" s="1132"/>
      <c r="N28" s="1132"/>
      <c r="O28" s="1133"/>
      <c r="P28" s="3546"/>
      <c r="Q28" s="1794"/>
      <c r="R28" s="767"/>
      <c r="S28" s="768"/>
      <c r="T28" s="767"/>
      <c r="U28" s="768"/>
      <c r="V28" s="767"/>
      <c r="W28" s="768"/>
      <c r="X28" s="769"/>
      <c r="Y28" s="3546"/>
      <c r="Z28" s="54"/>
      <c r="AA28" s="1810">
        <v>1</v>
      </c>
      <c r="AB28" s="1810">
        <v>1</v>
      </c>
      <c r="AC28" s="1810">
        <v>1</v>
      </c>
    </row>
    <row r="29" spans="1:29" s="115" customFormat="1" ht="41.4">
      <c r="A29" s="647"/>
      <c r="B29" s="1383" t="s">
        <v>2654</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1"/>
      <c r="M29" s="1132"/>
      <c r="N29" s="1132"/>
      <c r="O29" s="1133"/>
      <c r="P29" s="3546"/>
      <c r="Q29" s="1794" t="str">
        <f t="shared" ref="Q29" si="9">B29</f>
        <v>基础设施水平</v>
      </c>
      <c r="R29" s="767" t="s">
        <v>17</v>
      </c>
      <c r="S29" s="768">
        <f>F29</f>
        <v>100</v>
      </c>
      <c r="T29" s="767" t="s">
        <v>17</v>
      </c>
      <c r="U29" s="768">
        <f>H29</f>
        <v>100</v>
      </c>
      <c r="V29" s="767" t="s">
        <v>17</v>
      </c>
      <c r="W29" s="768">
        <f>J29</f>
        <v>100</v>
      </c>
      <c r="X29" s="769"/>
      <c r="Y29" s="3546"/>
      <c r="Z29" s="54" t="str">
        <f>Q29</f>
        <v>基础设施水平</v>
      </c>
      <c r="AA29" s="1810">
        <f>D29/F29</f>
        <v>1</v>
      </c>
      <c r="AB29" s="1810">
        <f>D29/H29</f>
        <v>1</v>
      </c>
      <c r="AC29" s="1810">
        <f>D29/J29</f>
        <v>1</v>
      </c>
    </row>
    <row r="30" spans="1:29" s="115" customFormat="1" ht="15">
      <c r="A30" s="647"/>
      <c r="B30" s="454"/>
      <c r="C30" s="2698"/>
      <c r="D30" s="446"/>
      <c r="E30" s="2699"/>
      <c r="F30" s="446"/>
      <c r="G30" s="2699"/>
      <c r="H30" s="446"/>
      <c r="I30" s="2699"/>
      <c r="J30" s="446"/>
      <c r="K30" s="670"/>
      <c r="L30" s="1131"/>
      <c r="M30" s="1132"/>
      <c r="N30" s="1132"/>
      <c r="O30" s="1133"/>
      <c r="P30" s="3546"/>
      <c r="Q30" s="1794"/>
      <c r="R30" s="767"/>
      <c r="S30" s="768"/>
      <c r="T30" s="767"/>
      <c r="U30" s="768"/>
      <c r="V30" s="767"/>
      <c r="W30" s="768"/>
      <c r="X30" s="769"/>
      <c r="Y30" s="3546"/>
      <c r="Z30" s="54"/>
      <c r="AA30" s="1810">
        <v>1</v>
      </c>
      <c r="AB30" s="1810">
        <v>1</v>
      </c>
      <c r="AC30" s="1810">
        <v>1</v>
      </c>
    </row>
    <row r="31" spans="1:29" ht="15">
      <c r="A31" s="426"/>
      <c r="B31" s="454" t="s">
        <v>2655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9"/>
      <c r="M31" s="1130"/>
      <c r="N31" s="1130"/>
      <c r="O31" s="1138"/>
      <c r="P31" s="3546"/>
      <c r="Q31" s="1809" t="str">
        <f t="shared" si="8"/>
        <v>临街状况</v>
      </c>
      <c r="R31" s="771" t="s">
        <v>17</v>
      </c>
      <c r="S31" s="772">
        <f t="shared" ref="S31:S45" si="10">F31</f>
        <v>100</v>
      </c>
      <c r="T31" s="771" t="s">
        <v>17</v>
      </c>
      <c r="U31" s="772">
        <f t="shared" ref="U31:U45" si="11">H31</f>
        <v>100</v>
      </c>
      <c r="V31" s="771" t="s">
        <v>17</v>
      </c>
      <c r="W31" s="772">
        <f t="shared" ref="W31:W45" si="12">J31</f>
        <v>100</v>
      </c>
      <c r="X31" s="1812"/>
      <c r="Y31" s="3546"/>
      <c r="Z31" s="1813" t="str">
        <f t="shared" ref="Z31:Z45" si="13">Q31</f>
        <v>临街状况</v>
      </c>
      <c r="AA31" s="1810">
        <f t="shared" si="3"/>
        <v>1</v>
      </c>
      <c r="AB31" s="1810">
        <f t="shared" si="4"/>
        <v>1</v>
      </c>
      <c r="AC31" s="1810">
        <f t="shared" si="5"/>
        <v>1</v>
      </c>
    </row>
    <row r="32" spans="1:29" ht="28.8">
      <c r="A32" s="426"/>
      <c r="B32" s="1383" t="s">
        <v>2690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9"/>
      <c r="M32" s="1130"/>
      <c r="N32" s="1130"/>
      <c r="O32" s="1138"/>
      <c r="P32" s="3546"/>
      <c r="Q32" s="1809" t="str">
        <f t="shared" si="8"/>
        <v>毗邻道路的类型与等级</v>
      </c>
      <c r="R32" s="771" t="s">
        <v>17</v>
      </c>
      <c r="S32" s="772">
        <f t="shared" si="10"/>
        <v>100</v>
      </c>
      <c r="T32" s="771" t="s">
        <v>17</v>
      </c>
      <c r="U32" s="772">
        <f t="shared" si="11"/>
        <v>100</v>
      </c>
      <c r="V32" s="771" t="s">
        <v>17</v>
      </c>
      <c r="W32" s="772">
        <f t="shared" si="12"/>
        <v>100</v>
      </c>
      <c r="X32" s="1812"/>
      <c r="Y32" s="3546"/>
      <c r="Z32" s="1813" t="str">
        <f t="shared" si="13"/>
        <v>毗邻道路的类型与等级</v>
      </c>
      <c r="AA32" s="1810">
        <f t="shared" si="3"/>
        <v>1</v>
      </c>
      <c r="AB32" s="1810">
        <f t="shared" si="4"/>
        <v>1</v>
      </c>
      <c r="AC32" s="1810">
        <f t="shared" si="5"/>
        <v>1</v>
      </c>
    </row>
    <row r="33" spans="1:29" ht="15">
      <c r="A33" s="426"/>
      <c r="B33" s="454"/>
      <c r="C33" s="445"/>
      <c r="D33" s="446"/>
      <c r="E33" s="2609"/>
      <c r="F33" s="446"/>
      <c r="G33" s="2609"/>
      <c r="H33" s="446"/>
      <c r="I33" s="445"/>
      <c r="J33" s="446"/>
      <c r="K33" s="611"/>
      <c r="L33" s="1139"/>
      <c r="M33" s="1130"/>
      <c r="N33" s="1130"/>
      <c r="O33" s="1138"/>
      <c r="P33" s="3546"/>
      <c r="Q33" s="1809"/>
      <c r="R33" s="771"/>
      <c r="S33" s="772"/>
      <c r="T33" s="771"/>
      <c r="U33" s="772"/>
      <c r="V33" s="771"/>
      <c r="W33" s="772"/>
      <c r="X33" s="1812"/>
      <c r="Y33" s="3546"/>
      <c r="Z33" s="1813"/>
      <c r="AA33" s="1810">
        <v>1</v>
      </c>
      <c r="AB33" s="1810">
        <v>1</v>
      </c>
      <c r="AC33" s="1810">
        <v>1</v>
      </c>
    </row>
    <row r="34" spans="1:29" ht="15">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9"/>
      <c r="M34" s="1130"/>
      <c r="N34" s="1130"/>
      <c r="O34" s="1138"/>
      <c r="P34" s="3546"/>
      <c r="Q34" s="1809" t="str">
        <f t="shared" si="8"/>
        <v>土地级别</v>
      </c>
      <c r="R34" s="771" t="s">
        <v>17</v>
      </c>
      <c r="S34" s="772">
        <f t="shared" si="10"/>
        <v>100</v>
      </c>
      <c r="T34" s="771" t="s">
        <v>17</v>
      </c>
      <c r="U34" s="772">
        <f t="shared" si="11"/>
        <v>100</v>
      </c>
      <c r="V34" s="771" t="s">
        <v>17</v>
      </c>
      <c r="W34" s="772">
        <f t="shared" si="12"/>
        <v>100</v>
      </c>
      <c r="X34" s="1812"/>
      <c r="Y34" s="3546"/>
      <c r="Z34" s="1813" t="str">
        <f t="shared" si="13"/>
        <v>土地级别</v>
      </c>
      <c r="AA34" s="1810">
        <f t="shared" si="3"/>
        <v>1</v>
      </c>
      <c r="AB34" s="1810">
        <f t="shared" si="4"/>
        <v>1</v>
      </c>
      <c r="AC34" s="1810">
        <f t="shared" si="5"/>
        <v>1</v>
      </c>
    </row>
    <row r="35" spans="1:29" ht="15">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9"/>
      <c r="M35" s="1130"/>
      <c r="N35" s="1130"/>
      <c r="O35" s="1138"/>
      <c r="P35" s="3546"/>
      <c r="Q35" s="1809">
        <f t="shared" si="8"/>
        <v>111</v>
      </c>
      <c r="R35" s="771" t="s">
        <v>17</v>
      </c>
      <c r="S35" s="772">
        <f t="shared" si="10"/>
        <v>100</v>
      </c>
      <c r="T35" s="771" t="s">
        <v>17</v>
      </c>
      <c r="U35" s="772">
        <f t="shared" si="11"/>
        <v>100</v>
      </c>
      <c r="V35" s="771" t="s">
        <v>17</v>
      </c>
      <c r="W35" s="772">
        <f t="shared" si="12"/>
        <v>100</v>
      </c>
      <c r="X35" s="1812"/>
      <c r="Y35" s="3546"/>
      <c r="Z35" s="1813">
        <f t="shared" si="13"/>
        <v>111</v>
      </c>
      <c r="AA35" s="1810">
        <f t="shared" si="3"/>
        <v>1</v>
      </c>
      <c r="AB35" s="1810">
        <f t="shared" si="4"/>
        <v>1</v>
      </c>
      <c r="AC35" s="1810">
        <f t="shared" si="5"/>
        <v>1</v>
      </c>
    </row>
    <row r="36" spans="1:29" ht="15">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9"/>
      <c r="M36" s="1130"/>
      <c r="N36" s="1130"/>
      <c r="O36" s="1138"/>
      <c r="P36" s="3547" t="s">
        <v>2564</v>
      </c>
      <c r="Q36" s="1809">
        <f t="shared" si="8"/>
        <v>111</v>
      </c>
      <c r="R36" s="771" t="s">
        <v>17</v>
      </c>
      <c r="S36" s="772">
        <f t="shared" si="10"/>
        <v>100</v>
      </c>
      <c r="T36" s="771" t="s">
        <v>17</v>
      </c>
      <c r="U36" s="772">
        <f t="shared" si="11"/>
        <v>100</v>
      </c>
      <c r="V36" s="771" t="s">
        <v>17</v>
      </c>
      <c r="W36" s="772">
        <f t="shared" si="12"/>
        <v>100</v>
      </c>
      <c r="X36" s="1812"/>
      <c r="Y36" s="3548" t="s">
        <v>2564</v>
      </c>
      <c r="Z36" s="1813">
        <f t="shared" si="13"/>
        <v>111</v>
      </c>
      <c r="AA36" s="1810">
        <f t="shared" si="3"/>
        <v>1</v>
      </c>
      <c r="AB36" s="1810">
        <f t="shared" si="4"/>
        <v>1</v>
      </c>
      <c r="AC36" s="1810">
        <f t="shared" si="5"/>
        <v>1</v>
      </c>
    </row>
    <row r="37" spans="1:29" s="469" customFormat="1" ht="15.6"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7"/>
      <c r="M37" s="1140"/>
      <c r="N37" s="1140"/>
      <c r="O37" s="1141"/>
      <c r="P37" s="3548"/>
      <c r="Q37" s="1809">
        <f t="shared" si="8"/>
        <v>111</v>
      </c>
      <c r="R37" s="774" t="s">
        <v>17</v>
      </c>
      <c r="S37" s="775">
        <f t="shared" si="10"/>
        <v>100</v>
      </c>
      <c r="T37" s="774" t="s">
        <v>17</v>
      </c>
      <c r="U37" s="775">
        <f t="shared" si="11"/>
        <v>100</v>
      </c>
      <c r="V37" s="774" t="s">
        <v>17</v>
      </c>
      <c r="W37" s="775">
        <f t="shared" si="12"/>
        <v>100</v>
      </c>
      <c r="X37" s="776"/>
      <c r="Y37" s="3548"/>
      <c r="Z37" s="777">
        <f t="shared" si="13"/>
        <v>111</v>
      </c>
      <c r="AA37" s="1810">
        <f t="shared" si="3"/>
        <v>1</v>
      </c>
      <c r="AB37" s="1810">
        <f t="shared" si="4"/>
        <v>1</v>
      </c>
      <c r="AC37" s="1810">
        <f t="shared" si="5"/>
        <v>1</v>
      </c>
    </row>
    <row r="38" spans="1:29" ht="15.6">
      <c r="A38" s="470" t="s">
        <v>2562</v>
      </c>
      <c r="B38" s="454" t="s">
        <v>2750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9"/>
      <c r="M38" s="1130"/>
      <c r="N38" s="1130"/>
      <c r="O38" s="1138"/>
      <c r="P38" s="3548"/>
      <c r="Q38" s="1809" t="str">
        <f>B38</f>
        <v>宗地面积</v>
      </c>
      <c r="R38" s="771" t="s">
        <v>17</v>
      </c>
      <c r="S38" s="772" t="e">
        <f t="shared" si="10"/>
        <v>#N/A</v>
      </c>
      <c r="T38" s="771" t="s">
        <v>17</v>
      </c>
      <c r="U38" s="772" t="e">
        <f t="shared" si="11"/>
        <v>#N/A</v>
      </c>
      <c r="V38" s="771" t="s">
        <v>17</v>
      </c>
      <c r="W38" s="772" t="e">
        <f t="shared" si="12"/>
        <v>#N/A</v>
      </c>
      <c r="X38" s="1812"/>
      <c r="Y38" s="3548"/>
      <c r="Z38" s="1813" t="str">
        <f t="shared" si="13"/>
        <v>宗地面积</v>
      </c>
      <c r="AA38" s="1810" t="e">
        <f t="shared" si="3"/>
        <v>#N/A</v>
      </c>
      <c r="AB38" s="1810" t="e">
        <f t="shared" si="4"/>
        <v>#N/A</v>
      </c>
      <c r="AC38" s="1810" t="e">
        <f t="shared" si="5"/>
        <v>#N/A</v>
      </c>
    </row>
    <row r="39" spans="1:29" ht="15">
      <c r="A39" s="470"/>
      <c r="B39" s="420" t="s">
        <v>2751</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9"/>
      <c r="M39" s="1130"/>
      <c r="N39" s="1130"/>
      <c r="O39" s="1138"/>
      <c r="P39" s="3548"/>
      <c r="Q39" s="1809" t="str">
        <f t="shared" ref="Q39:Q45" si="14">B39</f>
        <v>宗地形状</v>
      </c>
      <c r="R39" s="771" t="s">
        <v>17</v>
      </c>
      <c r="S39" s="772">
        <f t="shared" si="10"/>
        <v>100</v>
      </c>
      <c r="T39" s="771" t="s">
        <v>17</v>
      </c>
      <c r="U39" s="772">
        <f t="shared" si="11"/>
        <v>100</v>
      </c>
      <c r="V39" s="771" t="s">
        <v>17</v>
      </c>
      <c r="W39" s="772">
        <f t="shared" si="12"/>
        <v>100</v>
      </c>
      <c r="X39" s="1812"/>
      <c r="Y39" s="3548"/>
      <c r="Z39" s="1813" t="str">
        <f t="shared" si="13"/>
        <v>宗地形状</v>
      </c>
      <c r="AA39" s="1810">
        <f t="shared" si="3"/>
        <v>1</v>
      </c>
      <c r="AB39" s="1810">
        <f t="shared" si="4"/>
        <v>1</v>
      </c>
      <c r="AC39" s="1810">
        <f t="shared" si="5"/>
        <v>1</v>
      </c>
    </row>
    <row r="40" spans="1:29" ht="15">
      <c r="A40" s="470"/>
      <c r="B40" s="420" t="s">
        <v>2752</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9"/>
      <c r="M40" s="1130"/>
      <c r="N40" s="1130"/>
      <c r="O40" s="1138"/>
      <c r="P40" s="3548"/>
      <c r="Q40" s="1809" t="str">
        <f t="shared" si="14"/>
        <v>临街宽度及深度</v>
      </c>
      <c r="R40" s="771" t="s">
        <v>17</v>
      </c>
      <c r="S40" s="772">
        <f t="shared" si="10"/>
        <v>100</v>
      </c>
      <c r="T40" s="771" t="s">
        <v>17</v>
      </c>
      <c r="U40" s="772">
        <f t="shared" si="11"/>
        <v>100</v>
      </c>
      <c r="V40" s="771" t="s">
        <v>17</v>
      </c>
      <c r="W40" s="772">
        <f t="shared" si="12"/>
        <v>100</v>
      </c>
      <c r="X40" s="1812"/>
      <c r="Y40" s="3548"/>
      <c r="Z40" s="1813" t="str">
        <f t="shared" si="13"/>
        <v>临街宽度及深度</v>
      </c>
      <c r="AA40" s="1810">
        <f t="shared" si="3"/>
        <v>1</v>
      </c>
      <c r="AB40" s="1810">
        <f t="shared" si="4"/>
        <v>1</v>
      </c>
      <c r="AC40" s="1810">
        <f t="shared" si="5"/>
        <v>1</v>
      </c>
    </row>
    <row r="41" spans="1:29" s="115" customFormat="1" ht="15">
      <c r="A41" s="471"/>
      <c r="B41" s="420" t="s">
        <v>2753</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1"/>
      <c r="M41" s="1132"/>
      <c r="N41" s="1132"/>
      <c r="O41" s="1133"/>
      <c r="P41" s="3548"/>
      <c r="Q41" s="1809" t="str">
        <f t="shared" si="14"/>
        <v>宗地开发程度</v>
      </c>
      <c r="R41" s="767" t="s">
        <v>17</v>
      </c>
      <c r="S41" s="768">
        <f t="shared" si="10"/>
        <v>100</v>
      </c>
      <c r="T41" s="767" t="s">
        <v>17</v>
      </c>
      <c r="U41" s="768">
        <f t="shared" si="11"/>
        <v>100</v>
      </c>
      <c r="V41" s="767" t="s">
        <v>17</v>
      </c>
      <c r="W41" s="768">
        <f t="shared" si="12"/>
        <v>100</v>
      </c>
      <c r="X41" s="769"/>
      <c r="Y41" s="3548"/>
      <c r="Z41" s="54" t="str">
        <f t="shared" si="13"/>
        <v>宗地开发程度</v>
      </c>
      <c r="AA41" s="770">
        <f t="shared" si="3"/>
        <v>1</v>
      </c>
      <c r="AB41" s="770">
        <f t="shared" si="4"/>
        <v>1</v>
      </c>
      <c r="AC41" s="770">
        <f t="shared" si="5"/>
        <v>1</v>
      </c>
    </row>
    <row r="42" spans="1:29" ht="15">
      <c r="A42" s="470"/>
      <c r="B42" s="420" t="s">
        <v>2754</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9"/>
      <c r="M42" s="1130"/>
      <c r="N42" s="1130"/>
      <c r="O42" s="1138"/>
      <c r="P42" s="3548" t="s">
        <v>2564</v>
      </c>
      <c r="Q42" s="1809" t="str">
        <f t="shared" si="14"/>
        <v>工程地质条件</v>
      </c>
      <c r="R42" s="771" t="s">
        <v>17</v>
      </c>
      <c r="S42" s="772">
        <f t="shared" si="10"/>
        <v>100</v>
      </c>
      <c r="T42" s="771" t="s">
        <v>17</v>
      </c>
      <c r="U42" s="772">
        <f t="shared" si="11"/>
        <v>100</v>
      </c>
      <c r="V42" s="771" t="s">
        <v>17</v>
      </c>
      <c r="W42" s="772">
        <f t="shared" si="12"/>
        <v>100</v>
      </c>
      <c r="X42" s="1812"/>
      <c r="Y42" s="3548" t="s">
        <v>2564</v>
      </c>
      <c r="Z42" s="1813" t="str">
        <f t="shared" si="13"/>
        <v>工程地质条件</v>
      </c>
      <c r="AA42" s="1810">
        <f t="shared" si="3"/>
        <v>1</v>
      </c>
      <c r="AB42" s="1810">
        <f t="shared" si="4"/>
        <v>1</v>
      </c>
      <c r="AC42" s="1810">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9"/>
      <c r="M43" s="1130"/>
      <c r="N43" s="1130"/>
      <c r="O43" s="1138"/>
      <c r="P43" s="3548"/>
      <c r="Q43" s="1809">
        <f t="shared" si="14"/>
        <v>111</v>
      </c>
      <c r="R43" s="771" t="s">
        <v>17</v>
      </c>
      <c r="S43" s="772">
        <f t="shared" si="10"/>
        <v>100</v>
      </c>
      <c r="T43" s="771" t="s">
        <v>17</v>
      </c>
      <c r="U43" s="772">
        <f t="shared" si="11"/>
        <v>100</v>
      </c>
      <c r="V43" s="771" t="s">
        <v>17</v>
      </c>
      <c r="W43" s="772">
        <f t="shared" si="12"/>
        <v>100</v>
      </c>
      <c r="X43" s="1812"/>
      <c r="Y43" s="3548"/>
      <c r="Z43" s="1813">
        <f t="shared" si="13"/>
        <v>111</v>
      </c>
      <c r="AA43" s="1810">
        <f t="shared" si="3"/>
        <v>1</v>
      </c>
      <c r="AB43" s="1810">
        <f t="shared" si="4"/>
        <v>1</v>
      </c>
      <c r="AC43" s="1810">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9"/>
      <c r="M44" s="1130"/>
      <c r="N44" s="1130"/>
      <c r="O44" s="1138"/>
      <c r="P44" s="3548"/>
      <c r="Q44" s="1809">
        <f t="shared" si="14"/>
        <v>111</v>
      </c>
      <c r="R44" s="771" t="s">
        <v>17</v>
      </c>
      <c r="S44" s="772">
        <f t="shared" si="10"/>
        <v>100</v>
      </c>
      <c r="T44" s="771" t="s">
        <v>17</v>
      </c>
      <c r="U44" s="772">
        <f t="shared" si="11"/>
        <v>100</v>
      </c>
      <c r="V44" s="771" t="s">
        <v>17</v>
      </c>
      <c r="W44" s="772">
        <f t="shared" si="12"/>
        <v>100</v>
      </c>
      <c r="X44" s="1812"/>
      <c r="Y44" s="3548"/>
      <c r="Z44" s="1813">
        <f t="shared" si="13"/>
        <v>111</v>
      </c>
      <c r="AA44" s="1810">
        <f t="shared" si="3"/>
        <v>1</v>
      </c>
      <c r="AB44" s="1810">
        <f t="shared" si="4"/>
        <v>1</v>
      </c>
      <c r="AC44" s="1810">
        <f t="shared" si="5"/>
        <v>1</v>
      </c>
    </row>
    <row r="45" spans="1:29" s="469" customFormat="1" ht="15.6"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7"/>
      <c r="M45" s="1140"/>
      <c r="N45" s="1140"/>
      <c r="O45" s="1141"/>
      <c r="P45" s="3548"/>
      <c r="Q45" s="1809">
        <f t="shared" si="14"/>
        <v>111</v>
      </c>
      <c r="R45" s="774" t="s">
        <v>17</v>
      </c>
      <c r="S45" s="775">
        <f t="shared" si="10"/>
        <v>100</v>
      </c>
      <c r="T45" s="774" t="s">
        <v>17</v>
      </c>
      <c r="U45" s="775">
        <f t="shared" si="11"/>
        <v>100</v>
      </c>
      <c r="V45" s="774" t="s">
        <v>17</v>
      </c>
      <c r="W45" s="775">
        <f t="shared" si="12"/>
        <v>100</v>
      </c>
      <c r="X45" s="776"/>
      <c r="Y45" s="3548"/>
      <c r="Z45" s="777">
        <f t="shared" si="13"/>
        <v>111</v>
      </c>
      <c r="AA45" s="1810">
        <f t="shared" si="3"/>
        <v>1</v>
      </c>
      <c r="AB45" s="1810">
        <f t="shared" si="4"/>
        <v>1</v>
      </c>
      <c r="AC45" s="1810">
        <f t="shared" si="5"/>
        <v>1</v>
      </c>
    </row>
    <row r="46" spans="1:29" ht="14.4">
      <c r="A46" s="477" t="s">
        <v>2719</v>
      </c>
      <c r="B46" s="2702" t="s">
        <v>2755</v>
      </c>
      <c r="C46" s="680" t="s">
        <v>1</v>
      </c>
      <c r="D46" s="479"/>
      <c r="E46" s="480"/>
      <c r="F46" s="481"/>
      <c r="G46" s="482"/>
      <c r="H46" s="483"/>
      <c r="I46" s="480"/>
      <c r="J46" s="483"/>
      <c r="K46" s="780"/>
      <c r="L46" s="1142"/>
      <c r="M46" s="1143"/>
      <c r="N46" s="1130"/>
      <c r="O46" s="1143"/>
      <c r="P46" s="3540" t="str">
        <f>A46</f>
        <v>成交单价</v>
      </c>
      <c r="Q46" s="3540"/>
      <c r="R46" s="3569">
        <f>E46</f>
        <v>0</v>
      </c>
      <c r="S46" s="3569"/>
      <c r="T46" s="3569">
        <f>G46</f>
        <v>0</v>
      </c>
      <c r="U46" s="3569"/>
      <c r="V46" s="3569">
        <f>I46</f>
        <v>0</v>
      </c>
      <c r="W46" s="3569"/>
      <c r="X46" s="756"/>
      <c r="Y46" s="778"/>
      <c r="Z46" s="756"/>
      <c r="AA46" s="756"/>
      <c r="AB46" s="756"/>
      <c r="AC46" s="756"/>
    </row>
    <row r="47" spans="1:29" ht="15" thickBot="1">
      <c r="A47" s="484" t="s">
        <v>2668</v>
      </c>
      <c r="B47" s="681"/>
      <c r="C47" s="488" t="e">
        <f>R48</f>
        <v>#DIV/0!</v>
      </c>
      <c r="D47" s="487"/>
      <c r="E47" s="488" t="e">
        <f>R47</f>
        <v>#DIV/0!</v>
      </c>
      <c r="F47" s="489"/>
      <c r="G47" s="486" t="e">
        <f>T47</f>
        <v>#DIV/0!</v>
      </c>
      <c r="H47" s="487"/>
      <c r="I47" s="488" t="e">
        <f>V47</f>
        <v>#DIV/0!</v>
      </c>
      <c r="J47" s="487"/>
      <c r="K47" s="781"/>
      <c r="L47" s="1142"/>
      <c r="M47" s="1143"/>
      <c r="N47" s="1143"/>
      <c r="O47" s="1143"/>
      <c r="P47" s="3540" t="str">
        <f>A47</f>
        <v>比较价值（元/平方米）</v>
      </c>
      <c r="Q47" s="3540"/>
      <c r="R47" s="3588" t="e">
        <f>ROUND(PRODUCT(R46,AA7:AA45),0)</f>
        <v>#DIV/0!</v>
      </c>
      <c r="S47" s="3588"/>
      <c r="T47" s="3588" t="e">
        <f>ROUND(PRODUCT(T46,AB7:AB45),0)</f>
        <v>#DIV/0!</v>
      </c>
      <c r="U47" s="3588"/>
      <c r="V47" s="3588" t="e">
        <f>ROUND(PRODUCT(V46,AC7:AC45),0)</f>
        <v>#DIV/0!</v>
      </c>
      <c r="W47" s="3588"/>
      <c r="X47" s="756"/>
      <c r="Y47" s="756"/>
      <c r="Z47" s="756"/>
      <c r="AA47" s="756"/>
      <c r="AB47" s="756"/>
      <c r="AC47" s="756"/>
    </row>
    <row r="48" spans="1:29" ht="15" thickBot="1">
      <c r="A48" s="490" t="s">
        <v>2756</v>
      </c>
      <c r="B48" s="491"/>
      <c r="C48" s="492" t="e">
        <f>R48</f>
        <v>#DIV/0!</v>
      </c>
      <c r="D48" s="492"/>
      <c r="E48" s="492"/>
      <c r="F48" s="492"/>
      <c r="G48" s="492"/>
      <c r="H48" s="492"/>
      <c r="I48" s="492"/>
      <c r="J48" s="492"/>
      <c r="K48" s="782"/>
      <c r="L48" s="1142"/>
      <c r="M48" s="1143"/>
      <c r="N48" s="1143"/>
      <c r="O48" s="1143"/>
      <c r="P48" s="3542" t="str">
        <f>A48</f>
        <v>估价对象XX用房的比较价值（楼面单价，元/平方米）</v>
      </c>
      <c r="Q48" s="3543"/>
      <c r="R48" s="3587" t="e">
        <f>ROUND(AVERAGE(R47:V47),0)</f>
        <v>#DIV/0!</v>
      </c>
      <c r="S48" s="3587"/>
      <c r="T48" s="3587"/>
      <c r="U48" s="3587"/>
      <c r="V48" s="3587"/>
      <c r="W48" s="3587"/>
      <c r="X48" s="756"/>
      <c r="Y48" s="756"/>
      <c r="Z48" s="756"/>
      <c r="AA48" s="756"/>
      <c r="AB48" s="756"/>
      <c r="AC48" s="756"/>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5" t="s">
        <v>2670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4"/>
      <c r="L51" s="1105"/>
      <c r="M51" s="1143"/>
      <c r="N51" s="1143"/>
      <c r="O51" s="1143"/>
    </row>
    <row r="52" spans="1:15" ht="13.5" customHeight="1">
      <c r="A52" s="1143"/>
      <c r="B52" s="1143"/>
      <c r="C52" s="495" t="s">
        <v>2671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4"/>
      <c r="L52" s="1105"/>
      <c r="M52" s="1143"/>
      <c r="N52" s="1143"/>
      <c r="O52" s="1143"/>
    </row>
    <row r="53" spans="1:15" s="500" customFormat="1" ht="13.5" customHeight="1">
      <c r="A53" s="1144"/>
      <c r="B53" s="1144"/>
      <c r="C53" s="495" t="s">
        <v>2672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7"/>
      <c r="L53" s="1148"/>
      <c r="M53" s="1144"/>
      <c r="N53" s="1144"/>
      <c r="O53" s="1144"/>
    </row>
    <row r="54" spans="1:15" s="500" customFormat="1" ht="14.4" thickBot="1">
      <c r="A54" s="1144"/>
      <c r="B54" s="1145"/>
      <c r="C54" s="759"/>
      <c r="D54" s="757"/>
      <c r="E54" s="757"/>
      <c r="F54" s="757"/>
      <c r="G54" s="757"/>
      <c r="H54" s="757"/>
      <c r="I54" s="757"/>
      <c r="J54" s="757"/>
      <c r="K54" s="1147"/>
      <c r="L54" s="1148"/>
      <c r="M54" s="1144"/>
      <c r="N54" s="1144"/>
      <c r="O54" s="1144"/>
    </row>
    <row r="55" spans="1:15" ht="27" customHeight="1">
      <c r="A55" s="682" t="s">
        <v>2757</v>
      </c>
      <c r="B55" s="683" t="s">
        <v>2758</v>
      </c>
      <c r="C55" s="2703" t="s">
        <v>2759</v>
      </c>
      <c r="D55" s="2704" t="s">
        <v>2760</v>
      </c>
      <c r="E55" s="684" t="s">
        <v>2761</v>
      </c>
      <c r="F55" s="1106" t="s">
        <v>2762</v>
      </c>
      <c r="G55" s="3553" t="s">
        <v>2763</v>
      </c>
      <c r="H55" s="3581"/>
      <c r="I55" s="142" t="s">
        <v>2764</v>
      </c>
      <c r="J55" s="2705">
        <f>项目基本情况!F35</f>
        <v>0</v>
      </c>
      <c r="K55" s="2706" t="s">
        <v>2765</v>
      </c>
      <c r="L55" s="1105"/>
      <c r="M55" s="1143"/>
      <c r="N55" s="1143"/>
      <c r="O55" s="1143"/>
    </row>
    <row r="56" spans="1:15" s="690" customFormat="1">
      <c r="A56" s="686" t="s">
        <v>2766</v>
      </c>
      <c r="B56" s="687" t="e">
        <f>C48</f>
        <v>#DIV/0!</v>
      </c>
      <c r="C56" s="688">
        <v>1</v>
      </c>
      <c r="D56" s="1162">
        <v>1</v>
      </c>
      <c r="E56" s="688">
        <f>'数据-汇总表'!E8+'数据-汇总表'!E9</f>
        <v>75800.5</v>
      </c>
      <c r="F56" s="1102" t="e">
        <f t="shared" ref="F56:F65" si="15">ROUND(B56*E56/10000,0)</f>
        <v>#DIV/0!</v>
      </c>
      <c r="G56" s="3582"/>
      <c r="H56" s="3540"/>
      <c r="I56" s="1107">
        <v>1</v>
      </c>
      <c r="J56" s="1110">
        <v>1</v>
      </c>
      <c r="K56" s="1144"/>
      <c r="L56" s="940"/>
      <c r="M56" s="940"/>
      <c r="N56" s="940"/>
      <c r="O56" s="940"/>
    </row>
    <row r="57" spans="1:15" s="690" customFormat="1">
      <c r="A57" s="691" t="s">
        <v>2767</v>
      </c>
      <c r="B57" s="260" t="e">
        <f>ROUND($C$48*C57*D57,0)</f>
        <v>#DIV/0!</v>
      </c>
      <c r="C57" s="198">
        <f t="shared" ref="C57:C65" si="16">IF($C$55="北京市系数",I57,J57)</f>
        <v>0</v>
      </c>
      <c r="D57" s="1163">
        <v>0.25</v>
      </c>
      <c r="E57" s="692"/>
      <c r="F57" s="1102" t="e">
        <f t="shared" si="15"/>
        <v>#DIV/0!</v>
      </c>
      <c r="G57" s="3583" t="s">
        <v>2768</v>
      </c>
      <c r="H57" s="1103">
        <f>项目基本情况!B37</f>
        <v>0</v>
      </c>
      <c r="I57" s="1107">
        <f>SUMIF(修正!A45:A56,H57,修正!B45:B56)</f>
        <v>0</v>
      </c>
      <c r="J57" s="1111"/>
      <c r="K57" s="1143"/>
      <c r="L57" s="940"/>
      <c r="M57" s="940"/>
      <c r="N57" s="940"/>
      <c r="O57" s="940"/>
    </row>
    <row r="58" spans="1:15" s="690" customFormat="1">
      <c r="A58" s="691" t="s">
        <v>2769</v>
      </c>
      <c r="B58" s="260" t="e">
        <f t="shared" ref="B58:B65" si="17">ROUND($C$48*C58*D58,0)</f>
        <v>#DIV/0!</v>
      </c>
      <c r="C58" s="198">
        <f t="shared" si="16"/>
        <v>0</v>
      </c>
      <c r="D58" s="1163">
        <v>0.25</v>
      </c>
      <c r="E58" s="692"/>
      <c r="F58" s="1102" t="e">
        <f t="shared" si="15"/>
        <v>#DIV/0!</v>
      </c>
      <c r="G58" s="3583"/>
      <c r="H58" s="1103">
        <f>项目基本情况!B37</f>
        <v>0</v>
      </c>
      <c r="I58" s="1107">
        <f>SUMIF(修正!A45:A56,H58,修正!C45:C56)</f>
        <v>0</v>
      </c>
      <c r="J58" s="1111"/>
      <c r="K58" s="1144"/>
      <c r="L58" s="940"/>
      <c r="M58" s="940"/>
      <c r="N58" s="940"/>
      <c r="O58" s="940"/>
    </row>
    <row r="59" spans="1:15" s="690" customFormat="1">
      <c r="A59" s="691" t="s">
        <v>2770</v>
      </c>
      <c r="B59" s="260" t="e">
        <f t="shared" si="17"/>
        <v>#DIV/0!</v>
      </c>
      <c r="C59" s="198">
        <f t="shared" si="16"/>
        <v>0</v>
      </c>
      <c r="D59" s="1163">
        <v>0.25</v>
      </c>
      <c r="E59" s="692"/>
      <c r="F59" s="1102" t="e">
        <f t="shared" si="15"/>
        <v>#DIV/0!</v>
      </c>
      <c r="G59" s="3583"/>
      <c r="H59" s="1103">
        <f>项目基本情况!B37</f>
        <v>0</v>
      </c>
      <c r="I59" s="1107">
        <f>SUMIF(修正!A45:A56,H59,修正!D45:D56)</f>
        <v>0</v>
      </c>
      <c r="J59" s="1111"/>
      <c r="K59" s="1143"/>
      <c r="L59" s="940"/>
      <c r="M59" s="940"/>
      <c r="N59" s="940"/>
      <c r="O59" s="940"/>
    </row>
    <row r="60" spans="1:15" s="690" customFormat="1">
      <c r="A60" s="691" t="s">
        <v>2771</v>
      </c>
      <c r="B60" s="260" t="e">
        <f t="shared" si="17"/>
        <v>#DIV/0!</v>
      </c>
      <c r="C60" s="198">
        <f t="shared" si="16"/>
        <v>0</v>
      </c>
      <c r="D60" s="1163">
        <v>0.25</v>
      </c>
      <c r="E60" s="692"/>
      <c r="F60" s="1102" t="e">
        <f t="shared" si="15"/>
        <v>#DIV/0!</v>
      </c>
      <c r="G60" s="3583"/>
      <c r="H60" s="1103">
        <f>项目基本情况!B37</f>
        <v>0</v>
      </c>
      <c r="I60" s="1107">
        <f>SUMIF(修正!A45:A56,H60,修正!E45:E56)</f>
        <v>0</v>
      </c>
      <c r="J60" s="1111"/>
      <c r="K60" s="1144"/>
      <c r="L60" s="940"/>
      <c r="M60" s="940"/>
      <c r="N60" s="940"/>
      <c r="O60" s="940"/>
    </row>
    <row r="61" spans="1:15" s="690" customFormat="1">
      <c r="A61" s="691" t="s">
        <v>2772</v>
      </c>
      <c r="B61" s="260" t="e">
        <f t="shared" si="17"/>
        <v>#DIV/0!</v>
      </c>
      <c r="C61" s="198">
        <f t="shared" si="16"/>
        <v>0</v>
      </c>
      <c r="D61" s="1163">
        <v>0.25</v>
      </c>
      <c r="E61" s="259">
        <f>'数据-汇总表'!E11</f>
        <v>0</v>
      </c>
      <c r="F61" s="1102" t="e">
        <f t="shared" si="15"/>
        <v>#DIV/0!</v>
      </c>
      <c r="G61" s="2707" t="s">
        <v>2773</v>
      </c>
      <c r="H61" s="1103">
        <f>项目基本情况!C37</f>
        <v>0</v>
      </c>
      <c r="I61" s="1107">
        <f>SUMIF(修正!A45:A56,H61,修正!F45:F56)</f>
        <v>0</v>
      </c>
      <c r="J61" s="1111"/>
      <c r="K61" s="1143"/>
      <c r="L61" s="940"/>
      <c r="M61" s="940"/>
      <c r="N61" s="940"/>
      <c r="O61" s="940"/>
    </row>
    <row r="62" spans="1:15" s="690" customFormat="1">
      <c r="A62" s="691" t="s">
        <v>2774</v>
      </c>
      <c r="B62" s="260" t="e">
        <f t="shared" si="17"/>
        <v>#DIV/0!</v>
      </c>
      <c r="C62" s="198">
        <f t="shared" si="16"/>
        <v>0</v>
      </c>
      <c r="D62" s="1163">
        <v>0.25</v>
      </c>
      <c r="E62" s="259">
        <f>'数据-汇总表'!E12</f>
        <v>8295.2800000000007</v>
      </c>
      <c r="F62" s="1102" t="e">
        <f t="shared" si="15"/>
        <v>#DIV/0!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0" customFormat="1">
      <c r="A63" s="691" t="s">
        <v>2776</v>
      </c>
      <c r="B63" s="260" t="e">
        <f t="shared" si="17"/>
        <v>#DIV/0!</v>
      </c>
      <c r="C63" s="198">
        <f t="shared" si="16"/>
        <v>0</v>
      </c>
      <c r="D63" s="1163">
        <v>0.25</v>
      </c>
      <c r="E63" s="259">
        <f>'数据-汇总表'!E13</f>
        <v>12648.5</v>
      </c>
      <c r="F63" s="1102" t="e">
        <f t="shared" si="15"/>
        <v>#DIV/0!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0" customFormat="1">
      <c r="A64" s="691" t="s">
        <v>2778</v>
      </c>
      <c r="B64" s="260" t="e">
        <f t="shared" si="17"/>
        <v>#DIV/0!</v>
      </c>
      <c r="C64" s="198">
        <f t="shared" si="16"/>
        <v>0</v>
      </c>
      <c r="D64" s="1163">
        <v>0.25</v>
      </c>
      <c r="E64" s="259">
        <f>'数据-汇总表'!E14</f>
        <v>0</v>
      </c>
      <c r="F64" s="1102" t="e">
        <f t="shared" si="15"/>
        <v>#DIV/0!</v>
      </c>
      <c r="G64" s="2707" t="s">
        <v>2768</v>
      </c>
      <c r="H64" s="1103">
        <f>项目基本情况!B37</f>
        <v>0</v>
      </c>
      <c r="I64" s="1107">
        <f>SUMIF(修正!A45:A56,H64,修正!H45:H56)</f>
        <v>0</v>
      </c>
      <c r="J64" s="1111"/>
      <c r="K64" s="1144"/>
      <c r="L64" s="940"/>
      <c r="M64" s="940"/>
      <c r="N64" s="940"/>
      <c r="O64" s="940"/>
    </row>
    <row r="65" spans="1:17" s="690" customFormat="1" ht="14.4" thickBot="1">
      <c r="A65" s="691" t="s">
        <v>2779</v>
      </c>
      <c r="B65" s="260" t="e">
        <f t="shared" si="17"/>
        <v>#DIV/0!</v>
      </c>
      <c r="C65" s="198">
        <f t="shared" si="16"/>
        <v>0</v>
      </c>
      <c r="D65" s="1163">
        <v>0.25</v>
      </c>
      <c r="E65" s="259">
        <f>'数据-汇总表'!E15</f>
        <v>0</v>
      </c>
      <c r="F65" s="1102" t="e">
        <f t="shared" si="15"/>
        <v>#DIV/0!</v>
      </c>
      <c r="G65" s="2708" t="s">
        <v>2773</v>
      </c>
      <c r="H65" s="1113">
        <f>项目基本情况!C37</f>
        <v>0</v>
      </c>
      <c r="I65" s="1109">
        <f>SUMIF(修正!A45:A56,H65,修正!H45:H56)</f>
        <v>0</v>
      </c>
      <c r="J65" s="1112"/>
      <c r="K65" s="1143"/>
      <c r="L65" s="940"/>
      <c r="M65" s="940"/>
      <c r="N65" s="940"/>
      <c r="O65" s="940"/>
    </row>
    <row r="66" spans="1:17" s="690" customFormat="1" thickBot="1">
      <c r="A66" s="693" t="s">
        <v>2780</v>
      </c>
      <c r="B66" s="694" t="s">
        <v>28</v>
      </c>
      <c r="C66" s="694" t="s">
        <v>29</v>
      </c>
      <c r="D66" s="694" t="s">
        <v>1029</v>
      </c>
      <c r="E66" s="694">
        <f>IF(B46="楼面地价",SUM(E56:E65),'数据-汇总表'!D3)</f>
        <v>96744.28</v>
      </c>
      <c r="F66" s="695" t="e">
        <f>IF(B46="楼面地价",SUM(F56:F65),ROUND(C48*E66/10000,0))</f>
        <v>#DIV/0!</v>
      </c>
      <c r="G66" s="784"/>
      <c r="H66" s="784"/>
      <c r="I66" s="784"/>
      <c r="J66" s="784"/>
      <c r="K66" s="1157"/>
      <c r="L66" s="940"/>
      <c r="M66" s="940"/>
      <c r="N66" s="940"/>
      <c r="O66" s="940"/>
    </row>
    <row r="67" spans="1:17">
      <c r="A67" s="756"/>
      <c r="B67" s="758"/>
      <c r="C67" s="759"/>
      <c r="D67" s="756"/>
      <c r="E67" s="756"/>
      <c r="F67" s="756"/>
      <c r="G67" s="756"/>
      <c r="H67" s="756"/>
      <c r="I67" s="756"/>
      <c r="J67" s="1143"/>
      <c r="K67" s="1104"/>
      <c r="L67" s="1105"/>
      <c r="M67" s="1143"/>
      <c r="N67" s="1143"/>
      <c r="O67" s="1143"/>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2.2" thickBot="1">
      <c r="A69" s="760" t="s">
        <v>2673</v>
      </c>
      <c r="B69" s="756"/>
      <c r="C69" s="761"/>
      <c r="D69" s="761"/>
      <c r="E69" s="761"/>
      <c r="F69" s="762"/>
      <c r="G69" s="762"/>
      <c r="H69" s="761"/>
      <c r="I69" s="761"/>
      <c r="J69" s="1158"/>
      <c r="K69" s="1159"/>
      <c r="L69" s="1160"/>
      <c r="M69" s="1158"/>
      <c r="N69" s="1158"/>
      <c r="O69" s="1158"/>
      <c r="P69" s="501"/>
      <c r="Q69" s="502"/>
    </row>
    <row r="70" spans="1:17" s="506" customFormat="1" ht="14.4">
      <c r="A70" s="2709" t="s">
        <v>2781</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5"/>
    </row>
    <row r="71" spans="1:17" s="115" customFormat="1" ht="30" customHeight="1">
      <c r="A71" s="2710" t="s">
        <v>2782</v>
      </c>
      <c r="B71" s="330" t="str">
        <f>"北京市平均增长率"&amp;TEXT(SUMIF(基准地价修正!N21:N25,A71,基准地价修正!P21:P25),"0.00%")</f>
        <v>北京市平均增长率0.00%</v>
      </c>
      <c r="C71" s="601">
        <v>100</v>
      </c>
      <c r="D71" s="593"/>
      <c r="E71" s="593"/>
      <c r="F71" s="593"/>
      <c r="G71" s="593"/>
      <c r="H71" s="593"/>
      <c r="I71" s="593"/>
      <c r="J71" s="593"/>
      <c r="K71" s="593"/>
      <c r="L71" s="593"/>
      <c r="M71" s="1566"/>
      <c r="N71" s="593"/>
      <c r="O71" s="1567"/>
      <c r="P71" s="502"/>
    </row>
    <row r="72" spans="1:17" s="115" customFormat="1" ht="15" thickBot="1">
      <c r="A72" s="513" t="s">
        <v>2584</v>
      </c>
      <c r="B72" s="514"/>
      <c r="C72" s="515"/>
      <c r="D72" s="516"/>
      <c r="E72" s="516"/>
      <c r="F72" s="516"/>
      <c r="G72" s="516"/>
      <c r="H72" s="516"/>
      <c r="I72" s="516"/>
      <c r="J72" s="516"/>
      <c r="K72" s="516"/>
      <c r="L72" s="516"/>
      <c r="M72" s="517"/>
      <c r="N72" s="516"/>
      <c r="O72" s="1161"/>
      <c r="P72" s="502"/>
      <c r="Q72" s="502"/>
    </row>
    <row r="73" spans="1:17" s="115" customFormat="1" ht="14.4">
      <c r="A73" s="519" t="s">
        <v>2549</v>
      </c>
      <c r="B73" s="508"/>
      <c r="C73" s="520" t="s">
        <v>2651</v>
      </c>
      <c r="D73" s="521"/>
      <c r="E73" s="521"/>
      <c r="F73" s="521"/>
      <c r="G73" s="521"/>
      <c r="H73" s="521"/>
      <c r="I73" s="521"/>
      <c r="J73" s="521"/>
      <c r="K73" s="521"/>
      <c r="L73" s="522"/>
      <c r="M73" s="523"/>
      <c r="N73" s="1150"/>
      <c r="O73" s="1150"/>
      <c r="P73" s="524"/>
      <c r="Q73" s="502"/>
    </row>
    <row r="74" spans="1:17" s="115" customFormat="1" ht="14.4" thickBot="1">
      <c r="A74" s="519"/>
      <c r="B74" s="508"/>
      <c r="C74" s="637">
        <v>100</v>
      </c>
      <c r="D74" s="510"/>
      <c r="E74" s="510"/>
      <c r="F74" s="510"/>
      <c r="G74" s="510"/>
      <c r="H74" s="510"/>
      <c r="I74" s="510"/>
      <c r="J74" s="510"/>
      <c r="K74" s="510"/>
      <c r="L74" s="510"/>
      <c r="M74" s="512"/>
      <c r="N74" s="1150"/>
      <c r="O74" s="1150"/>
      <c r="P74" s="502"/>
      <c r="Q74" s="502"/>
    </row>
    <row r="75" spans="1:17" ht="14.4">
      <c r="A75" s="525" t="s">
        <v>2587</v>
      </c>
      <c r="B75" s="526" t="s">
        <v>2553</v>
      </c>
      <c r="C75" s="528"/>
      <c r="D75" s="528"/>
      <c r="E75" s="528"/>
      <c r="F75" s="528"/>
      <c r="G75" s="528"/>
      <c r="H75" s="528"/>
      <c r="I75" s="528"/>
      <c r="J75" s="528"/>
      <c r="K75" s="529"/>
      <c r="L75" s="530"/>
      <c r="M75" s="531"/>
      <c r="N75" s="1151"/>
      <c r="O75" s="1151"/>
      <c r="P75" s="44"/>
      <c r="Q75" s="502"/>
    </row>
    <row r="76" spans="1:17" ht="14.4" thickBot="1">
      <c r="A76" s="532"/>
      <c r="B76" s="533"/>
      <c r="C76" s="534"/>
      <c r="D76" s="534"/>
      <c r="E76" s="534"/>
      <c r="F76" s="534"/>
      <c r="G76" s="534"/>
      <c r="H76" s="534"/>
      <c r="I76" s="534"/>
      <c r="J76" s="534"/>
      <c r="K76" s="534"/>
      <c r="L76" s="534"/>
      <c r="M76" s="535"/>
      <c r="N76" s="1152"/>
      <c r="O76" s="1152"/>
      <c r="P76" s="44"/>
      <c r="Q76" s="502"/>
    </row>
    <row r="77" spans="1:17" ht="29.4" thickTop="1">
      <c r="A77" s="532"/>
      <c r="B77" s="536" t="s">
        <v>2556</v>
      </c>
      <c r="C77" s="537"/>
      <c r="D77" s="537"/>
      <c r="E77" s="537"/>
      <c r="F77" s="537"/>
      <c r="G77" s="537"/>
      <c r="H77" s="537"/>
      <c r="I77" s="537"/>
      <c r="J77" s="537"/>
      <c r="K77" s="538"/>
      <c r="L77" s="539"/>
      <c r="M77" s="540"/>
      <c r="N77" s="1151"/>
      <c r="O77" s="1151"/>
      <c r="P77" s="44"/>
      <c r="Q77" s="502"/>
    </row>
    <row r="78" spans="1:17" ht="14.4" thickBot="1">
      <c r="A78" s="532"/>
      <c r="B78" s="541"/>
      <c r="C78" s="542"/>
      <c r="D78" s="542"/>
      <c r="E78" s="542"/>
      <c r="F78" s="542"/>
      <c r="G78" s="542"/>
      <c r="H78" s="542"/>
      <c r="I78" s="542"/>
      <c r="J78" s="542"/>
      <c r="K78" s="542"/>
      <c r="L78" s="542"/>
      <c r="M78" s="543"/>
      <c r="N78" s="1152"/>
      <c r="O78" s="1152"/>
      <c r="P78" s="44"/>
      <c r="Q78" s="502"/>
    </row>
    <row r="79" spans="1:17" ht="15" thickTop="1">
      <c r="A79" s="532"/>
      <c r="B79" s="544" t="s">
        <v>2557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2"/>
      <c r="O79" s="1152"/>
      <c r="P79" s="44"/>
      <c r="Q79" s="502"/>
    </row>
    <row r="80" spans="1:17">
      <c r="A80" s="532"/>
      <c r="B80" s="546"/>
      <c r="C80" s="547"/>
      <c r="D80" s="547"/>
      <c r="E80" s="547"/>
      <c r="F80" s="547"/>
      <c r="G80" s="547"/>
      <c r="H80" s="547"/>
      <c r="I80" s="547"/>
      <c r="J80" s="547"/>
      <c r="K80" s="548"/>
      <c r="L80" s="549"/>
      <c r="M80" s="550"/>
      <c r="N80" s="1151"/>
      <c r="O80" s="1151"/>
      <c r="P80" s="44"/>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2"/>
      <c r="O81" s="1152"/>
      <c r="P81" s="44"/>
      <c r="Q81" s="502"/>
    </row>
    <row r="82" spans="1:17" s="469" customFormat="1" ht="14.4" thickTop="1">
      <c r="A82" s="551"/>
      <c r="B82" s="536" t="str">
        <f>B12</f>
        <v>配建</v>
      </c>
      <c r="C82" s="552"/>
      <c r="D82" s="552"/>
      <c r="E82" s="552"/>
      <c r="F82" s="552"/>
      <c r="G82" s="552"/>
      <c r="H82" s="553"/>
      <c r="I82" s="553"/>
      <c r="J82" s="553"/>
      <c r="K82" s="553"/>
      <c r="L82" s="554"/>
      <c r="M82" s="555"/>
      <c r="N82" s="1153"/>
      <c r="O82" s="1153"/>
      <c r="P82" s="556"/>
      <c r="Q82" s="557"/>
    </row>
    <row r="83" spans="1:17" s="469" customFormat="1" ht="14.4" thickBot="1">
      <c r="A83" s="551"/>
      <c r="B83" s="541"/>
      <c r="C83" s="558"/>
      <c r="D83" s="534"/>
      <c r="E83" s="534"/>
      <c r="F83" s="534"/>
      <c r="G83" s="534"/>
      <c r="H83" s="534"/>
      <c r="I83" s="534"/>
      <c r="J83" s="534"/>
      <c r="K83" s="534"/>
      <c r="L83" s="534"/>
      <c r="M83" s="535"/>
      <c r="N83" s="1152"/>
      <c r="O83" s="1152"/>
      <c r="P83" s="556"/>
      <c r="Q83" s="557"/>
    </row>
    <row r="84" spans="1:17" s="469" customFormat="1" ht="14.4" thickTop="1">
      <c r="A84" s="551"/>
      <c r="B84" s="536">
        <f>B13</f>
        <v>111</v>
      </c>
      <c r="C84" s="552"/>
      <c r="D84" s="552"/>
      <c r="E84" s="552"/>
      <c r="F84" s="552"/>
      <c r="G84" s="552"/>
      <c r="H84" s="553"/>
      <c r="I84" s="553"/>
      <c r="J84" s="553"/>
      <c r="K84" s="553"/>
      <c r="L84" s="554"/>
      <c r="M84" s="555"/>
      <c r="N84" s="1153"/>
      <c r="O84" s="1153"/>
      <c r="P84" s="468"/>
      <c r="Q84" s="559"/>
    </row>
    <row r="85" spans="1:17" s="469" customFormat="1" ht="14.4" thickBot="1">
      <c r="A85" s="551"/>
      <c r="B85" s="541"/>
      <c r="C85" s="558"/>
      <c r="D85" s="558"/>
      <c r="E85" s="558"/>
      <c r="F85" s="558"/>
      <c r="G85" s="558"/>
      <c r="H85" s="560"/>
      <c r="I85" s="560"/>
      <c r="J85" s="560"/>
      <c r="K85" s="560"/>
      <c r="L85" s="560"/>
      <c r="M85" s="561"/>
      <c r="N85" s="1153"/>
      <c r="O85" s="1153"/>
      <c r="P85" s="556"/>
      <c r="Q85" s="557"/>
    </row>
    <row r="86" spans="1:17" s="469" customFormat="1" ht="14.4" thickTop="1">
      <c r="A86" s="551"/>
      <c r="B86" s="544">
        <f>B14</f>
        <v>111</v>
      </c>
      <c r="C86" s="521"/>
      <c r="D86" s="521"/>
      <c r="E86" s="521"/>
      <c r="F86" s="521"/>
      <c r="G86" s="521"/>
      <c r="H86" s="562"/>
      <c r="I86" s="562"/>
      <c r="J86" s="562"/>
      <c r="K86" s="562"/>
      <c r="L86" s="563"/>
      <c r="M86" s="564"/>
      <c r="N86" s="1153"/>
      <c r="O86" s="1153"/>
      <c r="P86" s="565"/>
      <c r="Q86" s="557"/>
    </row>
    <row r="87" spans="1:17" s="469" customFormat="1" ht="14.4" thickBot="1">
      <c r="A87" s="566"/>
      <c r="B87" s="567"/>
      <c r="C87" s="568"/>
      <c r="D87" s="568"/>
      <c r="E87" s="568"/>
      <c r="F87" s="568"/>
      <c r="G87" s="568"/>
      <c r="H87" s="569"/>
      <c r="I87" s="569"/>
      <c r="J87" s="569"/>
      <c r="K87" s="569"/>
      <c r="L87" s="569"/>
      <c r="M87" s="570"/>
      <c r="N87" s="1153"/>
      <c r="O87" s="1153"/>
      <c r="P87" s="556"/>
      <c r="Q87" s="557"/>
    </row>
    <row r="88" spans="1:17" ht="14.4">
      <c r="A88" s="525" t="s">
        <v>2558</v>
      </c>
      <c r="B88" s="526" t="s">
        <v>2595</v>
      </c>
      <c r="C88" s="571" t="s">
        <v>2596</v>
      </c>
      <c r="D88" s="571" t="s">
        <v>2597</v>
      </c>
      <c r="E88" s="571" t="s">
        <v>2598</v>
      </c>
      <c r="F88" s="571" t="s">
        <v>2599</v>
      </c>
      <c r="G88" s="571" t="s">
        <v>2600</v>
      </c>
      <c r="H88" s="527"/>
      <c r="I88" s="527"/>
      <c r="J88" s="527"/>
      <c r="K88" s="572"/>
      <c r="L88" s="573"/>
      <c r="M88" s="574"/>
      <c r="N88" s="1151"/>
      <c r="O88" s="1151"/>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2"/>
      <c r="O89" s="1152"/>
      <c r="P89" s="44"/>
      <c r="Q89" s="502"/>
    </row>
    <row r="90" spans="1:17" ht="15" thickTop="1">
      <c r="A90" s="532"/>
      <c r="B90" s="536" t="s">
        <v>2783</v>
      </c>
      <c r="C90" s="576" t="s">
        <v>2596</v>
      </c>
      <c r="D90" s="576" t="s">
        <v>2597</v>
      </c>
      <c r="E90" s="576" t="s">
        <v>2598</v>
      </c>
      <c r="F90" s="576" t="s">
        <v>2599</v>
      </c>
      <c r="G90" s="576" t="s">
        <v>2600</v>
      </c>
      <c r="H90" s="537"/>
      <c r="I90" s="537"/>
      <c r="J90" s="537"/>
      <c r="K90" s="538"/>
      <c r="L90" s="539"/>
      <c r="M90" s="540"/>
      <c r="N90" s="1151"/>
      <c r="O90" s="1151"/>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2"/>
      <c r="O91" s="1152"/>
      <c r="P91" s="44"/>
      <c r="Q91" s="502"/>
    </row>
    <row r="92" spans="1:17" ht="15" thickTop="1">
      <c r="A92" s="532"/>
      <c r="B92" s="536" t="s">
        <v>2696</v>
      </c>
      <c r="C92" s="576" t="s">
        <v>2596</v>
      </c>
      <c r="D92" s="576" t="s">
        <v>2597</v>
      </c>
      <c r="E92" s="576" t="s">
        <v>2598</v>
      </c>
      <c r="F92" s="576" t="s">
        <v>2599</v>
      </c>
      <c r="G92" s="576" t="s">
        <v>2600</v>
      </c>
      <c r="H92" s="537"/>
      <c r="I92" s="537"/>
      <c r="J92" s="537"/>
      <c r="K92" s="538"/>
      <c r="L92" s="539"/>
      <c r="M92" s="540"/>
      <c r="N92" s="1151"/>
      <c r="O92" s="1151"/>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2"/>
      <c r="O93" s="1152"/>
      <c r="P93" s="44"/>
      <c r="Q93" s="502"/>
    </row>
    <row r="94" spans="1:17" ht="15" thickTop="1">
      <c r="A94" s="532"/>
      <c r="B94" s="536" t="s">
        <v>2601</v>
      </c>
      <c r="C94" s="576" t="s">
        <v>2596</v>
      </c>
      <c r="D94" s="576" t="s">
        <v>2597</v>
      </c>
      <c r="E94" s="576" t="s">
        <v>2598</v>
      </c>
      <c r="F94" s="576" t="s">
        <v>2599</v>
      </c>
      <c r="G94" s="576" t="s">
        <v>2600</v>
      </c>
      <c r="H94" s="537"/>
      <c r="I94" s="537"/>
      <c r="J94" s="537"/>
      <c r="K94" s="538"/>
      <c r="L94" s="539"/>
      <c r="M94" s="540"/>
      <c r="N94" s="1151"/>
      <c r="O94" s="1151"/>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2"/>
      <c r="O95" s="1152"/>
      <c r="P95" s="44"/>
      <c r="Q95" s="502"/>
    </row>
    <row r="96" spans="1:17" s="115" customFormat="1" ht="29.4" thickTop="1">
      <c r="A96" s="577"/>
      <c r="B96" s="536" t="s">
        <v>2784</v>
      </c>
      <c r="C96" s="576" t="s">
        <v>2596</v>
      </c>
      <c r="D96" s="576" t="s">
        <v>2597</v>
      </c>
      <c r="E96" s="576" t="s">
        <v>2598</v>
      </c>
      <c r="F96" s="576" t="s">
        <v>2599</v>
      </c>
      <c r="G96" s="576" t="s">
        <v>2600</v>
      </c>
      <c r="H96" s="576"/>
      <c r="I96" s="576"/>
      <c r="J96" s="576"/>
      <c r="K96" s="576"/>
      <c r="L96" s="696"/>
      <c r="M96" s="620"/>
      <c r="N96" s="1150"/>
      <c r="O96" s="1150"/>
      <c r="P96" s="44"/>
      <c r="Q96" s="502"/>
    </row>
    <row r="97" spans="1:17" s="115" customFormat="1" ht="14.4" thickBot="1">
      <c r="A97" s="577"/>
      <c r="B97" s="541"/>
      <c r="C97" s="580">
        <v>100</v>
      </c>
      <c r="D97" s="542">
        <f>C97-$K23</f>
        <v>100</v>
      </c>
      <c r="E97" s="542">
        <f>D97-$K23</f>
        <v>100</v>
      </c>
      <c r="F97" s="542">
        <f>E97-$K23</f>
        <v>100</v>
      </c>
      <c r="G97" s="542">
        <f>F97-$K23</f>
        <v>100</v>
      </c>
      <c r="H97" s="542"/>
      <c r="I97" s="542"/>
      <c r="J97" s="542"/>
      <c r="K97" s="542"/>
      <c r="L97" s="542"/>
      <c r="M97" s="543"/>
      <c r="N97" s="1152"/>
      <c r="O97" s="1152"/>
      <c r="P97" s="44"/>
      <c r="Q97" s="502"/>
    </row>
    <row r="98" spans="1:17" s="115" customFormat="1" ht="29.4" thickTop="1">
      <c r="A98" s="577"/>
      <c r="B98" s="536" t="s">
        <v>2785</v>
      </c>
      <c r="C98" s="571" t="s">
        <v>2596</v>
      </c>
      <c r="D98" s="571" t="s">
        <v>2597</v>
      </c>
      <c r="E98" s="571" t="s">
        <v>2598</v>
      </c>
      <c r="F98" s="571" t="s">
        <v>2599</v>
      </c>
      <c r="G98" s="571" t="s">
        <v>2600</v>
      </c>
      <c r="H98" s="576"/>
      <c r="I98" s="576"/>
      <c r="J98" s="576"/>
      <c r="K98" s="576"/>
      <c r="L98" s="576"/>
      <c r="M98" s="620"/>
      <c r="N98" s="1150"/>
      <c r="O98" s="1150"/>
      <c r="P98" s="44"/>
      <c r="Q98" s="502"/>
    </row>
    <row r="99" spans="1:17" s="115" customFormat="1" ht="14.4" thickBot="1">
      <c r="A99" s="577"/>
      <c r="B99" s="541"/>
      <c r="C99" s="542">
        <v>100</v>
      </c>
      <c r="D99" s="542">
        <f>C99-$K25</f>
        <v>100</v>
      </c>
      <c r="E99" s="542">
        <f>D99-$K25</f>
        <v>100</v>
      </c>
      <c r="F99" s="542">
        <f>E99-$K25</f>
        <v>100</v>
      </c>
      <c r="G99" s="542">
        <f>F99-$K25</f>
        <v>100</v>
      </c>
      <c r="H99" s="542"/>
      <c r="I99" s="542"/>
      <c r="J99" s="542"/>
      <c r="K99" s="542"/>
      <c r="L99" s="542"/>
      <c r="M99" s="543"/>
      <c r="N99" s="1152"/>
      <c r="O99" s="1152"/>
      <c r="P99" s="44"/>
      <c r="Q99" s="502"/>
    </row>
    <row r="100" spans="1:17" s="469" customFormat="1" ht="15" thickTop="1">
      <c r="A100" s="551"/>
      <c r="B100" s="536" t="s">
        <v>2653</v>
      </c>
      <c r="C100" s="571" t="s">
        <v>2596</v>
      </c>
      <c r="D100" s="571" t="s">
        <v>2597</v>
      </c>
      <c r="E100" s="571" t="s">
        <v>2598</v>
      </c>
      <c r="F100" s="571" t="s">
        <v>2599</v>
      </c>
      <c r="G100" s="571" t="s">
        <v>2600</v>
      </c>
      <c r="H100" s="598"/>
      <c r="I100" s="598"/>
      <c r="J100" s="598"/>
      <c r="K100" s="598"/>
      <c r="L100" s="599"/>
      <c r="M100" s="600"/>
      <c r="N100" s="1153"/>
      <c r="O100" s="1153"/>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3"/>
      <c r="O101" s="1153"/>
      <c r="P101" s="556"/>
      <c r="Q101" s="557"/>
    </row>
    <row r="102" spans="1:17" s="469" customFormat="1" ht="15" thickTop="1">
      <c r="A102" s="551"/>
      <c r="B102" s="544" t="s">
        <v>2654</v>
      </c>
      <c r="C102" s="658" t="s">
        <v>2674</v>
      </c>
      <c r="D102" s="658" t="s">
        <v>2675</v>
      </c>
      <c r="E102" s="658" t="s">
        <v>2676</v>
      </c>
      <c r="F102" s="658" t="s">
        <v>2677</v>
      </c>
      <c r="G102" s="658" t="s">
        <v>2678</v>
      </c>
      <c r="H102" s="598"/>
      <c r="I102" s="598"/>
      <c r="J102" s="598"/>
      <c r="K102" s="598"/>
      <c r="L102" s="598"/>
      <c r="M102" s="1384"/>
      <c r="N102" s="1153"/>
      <c r="O102" s="1153"/>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4"/>
      <c r="N103" s="1153"/>
      <c r="O103" s="1153"/>
      <c r="P103" s="556"/>
      <c r="Q103" s="557"/>
    </row>
    <row r="104" spans="1:17" ht="15" thickTop="1">
      <c r="A104" s="532"/>
      <c r="B104" s="536" t="str">
        <f>B31</f>
        <v>临街状况</v>
      </c>
      <c r="C104" s="537" t="s">
        <v>2786</v>
      </c>
      <c r="D104" s="537" t="s">
        <v>2787</v>
      </c>
      <c r="E104" s="537" t="s">
        <v>2788</v>
      </c>
      <c r="F104" s="537" t="s">
        <v>2789</v>
      </c>
      <c r="G104" s="537"/>
      <c r="H104" s="537"/>
      <c r="I104" s="537"/>
      <c r="J104" s="537"/>
      <c r="K104" s="538"/>
      <c r="L104" s="539"/>
      <c r="M104" s="540"/>
      <c r="N104" s="1151"/>
      <c r="O104" s="1151"/>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2"/>
      <c r="O105" s="1152"/>
      <c r="P105" s="44"/>
      <c r="Q105" s="502"/>
    </row>
    <row r="106" spans="1:17" ht="29.4" thickTop="1">
      <c r="A106" s="532"/>
      <c r="B106" s="536" t="s">
        <v>2690</v>
      </c>
      <c r="C106" s="552"/>
      <c r="D106" s="552"/>
      <c r="E106" s="552"/>
      <c r="F106" s="552"/>
      <c r="G106" s="552"/>
      <c r="H106" s="581"/>
      <c r="I106" s="581"/>
      <c r="J106" s="581"/>
      <c r="K106" s="582"/>
      <c r="L106" s="583"/>
      <c r="M106" s="584"/>
      <c r="N106" s="1151"/>
      <c r="O106" s="1151"/>
      <c r="P106" s="44"/>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2"/>
      <c r="O107" s="1152"/>
      <c r="P107" s="44"/>
      <c r="Q107" s="502"/>
    </row>
    <row r="108" spans="1:17" ht="15" thickTop="1">
      <c r="A108" s="532"/>
      <c r="B108" s="536" t="s">
        <v>2749</v>
      </c>
      <c r="C108" s="581"/>
      <c r="D108" s="581"/>
      <c r="E108" s="581"/>
      <c r="F108" s="581"/>
      <c r="G108" s="581"/>
      <c r="H108" s="581"/>
      <c r="I108" s="581"/>
      <c r="J108" s="581"/>
      <c r="K108" s="582"/>
      <c r="L108" s="583"/>
      <c r="M108" s="584"/>
      <c r="N108" s="1151"/>
      <c r="O108" s="1151"/>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2"/>
      <c r="O109" s="1152"/>
      <c r="P109" s="44"/>
      <c r="Q109" s="502"/>
    </row>
    <row r="110" spans="1:17" ht="14.4" thickTop="1">
      <c r="A110" s="532"/>
      <c r="B110" s="544">
        <f>B35</f>
        <v>111</v>
      </c>
      <c r="C110" s="552"/>
      <c r="D110" s="552"/>
      <c r="E110" s="552"/>
      <c r="F110" s="552"/>
      <c r="G110" s="585"/>
      <c r="H110" s="585"/>
      <c r="I110" s="585"/>
      <c r="J110" s="585"/>
      <c r="K110" s="586"/>
      <c r="L110" s="587"/>
      <c r="M110" s="588"/>
      <c r="N110" s="1151"/>
      <c r="O110" s="1151"/>
      <c r="P110" s="44"/>
      <c r="Q110" s="502"/>
    </row>
    <row r="111" spans="1:17" ht="14.4" thickBot="1">
      <c r="A111" s="532"/>
      <c r="B111" s="567"/>
      <c r="C111" s="558"/>
      <c r="D111" s="558"/>
      <c r="E111" s="558"/>
      <c r="F111" s="558"/>
      <c r="G111" s="589"/>
      <c r="H111" s="589"/>
      <c r="I111" s="589"/>
      <c r="J111" s="589"/>
      <c r="K111" s="589"/>
      <c r="L111" s="589"/>
      <c r="M111" s="590"/>
      <c r="N111" s="1152"/>
      <c r="O111" s="1152"/>
      <c r="P111" s="44"/>
      <c r="Q111" s="502"/>
    </row>
    <row r="112" spans="1:17" ht="14.4" thickTop="1">
      <c r="A112" s="673"/>
      <c r="B112" s="536">
        <f>B36</f>
        <v>111</v>
      </c>
      <c r="C112" s="521"/>
      <c r="D112" s="521"/>
      <c r="E112" s="521"/>
      <c r="F112" s="521"/>
      <c r="G112" s="581"/>
      <c r="H112" s="581"/>
      <c r="I112" s="581"/>
      <c r="J112" s="581"/>
      <c r="K112" s="582"/>
      <c r="L112" s="583"/>
      <c r="M112" s="584"/>
      <c r="N112" s="1151"/>
      <c r="O112" s="1151"/>
      <c r="P112" s="44"/>
      <c r="Q112" s="502"/>
    </row>
    <row r="113" spans="1:17" ht="14.4" thickBot="1">
      <c r="A113" s="532"/>
      <c r="B113" s="541"/>
      <c r="C113" s="568"/>
      <c r="D113" s="568"/>
      <c r="E113" s="568"/>
      <c r="F113" s="568"/>
      <c r="G113" s="534"/>
      <c r="H113" s="534"/>
      <c r="I113" s="534"/>
      <c r="J113" s="534"/>
      <c r="K113" s="534"/>
      <c r="L113" s="534"/>
      <c r="M113" s="535"/>
      <c r="N113" s="1152"/>
      <c r="O113" s="1152"/>
      <c r="P113" s="44"/>
      <c r="Q113" s="502"/>
    </row>
    <row r="114" spans="1:17" s="469" customFormat="1" ht="14.4" thickTop="1">
      <c r="A114" s="591"/>
      <c r="B114" s="592">
        <f>B37</f>
        <v>111</v>
      </c>
      <c r="C114" s="593"/>
      <c r="D114" s="593"/>
      <c r="E114" s="593"/>
      <c r="F114" s="593"/>
      <c r="G114" s="593"/>
      <c r="H114" s="593"/>
      <c r="I114" s="593"/>
      <c r="J114" s="594"/>
      <c r="K114" s="594"/>
      <c r="L114" s="595"/>
      <c r="M114" s="596"/>
      <c r="N114" s="1153"/>
      <c r="O114" s="1153"/>
      <c r="P114" s="556"/>
      <c r="Q114" s="557"/>
    </row>
    <row r="115" spans="1:17" s="469" customFormat="1" ht="14.4" thickBot="1">
      <c r="A115" s="551"/>
      <c r="B115" s="544"/>
      <c r="C115" s="510"/>
      <c r="D115" s="675"/>
      <c r="E115" s="675"/>
      <c r="F115" s="675"/>
      <c r="G115" s="675"/>
      <c r="H115" s="675"/>
      <c r="I115" s="675"/>
      <c r="J115" s="675"/>
      <c r="K115" s="675"/>
      <c r="L115" s="675"/>
      <c r="M115" s="697"/>
      <c r="N115" s="1152"/>
      <c r="O115" s="1152"/>
      <c r="P115" s="556"/>
      <c r="Q115" s="557"/>
    </row>
    <row r="116" spans="1:17" ht="14.4">
      <c r="A116" s="525" t="s">
        <v>2562</v>
      </c>
      <c r="B116" s="526" t="s">
        <v>2790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1"/>
      <c r="O116" s="1151"/>
      <c r="P116" s="44"/>
      <c r="Q116" s="502"/>
    </row>
    <row r="117" spans="1:17">
      <c r="A117" s="532"/>
      <c r="B117" s="544"/>
      <c r="C117" s="593"/>
      <c r="D117" s="593"/>
      <c r="E117" s="593"/>
      <c r="F117" s="593"/>
      <c r="G117" s="593"/>
      <c r="H117" s="593"/>
      <c r="I117" s="593"/>
      <c r="J117" s="594"/>
      <c r="K117" s="594"/>
      <c r="L117" s="595"/>
      <c r="M117" s="596"/>
      <c r="N117" s="1151"/>
      <c r="O117" s="1151"/>
      <c r="P117" s="44"/>
      <c r="Q117" s="502"/>
    </row>
    <row r="118" spans="1:17" ht="14.4" thickBot="1">
      <c r="A118" s="532"/>
      <c r="B118" s="541"/>
      <c r="C118" s="568"/>
      <c r="D118" s="589"/>
      <c r="E118" s="589"/>
      <c r="F118" s="589"/>
      <c r="G118" s="589"/>
      <c r="H118" s="589"/>
      <c r="I118" s="589"/>
      <c r="J118" s="589"/>
      <c r="K118" s="589"/>
      <c r="L118" s="589"/>
      <c r="M118" s="590"/>
      <c r="N118" s="1152"/>
      <c r="O118" s="1152"/>
      <c r="P118" s="44"/>
      <c r="Q118" s="502"/>
    </row>
    <row r="119" spans="1:17" ht="15" thickTop="1">
      <c r="A119" s="597"/>
      <c r="B119" s="536" t="s">
        <v>2791</v>
      </c>
      <c r="C119" s="581"/>
      <c r="D119" s="581"/>
      <c r="E119" s="581"/>
      <c r="F119" s="581"/>
      <c r="G119" s="581"/>
      <c r="H119" s="581"/>
      <c r="I119" s="581"/>
      <c r="J119" s="581"/>
      <c r="K119" s="582"/>
      <c r="L119" s="583"/>
      <c r="M119" s="584"/>
      <c r="N119" s="1151"/>
      <c r="O119" s="1151"/>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2"/>
      <c r="O120" s="1152"/>
      <c r="P120" s="44"/>
      <c r="Q120" s="502"/>
    </row>
    <row r="121" spans="1:17" ht="15" thickTop="1">
      <c r="A121" s="597"/>
      <c r="B121" s="536" t="s">
        <v>2792</v>
      </c>
      <c r="C121" s="552"/>
      <c r="D121" s="552"/>
      <c r="E121" s="552"/>
      <c r="F121" s="581"/>
      <c r="G121" s="581"/>
      <c r="H121" s="581"/>
      <c r="I121" s="581"/>
      <c r="J121" s="581"/>
      <c r="K121" s="582"/>
      <c r="L121" s="583"/>
      <c r="M121" s="584"/>
      <c r="N121" s="1151"/>
      <c r="O121" s="1151"/>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2"/>
      <c r="O122" s="1152"/>
      <c r="P122" s="44"/>
      <c r="Q122" s="502"/>
    </row>
    <row r="123" spans="1:17" s="469" customFormat="1" ht="15" thickTop="1">
      <c r="A123" s="591"/>
      <c r="B123" s="536" t="s">
        <v>2793</v>
      </c>
      <c r="C123" s="552"/>
      <c r="D123" s="552"/>
      <c r="E123" s="552"/>
      <c r="F123" s="552"/>
      <c r="G123" s="552"/>
      <c r="H123" s="581"/>
      <c r="I123" s="581"/>
      <c r="J123" s="581"/>
      <c r="K123" s="582"/>
      <c r="L123" s="583"/>
      <c r="M123" s="584"/>
      <c r="N123" s="1153"/>
      <c r="O123" s="1153"/>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3"/>
      <c r="O124" s="1153"/>
      <c r="P124" s="556"/>
      <c r="Q124" s="557"/>
    </row>
    <row r="125" spans="1:17" ht="15" thickTop="1">
      <c r="A125" s="597"/>
      <c r="B125" s="536" t="s">
        <v>2794</v>
      </c>
      <c r="C125" s="552"/>
      <c r="D125" s="552"/>
      <c r="E125" s="581"/>
      <c r="F125" s="581"/>
      <c r="G125" s="581"/>
      <c r="H125" s="581"/>
      <c r="I125" s="581"/>
      <c r="J125" s="581"/>
      <c r="K125" s="582"/>
      <c r="L125" s="583"/>
      <c r="M125" s="584"/>
      <c r="N125" s="1151"/>
      <c r="O125" s="1151"/>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2"/>
      <c r="O126" s="1152"/>
      <c r="P126" s="44"/>
      <c r="Q126" s="502"/>
    </row>
    <row r="127" spans="1:17" ht="14.4" thickTop="1">
      <c r="A127" s="597"/>
      <c r="B127" s="536">
        <f>B43</f>
        <v>111</v>
      </c>
      <c r="C127" s="552"/>
      <c r="D127" s="552"/>
      <c r="E127" s="552"/>
      <c r="F127" s="552"/>
      <c r="G127" s="552"/>
      <c r="H127" s="581"/>
      <c r="I127" s="581"/>
      <c r="J127" s="581"/>
      <c r="K127" s="582"/>
      <c r="L127" s="583"/>
      <c r="M127" s="584"/>
      <c r="N127" s="1151"/>
      <c r="O127" s="1151"/>
      <c r="P127" s="44"/>
      <c r="Q127" s="502"/>
    </row>
    <row r="128" spans="1:17" ht="14.4" thickBot="1">
      <c r="A128" s="532"/>
      <c r="B128" s="541"/>
      <c r="C128" s="558"/>
      <c r="D128" s="558"/>
      <c r="E128" s="558"/>
      <c r="F128" s="558"/>
      <c r="G128" s="534"/>
      <c r="H128" s="534"/>
      <c r="I128" s="534"/>
      <c r="J128" s="534"/>
      <c r="K128" s="534"/>
      <c r="L128" s="534"/>
      <c r="M128" s="535"/>
      <c r="N128" s="1152"/>
      <c r="O128" s="1152"/>
      <c r="P128" s="44"/>
      <c r="Q128" s="502"/>
    </row>
    <row r="129" spans="1:17" ht="14.4" thickTop="1">
      <c r="A129" s="597"/>
      <c r="B129" s="536">
        <f>B44</f>
        <v>111</v>
      </c>
      <c r="C129" s="521"/>
      <c r="D129" s="521"/>
      <c r="E129" s="521"/>
      <c r="F129" s="521"/>
      <c r="G129" s="581"/>
      <c r="H129" s="581"/>
      <c r="I129" s="581"/>
      <c r="J129" s="581"/>
      <c r="K129" s="582"/>
      <c r="L129" s="583"/>
      <c r="M129" s="584"/>
      <c r="N129" s="1151"/>
      <c r="O129" s="1151"/>
      <c r="P129" s="44"/>
      <c r="Q129" s="502"/>
    </row>
    <row r="130" spans="1:17" ht="14.4" thickBot="1">
      <c r="A130" s="532"/>
      <c r="B130" s="541"/>
      <c r="C130" s="568"/>
      <c r="D130" s="568"/>
      <c r="E130" s="568"/>
      <c r="F130" s="568"/>
      <c r="G130" s="534"/>
      <c r="H130" s="534"/>
      <c r="I130" s="534"/>
      <c r="J130" s="534"/>
      <c r="K130" s="534"/>
      <c r="L130" s="534"/>
      <c r="M130" s="535"/>
      <c r="N130" s="1152"/>
      <c r="O130" s="1152"/>
      <c r="P130" s="44"/>
      <c r="Q130" s="502"/>
    </row>
    <row r="131" spans="1:17" s="469" customFormat="1" ht="14.4" thickTop="1">
      <c r="A131" s="591"/>
      <c r="B131" s="536">
        <f>B45</f>
        <v>111</v>
      </c>
      <c r="C131" s="521"/>
      <c r="D131" s="521"/>
      <c r="E131" s="521"/>
      <c r="F131" s="521"/>
      <c r="G131" s="553"/>
      <c r="H131" s="553"/>
      <c r="I131" s="553"/>
      <c r="J131" s="553"/>
      <c r="K131" s="553"/>
      <c r="L131" s="554"/>
      <c r="M131" s="555"/>
      <c r="N131" s="1153"/>
      <c r="O131" s="1153"/>
      <c r="P131" s="556"/>
      <c r="Q131" s="557"/>
    </row>
    <row r="132" spans="1:17" s="469" customFormat="1" ht="14.4" thickBot="1">
      <c r="A132" s="566"/>
      <c r="B132" s="698"/>
      <c r="C132" s="568"/>
      <c r="D132" s="568"/>
      <c r="E132" s="568"/>
      <c r="F132" s="568"/>
      <c r="G132" s="589"/>
      <c r="H132" s="589"/>
      <c r="I132" s="589"/>
      <c r="J132" s="589"/>
      <c r="K132" s="589"/>
      <c r="L132" s="589"/>
      <c r="M132" s="590"/>
      <c r="N132" s="1153"/>
      <c r="O132" s="1153"/>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1621</v>
      </c>
      <c r="B1" s="1958"/>
      <c r="C1" s="1958"/>
      <c r="D1" s="1958"/>
      <c r="E1" s="1958"/>
    </row>
    <row r="2" spans="1:5" ht="78" customHeight="1">
      <c r="A2" s="33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1"/>
      <c r="C2" s="3351"/>
      <c r="D2" s="3351"/>
      <c r="E2" s="3351"/>
    </row>
    <row r="3" spans="1:5" ht="17.399999999999999">
      <c r="A3" s="3352" t="str">
        <f>IF(项目基本情况!B9="房地产市场价值","估价结果一览表（市场价值不需“结果表-1”）","估价结果一览表")</f>
        <v>估价结果一览表</v>
      </c>
      <c r="B3" s="3352"/>
      <c r="C3" s="3352"/>
      <c r="D3" s="3352"/>
      <c r="E3" s="3352"/>
    </row>
    <row r="4" spans="1:5" ht="18" thickBot="1">
      <c r="A4" s="1960"/>
      <c r="B4" s="3350" t="s">
        <v>1630</v>
      </c>
      <c r="C4" s="3350"/>
      <c r="D4" s="3350"/>
      <c r="E4" s="1960"/>
    </row>
    <row r="5" spans="1:5" ht="16.2" thickTop="1">
      <c r="A5" s="1958"/>
      <c r="B5" s="3348" t="s">
        <v>1622</v>
      </c>
      <c r="C5" s="1961" t="s">
        <v>1623</v>
      </c>
      <c r="D5" s="1039">
        <f ca="1">结果表!H101</f>
        <v>36623</v>
      </c>
      <c r="E5" s="1958"/>
    </row>
    <row r="6" spans="1:5" ht="15.6">
      <c r="A6" s="1958"/>
      <c r="B6" s="3348"/>
      <c r="C6" s="1961" t="s">
        <v>1624</v>
      </c>
      <c r="D6" s="1039" t="str">
        <f ca="1">NUMBERSTRING(INT(D5*10000),2)&amp;"元整"</f>
        <v>叁亿陆仟陆佰贰拾叁万元整</v>
      </c>
      <c r="E6" s="1958"/>
    </row>
    <row r="7" spans="1:5" ht="15.6">
      <c r="A7" s="1958"/>
      <c r="B7" s="3353"/>
      <c r="C7" s="1962" t="s">
        <v>1625</v>
      </c>
      <c r="D7" s="1040">
        <f ca="1">结果表!H102</f>
        <v>3545</v>
      </c>
      <c r="E7" s="1958"/>
    </row>
    <row r="8" spans="1:5" ht="15.6">
      <c r="A8" s="1958"/>
      <c r="B8" s="3354" t="str">
        <f>结果表!E103</f>
        <v>2.估价师知悉的法定优先受偿款</v>
      </c>
      <c r="C8" s="1963" t="s">
        <v>1626</v>
      </c>
      <c r="D8" s="1040">
        <f>结果表!H103</f>
        <v>247</v>
      </c>
      <c r="E8" s="1958"/>
    </row>
    <row r="9" spans="1:5" ht="15.6">
      <c r="A9" s="1958"/>
      <c r="B9" s="3356"/>
      <c r="C9" s="1961" t="s">
        <v>1624</v>
      </c>
      <c r="D9" s="1039" t="str">
        <f>NUMBERSTRING(INT(D8*10000),2)&amp;"元整"</f>
        <v>贰佰肆拾柒万元整</v>
      </c>
      <c r="E9" s="1958"/>
    </row>
    <row r="10" spans="1:5" ht="15.6">
      <c r="A10" s="1958"/>
      <c r="B10" s="1964" t="s">
        <v>1629</v>
      </c>
      <c r="C10" s="1965" t="s">
        <v>1627</v>
      </c>
      <c r="D10" s="1041" t="str">
        <f>结果表!H104</f>
        <v>（未扣减，详见特别提示）</v>
      </c>
      <c r="E10" s="1958"/>
    </row>
    <row r="11" spans="1:5" ht="15.6">
      <c r="A11" s="1958"/>
      <c r="B11" s="1964" t="s">
        <v>1631</v>
      </c>
      <c r="C11" s="1965" t="s">
        <v>1632</v>
      </c>
      <c r="D11" s="1041">
        <f>结果表!H105</f>
        <v>0</v>
      </c>
      <c r="E11" s="1958"/>
    </row>
    <row r="12" spans="1:5" ht="15.6">
      <c r="A12" s="1958"/>
      <c r="B12" s="1964" t="s">
        <v>1633</v>
      </c>
      <c r="C12" s="1965" t="s">
        <v>1632</v>
      </c>
      <c r="D12" s="1041">
        <f>结果表!H106</f>
        <v>247</v>
      </c>
      <c r="E12" s="1958"/>
    </row>
    <row r="13" spans="1:5" ht="15.6">
      <c r="A13" s="1958"/>
      <c r="B13" s="3347" t="str">
        <f>结果表!E107</f>
        <v>3.房地产抵押价值</v>
      </c>
      <c r="C13" s="1966" t="s">
        <v>1623</v>
      </c>
      <c r="D13" s="1042">
        <f ca="1">结果表!H107</f>
        <v>36376</v>
      </c>
      <c r="E13" s="1958"/>
    </row>
    <row r="14" spans="1:5" ht="15.6">
      <c r="A14" s="1958"/>
      <c r="B14" s="3348"/>
      <c r="C14" s="1961" t="s">
        <v>1624</v>
      </c>
      <c r="D14" s="1039" t="str">
        <f ca="1">NUMBERSTRING(INT(D13*10000),2)&amp;"元整"</f>
        <v>叁亿陆仟叁佰柒拾陆万元整</v>
      </c>
      <c r="E14" s="1958"/>
    </row>
    <row r="15" spans="1:5" ht="15.6">
      <c r="A15" s="1958"/>
      <c r="B15" s="3353"/>
      <c r="C15" s="1962" t="s">
        <v>1634</v>
      </c>
      <c r="D15" s="1051">
        <f ca="1">结果表!H108</f>
        <v>3521</v>
      </c>
      <c r="E15" s="1958"/>
    </row>
    <row r="16" spans="1:5" ht="15.6">
      <c r="A16" s="1958"/>
      <c r="B16" s="3354" t="str">
        <f>结果表!E109</f>
        <v>——</v>
      </c>
      <c r="C16" s="1966" t="s">
        <v>1635</v>
      </c>
      <c r="D16" s="1967" t="str">
        <f>结果表!H109</f>
        <v>——</v>
      </c>
      <c r="E16" s="1958"/>
    </row>
    <row r="17" spans="1:5" ht="15.6">
      <c r="A17" s="1958"/>
      <c r="B17" s="3355"/>
      <c r="C17" s="1961" t="s">
        <v>1636</v>
      </c>
      <c r="D17" s="1039" t="e">
        <f>NUMBERSTRING(INT(D16*10000),2)&amp;"元整"</f>
        <v>#VALUE!</v>
      </c>
      <c r="E17" s="1958"/>
    </row>
    <row r="18" spans="1:5" ht="15.6">
      <c r="A18" s="1958"/>
      <c r="B18" s="3356"/>
      <c r="C18" s="1962" t="s">
        <v>1625</v>
      </c>
      <c r="D18" s="1051" t="str">
        <f>结果表!H110</f>
        <v>——</v>
      </c>
      <c r="E18" s="1958"/>
    </row>
    <row r="19" spans="1:5" ht="15.6">
      <c r="A19" s="1958"/>
      <c r="B19" s="3347" t="str">
        <f>结果表!E111</f>
        <v>——</v>
      </c>
      <c r="C19" s="1966" t="s">
        <v>1623</v>
      </c>
      <c r="D19" s="1040" t="str">
        <f>结果表!H111</f>
        <v>——</v>
      </c>
      <c r="E19" s="1958"/>
    </row>
    <row r="20" spans="1:5" ht="15.6">
      <c r="A20" s="1958"/>
      <c r="B20" s="3348"/>
      <c r="C20" s="1961" t="s">
        <v>1636</v>
      </c>
      <c r="D20" s="1039" t="e">
        <f>NUMBERSTRING(INT(D19*10000),2)&amp;"元整"</f>
        <v>#VALUE!</v>
      </c>
      <c r="E20" s="1958"/>
    </row>
    <row r="21" spans="1:5" ht="16.2" thickBot="1">
      <c r="A21" s="1958"/>
      <c r="B21" s="3349"/>
      <c r="C21" s="1968" t="s">
        <v>1634</v>
      </c>
      <c r="D21" s="1052" t="str">
        <f>结果表!H112</f>
        <v>——</v>
      </c>
      <c r="E21" s="1958"/>
    </row>
    <row r="22" spans="1:5" ht="14.4" thickTop="1">
      <c r="A22" s="1958"/>
      <c r="B22" s="1969" t="s">
        <v>1637</v>
      </c>
      <c r="C22" s="1958"/>
      <c r="D22" s="1958"/>
      <c r="E22" s="1958"/>
    </row>
    <row r="23" spans="1:5">
      <c r="A23" s="1958"/>
      <c r="B23" s="1958"/>
      <c r="C23" s="1958"/>
      <c r="D23" s="1958"/>
      <c r="E23" s="1958"/>
    </row>
    <row r="24" spans="1:5" ht="17.399999999999999">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702" t="s">
        <v>183</v>
      </c>
      <c r="B18" s="878" t="s">
        <v>560</v>
      </c>
      <c r="C18" s="879" t="s">
        <v>561</v>
      </c>
      <c r="D18" s="880"/>
      <c r="E18" s="878">
        <v>1</v>
      </c>
      <c r="F18" s="881" t="s">
        <v>562</v>
      </c>
      <c r="G18" s="882"/>
      <c r="H18" s="874"/>
      <c r="I18" s="874"/>
    </row>
    <row r="19" spans="1:9" s="883" customFormat="1" ht="19.5" customHeight="1">
      <c r="A19" s="3702"/>
      <c r="B19" s="3702" t="s">
        <v>563</v>
      </c>
      <c r="C19" s="879" t="s">
        <v>564</v>
      </c>
      <c r="D19" s="880"/>
      <c r="E19" s="878">
        <v>0.9</v>
      </c>
      <c r="F19" s="881" t="s">
        <v>565</v>
      </c>
      <c r="G19" s="882"/>
      <c r="H19" s="874"/>
      <c r="I19" s="874"/>
    </row>
    <row r="20" spans="1:9" s="883" customFormat="1" ht="19.5" customHeight="1">
      <c r="A20" s="3702"/>
      <c r="B20" s="3702"/>
      <c r="C20" s="879" t="s">
        <v>566</v>
      </c>
      <c r="D20" s="880"/>
      <c r="E20" s="878">
        <v>1.1000000000000001</v>
      </c>
      <c r="F20" s="881" t="s">
        <v>567</v>
      </c>
      <c r="G20" s="882"/>
      <c r="H20" s="874"/>
      <c r="I20" s="874"/>
    </row>
    <row r="21" spans="1:9" s="883" customFormat="1" ht="19.5" customHeight="1">
      <c r="A21" s="3702"/>
      <c r="B21" s="3702"/>
      <c r="C21" s="879" t="s">
        <v>568</v>
      </c>
      <c r="D21" s="880"/>
      <c r="E21" s="878">
        <v>0.8</v>
      </c>
      <c r="F21" s="881" t="s">
        <v>569</v>
      </c>
      <c r="G21" s="882"/>
      <c r="H21" s="874"/>
      <c r="I21" s="874"/>
    </row>
    <row r="22" spans="1:9" s="883" customFormat="1" ht="19.5" customHeight="1">
      <c r="A22" s="3702"/>
      <c r="B22" s="3702"/>
      <c r="C22" s="879" t="s">
        <v>570</v>
      </c>
      <c r="D22" s="880"/>
      <c r="E22" s="878">
        <v>0.5</v>
      </c>
      <c r="F22" s="881"/>
      <c r="G22" s="882"/>
      <c r="H22" s="874"/>
      <c r="I22" s="874"/>
    </row>
    <row r="23" spans="1:9" s="883" customFormat="1" ht="19.5" customHeight="1">
      <c r="A23" s="3702" t="s">
        <v>184</v>
      </c>
      <c r="B23" s="878" t="s">
        <v>560</v>
      </c>
      <c r="C23" s="879" t="s">
        <v>571</v>
      </c>
      <c r="D23" s="880"/>
      <c r="E23" s="878">
        <v>1</v>
      </c>
      <c r="F23" s="881" t="s">
        <v>572</v>
      </c>
      <c r="G23" s="882"/>
      <c r="H23" s="874"/>
      <c r="I23" s="874"/>
    </row>
    <row r="24" spans="1:9" s="883" customFormat="1" ht="19.5" customHeight="1">
      <c r="A24" s="3702"/>
      <c r="B24" s="3702" t="s">
        <v>563</v>
      </c>
      <c r="C24" s="879" t="s">
        <v>573</v>
      </c>
      <c r="D24" s="880"/>
      <c r="E24" s="878">
        <v>0.5</v>
      </c>
      <c r="F24" s="881"/>
      <c r="G24" s="882"/>
      <c r="H24" s="874"/>
      <c r="I24" s="874"/>
    </row>
    <row r="25" spans="1:9" s="883" customFormat="1" ht="19.5" customHeight="1">
      <c r="A25" s="3702"/>
      <c r="B25" s="3702"/>
      <c r="C25" s="879" t="s">
        <v>574</v>
      </c>
      <c r="D25" s="880"/>
      <c r="E25" s="878">
        <v>1.1000000000000001</v>
      </c>
      <c r="F25" s="881"/>
      <c r="G25" s="882"/>
      <c r="H25" s="874"/>
      <c r="I25" s="874"/>
    </row>
    <row r="26" spans="1:9" s="883" customFormat="1" ht="19.5" customHeight="1">
      <c r="A26" s="3702"/>
      <c r="B26" s="3702"/>
      <c r="C26" s="879" t="s">
        <v>575</v>
      </c>
      <c r="D26" s="880"/>
      <c r="E26" s="878">
        <v>1.1000000000000001</v>
      </c>
      <c r="F26" s="881"/>
      <c r="G26" s="882"/>
      <c r="H26" s="874"/>
      <c r="I26" s="874"/>
    </row>
    <row r="27" spans="1:9" s="883" customFormat="1" ht="19.5" customHeight="1">
      <c r="A27" s="3702"/>
      <c r="B27" s="3702"/>
      <c r="C27" s="879" t="s">
        <v>576</v>
      </c>
      <c r="D27" s="880"/>
      <c r="E27" s="878">
        <v>0.9</v>
      </c>
      <c r="F27" s="881" t="s">
        <v>577</v>
      </c>
      <c r="G27" s="882"/>
      <c r="H27" s="874"/>
      <c r="I27" s="874"/>
    </row>
    <row r="28" spans="1:9" s="883" customFormat="1" ht="19.5" customHeight="1">
      <c r="A28" s="3702"/>
      <c r="B28" s="3702"/>
      <c r="C28" s="879" t="s">
        <v>578</v>
      </c>
      <c r="D28" s="880"/>
      <c r="E28" s="878">
        <v>0.9</v>
      </c>
      <c r="F28" s="881" t="s">
        <v>579</v>
      </c>
      <c r="G28" s="882"/>
      <c r="H28" s="874"/>
      <c r="I28" s="874"/>
    </row>
    <row r="29" spans="1:9" s="883" customFormat="1" ht="19.5" customHeight="1">
      <c r="A29" s="3702"/>
      <c r="B29" s="3702"/>
      <c r="C29" s="879" t="s">
        <v>580</v>
      </c>
      <c r="D29" s="880"/>
      <c r="E29" s="878">
        <v>0.9</v>
      </c>
      <c r="F29" s="881" t="s">
        <v>581</v>
      </c>
      <c r="G29" s="882"/>
      <c r="H29" s="874"/>
      <c r="I29" s="874"/>
    </row>
    <row r="30" spans="1:9" s="883" customFormat="1" ht="19.5" customHeight="1">
      <c r="A30" s="3702"/>
      <c r="B30" s="3702"/>
      <c r="C30" s="879" t="s">
        <v>582</v>
      </c>
      <c r="D30" s="880"/>
      <c r="E30" s="878">
        <v>0.9</v>
      </c>
      <c r="F30" s="881" t="s">
        <v>583</v>
      </c>
      <c r="G30" s="882"/>
      <c r="H30" s="874"/>
      <c r="I30" s="874"/>
    </row>
    <row r="31" spans="1:9" s="883" customFormat="1" ht="19.5" customHeight="1">
      <c r="A31" s="3702"/>
      <c r="B31" s="3702"/>
      <c r="C31" s="879" t="s">
        <v>584</v>
      </c>
      <c r="D31" s="880"/>
      <c r="E31" s="878">
        <v>0.8</v>
      </c>
      <c r="F31" s="881" t="s">
        <v>585</v>
      </c>
      <c r="G31" s="882"/>
      <c r="H31" s="874"/>
      <c r="I31" s="874"/>
    </row>
    <row r="32" spans="1:9" s="883" customFormat="1" ht="19.5" customHeight="1">
      <c r="A32" s="3702"/>
      <c r="B32" s="3702"/>
      <c r="C32" s="879" t="s">
        <v>586</v>
      </c>
      <c r="D32" s="880"/>
      <c r="E32" s="878">
        <v>0.8</v>
      </c>
      <c r="F32" s="881" t="s">
        <v>587</v>
      </c>
      <c r="G32" s="882"/>
      <c r="H32" s="874"/>
      <c r="I32" s="874"/>
    </row>
    <row r="33" spans="1:9" s="883" customFormat="1" ht="19.5" customHeight="1">
      <c r="A33" s="3702" t="s">
        <v>185</v>
      </c>
      <c r="B33" s="878" t="s">
        <v>560</v>
      </c>
      <c r="C33" s="879" t="s">
        <v>588</v>
      </c>
      <c r="D33" s="880"/>
      <c r="E33" s="878">
        <v>1</v>
      </c>
      <c r="F33" s="881" t="s">
        <v>589</v>
      </c>
      <c r="G33" s="882"/>
      <c r="H33" s="874"/>
      <c r="I33" s="874"/>
    </row>
    <row r="34" spans="1:9" s="883" customFormat="1" ht="19.5" customHeight="1">
      <c r="A34" s="3702"/>
      <c r="B34" s="878" t="s">
        <v>563</v>
      </c>
      <c r="C34" s="879" t="s">
        <v>590</v>
      </c>
      <c r="D34" s="880"/>
      <c r="E34" s="878">
        <v>1.5</v>
      </c>
      <c r="F34" s="881" t="s">
        <v>591</v>
      </c>
      <c r="G34" s="882"/>
      <c r="H34" s="874"/>
      <c r="I34" s="874"/>
    </row>
    <row r="35" spans="1:9" s="883" customFormat="1" ht="19.5" customHeight="1">
      <c r="A35" s="3702" t="s">
        <v>186</v>
      </c>
      <c r="B35" s="878" t="s">
        <v>560</v>
      </c>
      <c r="C35" s="879" t="s">
        <v>592</v>
      </c>
      <c r="D35" s="880"/>
      <c r="E35" s="878">
        <v>1</v>
      </c>
      <c r="F35" s="881" t="s">
        <v>593</v>
      </c>
      <c r="G35" s="882"/>
      <c r="H35" s="874"/>
      <c r="I35" s="874"/>
    </row>
    <row r="36" spans="1:9" s="883" customFormat="1" ht="19.5" customHeight="1">
      <c r="A36" s="3702"/>
      <c r="B36" s="3702" t="s">
        <v>563</v>
      </c>
      <c r="C36" s="879" t="s">
        <v>594</v>
      </c>
      <c r="D36" s="880"/>
      <c r="E36" s="878">
        <v>1</v>
      </c>
      <c r="F36" s="881" t="s">
        <v>595</v>
      </c>
      <c r="G36" s="882"/>
      <c r="H36" s="874"/>
      <c r="I36" s="874"/>
    </row>
    <row r="37" spans="1:9" s="883" customFormat="1" ht="19.5" customHeight="1">
      <c r="A37" s="3702"/>
      <c r="B37" s="3702"/>
      <c r="C37" s="879" t="s">
        <v>596</v>
      </c>
      <c r="D37" s="880"/>
      <c r="E37" s="878">
        <v>1.5</v>
      </c>
      <c r="F37" s="881" t="s">
        <v>597</v>
      </c>
      <c r="G37" s="882"/>
      <c r="H37" s="874"/>
      <c r="I37" s="874"/>
    </row>
    <row r="38" spans="1:9" s="883" customFormat="1" ht="19.5" customHeight="1">
      <c r="A38" s="3702"/>
      <c r="B38" s="3702"/>
      <c r="C38" s="879" t="s">
        <v>598</v>
      </c>
      <c r="D38" s="880"/>
      <c r="E38" s="878">
        <v>1</v>
      </c>
      <c r="F38" s="881" t="s">
        <v>599</v>
      </c>
      <c r="G38" s="882"/>
      <c r="H38" s="874"/>
      <c r="I38" s="874"/>
    </row>
    <row r="39" spans="1:9" s="883" customFormat="1" ht="19.5" customHeight="1">
      <c r="A39" s="3702"/>
      <c r="B39" s="370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9"/>
      <c r="B60" s="939"/>
      <c r="C60" s="939" t="s">
        <v>745</v>
      </c>
      <c r="D60" s="939"/>
      <c r="E60" s="891" t="s">
        <v>1</v>
      </c>
      <c r="F60" s="939" t="s">
        <v>1</v>
      </c>
    </row>
    <row r="61" spans="1:8" s="874" customFormat="1" ht="36">
      <c r="A61" s="878">
        <v>1</v>
      </c>
      <c r="B61" s="3702" t="s">
        <v>614</v>
      </c>
      <c r="C61" s="814" t="s">
        <v>615</v>
      </c>
      <c r="D61" s="814" t="s">
        <v>616</v>
      </c>
      <c r="E61" s="891">
        <v>0.5</v>
      </c>
      <c r="F61" s="878">
        <v>80</v>
      </c>
    </row>
    <row r="62" spans="1:8" s="874" customFormat="1" ht="36">
      <c r="A62" s="878">
        <v>2</v>
      </c>
      <c r="B62" s="3702"/>
      <c r="C62" s="814" t="s">
        <v>617</v>
      </c>
      <c r="D62" s="814" t="s">
        <v>618</v>
      </c>
      <c r="E62" s="891">
        <v>0.5</v>
      </c>
      <c r="F62" s="878">
        <v>80</v>
      </c>
    </row>
    <row r="63" spans="1:8" s="874" customFormat="1" ht="48">
      <c r="A63" s="878">
        <v>3</v>
      </c>
      <c r="B63" s="3702"/>
      <c r="C63" s="814" t="s">
        <v>619</v>
      </c>
      <c r="D63" s="814" t="s">
        <v>620</v>
      </c>
      <c r="E63" s="891">
        <v>0.5</v>
      </c>
      <c r="F63" s="878">
        <v>80</v>
      </c>
    </row>
    <row r="64" spans="1:8" s="874" customFormat="1" ht="48">
      <c r="A64" s="878">
        <v>4</v>
      </c>
      <c r="B64" s="3702"/>
      <c r="C64" s="814" t="s">
        <v>621</v>
      </c>
      <c r="D64" s="814" t="s">
        <v>622</v>
      </c>
      <c r="E64" s="891">
        <v>0.4</v>
      </c>
      <c r="F64" s="878">
        <v>60</v>
      </c>
    </row>
    <row r="65" spans="1:6" s="874" customFormat="1" ht="48">
      <c r="A65" s="878">
        <v>5</v>
      </c>
      <c r="B65" s="3702"/>
      <c r="C65" s="814" t="s">
        <v>623</v>
      </c>
      <c r="D65" s="814" t="s">
        <v>624</v>
      </c>
      <c r="E65" s="891">
        <v>0.2</v>
      </c>
      <c r="F65" s="878">
        <v>30</v>
      </c>
    </row>
    <row r="66" spans="1:6" s="874" customFormat="1" ht="48">
      <c r="A66" s="878">
        <v>6</v>
      </c>
      <c r="B66" s="3702"/>
      <c r="C66" s="814" t="s">
        <v>625</v>
      </c>
      <c r="D66" s="814" t="s">
        <v>626</v>
      </c>
      <c r="E66" s="891">
        <v>0.3</v>
      </c>
      <c r="F66" s="878">
        <v>50</v>
      </c>
    </row>
    <row r="67" spans="1:6" s="874" customFormat="1" ht="48">
      <c r="A67" s="878">
        <v>7</v>
      </c>
      <c r="B67" s="3702"/>
      <c r="C67" s="814" t="s">
        <v>627</v>
      </c>
      <c r="D67" s="814" t="s">
        <v>628</v>
      </c>
      <c r="E67" s="891">
        <v>0.2</v>
      </c>
      <c r="F67" s="878">
        <v>30</v>
      </c>
    </row>
    <row r="68" spans="1:6" s="874" customFormat="1" ht="48">
      <c r="A68" s="878">
        <v>8</v>
      </c>
      <c r="B68" s="3702"/>
      <c r="C68" s="814" t="s">
        <v>629</v>
      </c>
      <c r="D68" s="814" t="s">
        <v>630</v>
      </c>
      <c r="E68" s="891">
        <v>0.2</v>
      </c>
      <c r="F68" s="878">
        <v>30</v>
      </c>
    </row>
    <row r="69" spans="1:6" s="874" customFormat="1" ht="48">
      <c r="A69" s="878">
        <v>9</v>
      </c>
      <c r="B69" s="3702"/>
      <c r="C69" s="814" t="s">
        <v>631</v>
      </c>
      <c r="D69" s="814" t="s">
        <v>632</v>
      </c>
      <c r="E69" s="891">
        <v>0.2</v>
      </c>
      <c r="F69" s="878">
        <v>30</v>
      </c>
    </row>
    <row r="70" spans="1:6" s="874" customFormat="1" ht="60">
      <c r="A70" s="878">
        <v>10</v>
      </c>
      <c r="B70" s="3702"/>
      <c r="C70" s="814" t="s">
        <v>633</v>
      </c>
      <c r="D70" s="814" t="s">
        <v>634</v>
      </c>
      <c r="E70" s="891">
        <v>0.2</v>
      </c>
      <c r="F70" s="878">
        <v>30</v>
      </c>
    </row>
    <row r="71" spans="1:6" s="874" customFormat="1" ht="60">
      <c r="A71" s="878">
        <v>11</v>
      </c>
      <c r="B71" s="3702"/>
      <c r="C71" s="814" t="s">
        <v>635</v>
      </c>
      <c r="D71" s="814" t="s">
        <v>636</v>
      </c>
      <c r="E71" s="891">
        <v>0.2</v>
      </c>
      <c r="F71" s="878">
        <v>30</v>
      </c>
    </row>
    <row r="72" spans="1:6" s="874" customFormat="1" ht="36">
      <c r="A72" s="878">
        <v>12</v>
      </c>
      <c r="B72" s="3702"/>
      <c r="C72" s="814" t="s">
        <v>637</v>
      </c>
      <c r="D72" s="814" t="s">
        <v>638</v>
      </c>
      <c r="E72" s="891">
        <v>0.5</v>
      </c>
      <c r="F72" s="878">
        <v>80</v>
      </c>
    </row>
    <row r="73" spans="1:6" s="874" customFormat="1" ht="36">
      <c r="A73" s="878">
        <v>13</v>
      </c>
      <c r="B73" s="3702"/>
      <c r="C73" s="814" t="s">
        <v>639</v>
      </c>
      <c r="D73" s="814" t="s">
        <v>640</v>
      </c>
      <c r="E73" s="891">
        <v>0.4</v>
      </c>
      <c r="F73" s="878">
        <v>60</v>
      </c>
    </row>
    <row r="74" spans="1:6" s="874" customFormat="1" ht="36">
      <c r="A74" s="878">
        <v>14</v>
      </c>
      <c r="B74" s="3702"/>
      <c r="C74" s="814" t="s">
        <v>641</v>
      </c>
      <c r="D74" s="814" t="s">
        <v>642</v>
      </c>
      <c r="E74" s="891">
        <v>0.2</v>
      </c>
      <c r="F74" s="878">
        <v>30</v>
      </c>
    </row>
    <row r="75" spans="1:6" s="874" customFormat="1" ht="36">
      <c r="A75" s="878">
        <v>15</v>
      </c>
      <c r="B75" s="3702"/>
      <c r="C75" s="814" t="s">
        <v>643</v>
      </c>
      <c r="D75" s="814" t="s">
        <v>644</v>
      </c>
      <c r="E75" s="891">
        <v>0.2</v>
      </c>
      <c r="F75" s="878">
        <v>30</v>
      </c>
    </row>
    <row r="76" spans="1:6" s="874" customFormat="1" ht="36">
      <c r="A76" s="878">
        <v>16</v>
      </c>
      <c r="B76" s="3702" t="s">
        <v>645</v>
      </c>
      <c r="C76" s="814" t="s">
        <v>646</v>
      </c>
      <c r="D76" s="814" t="s">
        <v>647</v>
      </c>
      <c r="E76" s="891">
        <v>0.5</v>
      </c>
      <c r="F76" s="878">
        <v>80</v>
      </c>
    </row>
    <row r="77" spans="1:6" s="874" customFormat="1" ht="36">
      <c r="A77" s="878">
        <v>17</v>
      </c>
      <c r="B77" s="3702"/>
      <c r="C77" s="814" t="s">
        <v>648</v>
      </c>
      <c r="D77" s="814" t="s">
        <v>649</v>
      </c>
      <c r="E77" s="891">
        <v>0.5</v>
      </c>
      <c r="F77" s="878">
        <v>80</v>
      </c>
    </row>
    <row r="78" spans="1:6" s="874" customFormat="1" ht="36">
      <c r="A78" s="878">
        <v>18</v>
      </c>
      <c r="B78" s="3702"/>
      <c r="C78" s="814" t="s">
        <v>650</v>
      </c>
      <c r="D78" s="814" t="s">
        <v>651</v>
      </c>
      <c r="E78" s="891">
        <v>0.2</v>
      </c>
      <c r="F78" s="878">
        <v>30</v>
      </c>
    </row>
    <row r="79" spans="1:6" s="874" customFormat="1" ht="36">
      <c r="A79" s="878">
        <v>19</v>
      </c>
      <c r="B79" s="3702"/>
      <c r="C79" s="814" t="s">
        <v>652</v>
      </c>
      <c r="D79" s="814" t="s">
        <v>653</v>
      </c>
      <c r="E79" s="891">
        <v>0.5</v>
      </c>
      <c r="F79" s="878">
        <v>80</v>
      </c>
    </row>
    <row r="80" spans="1:6" s="874" customFormat="1" ht="36">
      <c r="A80" s="878">
        <v>20</v>
      </c>
      <c r="B80" s="3702"/>
      <c r="C80" s="814" t="s">
        <v>654</v>
      </c>
      <c r="D80" s="814" t="s">
        <v>655</v>
      </c>
      <c r="E80" s="891">
        <v>0.2</v>
      </c>
      <c r="F80" s="878">
        <v>30</v>
      </c>
    </row>
    <row r="81" spans="1:6" s="874" customFormat="1" ht="36">
      <c r="A81" s="878">
        <v>21</v>
      </c>
      <c r="B81" s="3702"/>
      <c r="C81" s="814" t="s">
        <v>656</v>
      </c>
      <c r="D81" s="814" t="s">
        <v>657</v>
      </c>
      <c r="E81" s="891">
        <v>0.2</v>
      </c>
      <c r="F81" s="878">
        <v>30</v>
      </c>
    </row>
    <row r="82" spans="1:6" s="874" customFormat="1" ht="60">
      <c r="A82" s="878">
        <v>22</v>
      </c>
      <c r="B82" s="3702"/>
      <c r="C82" s="814" t="s">
        <v>658</v>
      </c>
      <c r="D82" s="814" t="s">
        <v>659</v>
      </c>
      <c r="E82" s="891">
        <v>0.2</v>
      </c>
      <c r="F82" s="878">
        <v>30</v>
      </c>
    </row>
    <row r="83" spans="1:6" s="874" customFormat="1" ht="60">
      <c r="A83" s="878">
        <v>23</v>
      </c>
      <c r="B83" s="3702"/>
      <c r="C83" s="814" t="s">
        <v>660</v>
      </c>
      <c r="D83" s="814" t="s">
        <v>661</v>
      </c>
      <c r="E83" s="891">
        <v>0.2</v>
      </c>
      <c r="F83" s="878">
        <v>30</v>
      </c>
    </row>
    <row r="84" spans="1:6" s="874" customFormat="1" ht="48">
      <c r="A84" s="878">
        <v>24</v>
      </c>
      <c r="B84" s="3702"/>
      <c r="C84" s="814" t="s">
        <v>662</v>
      </c>
      <c r="D84" s="814" t="s">
        <v>663</v>
      </c>
      <c r="E84" s="891">
        <v>0.2</v>
      </c>
      <c r="F84" s="878">
        <v>30</v>
      </c>
    </row>
    <row r="85" spans="1:6" s="874" customFormat="1" ht="36">
      <c r="A85" s="878">
        <v>25</v>
      </c>
      <c r="B85" s="3702"/>
      <c r="C85" s="814" t="s">
        <v>664</v>
      </c>
      <c r="D85" s="814" t="s">
        <v>665</v>
      </c>
      <c r="E85" s="891">
        <v>0.5</v>
      </c>
      <c r="F85" s="878">
        <v>80</v>
      </c>
    </row>
    <row r="86" spans="1:6" s="874" customFormat="1" ht="36">
      <c r="A86" s="878">
        <v>26</v>
      </c>
      <c r="B86" s="3702"/>
      <c r="C86" s="814" t="s">
        <v>666</v>
      </c>
      <c r="D86" s="814" t="s">
        <v>667</v>
      </c>
      <c r="E86" s="891">
        <v>0.2</v>
      </c>
      <c r="F86" s="878">
        <v>30</v>
      </c>
    </row>
    <row r="87" spans="1:6" s="874" customFormat="1" ht="36">
      <c r="A87" s="878">
        <v>27</v>
      </c>
      <c r="B87" s="3702"/>
      <c r="C87" s="814" t="s">
        <v>668</v>
      </c>
      <c r="D87" s="814" t="s">
        <v>669</v>
      </c>
      <c r="E87" s="891">
        <v>0.2</v>
      </c>
      <c r="F87" s="878">
        <v>30</v>
      </c>
    </row>
    <row r="88" spans="1:6" s="874" customFormat="1" ht="36">
      <c r="A88" s="878">
        <v>28</v>
      </c>
      <c r="B88" s="3702"/>
      <c r="C88" s="814" t="s">
        <v>670</v>
      </c>
      <c r="D88" s="814" t="s">
        <v>671</v>
      </c>
      <c r="E88" s="891">
        <v>0.2</v>
      </c>
      <c r="F88" s="878">
        <v>30</v>
      </c>
    </row>
    <row r="89" spans="1:6" s="874" customFormat="1" ht="36">
      <c r="A89" s="878">
        <v>29</v>
      </c>
      <c r="B89" s="3702"/>
      <c r="C89" s="814" t="s">
        <v>672</v>
      </c>
      <c r="D89" s="814" t="s">
        <v>673</v>
      </c>
      <c r="E89" s="891">
        <v>0.2</v>
      </c>
      <c r="F89" s="878">
        <v>30</v>
      </c>
    </row>
    <row r="90" spans="1:6" s="874" customFormat="1" ht="36">
      <c r="A90" s="878">
        <v>30</v>
      </c>
      <c r="B90" s="3702"/>
      <c r="C90" s="814" t="s">
        <v>674</v>
      </c>
      <c r="D90" s="814" t="s">
        <v>675</v>
      </c>
      <c r="E90" s="891">
        <v>0.2</v>
      </c>
      <c r="F90" s="878">
        <v>30</v>
      </c>
    </row>
    <row r="91" spans="1:6" s="874" customFormat="1" ht="48">
      <c r="A91" s="878">
        <v>31</v>
      </c>
      <c r="B91" s="3702"/>
      <c r="C91" s="814" t="s">
        <v>676</v>
      </c>
      <c r="D91" s="814" t="s">
        <v>677</v>
      </c>
      <c r="E91" s="891">
        <v>0.2</v>
      </c>
      <c r="F91" s="878">
        <v>30</v>
      </c>
    </row>
    <row r="92" spans="1:6" s="874" customFormat="1" ht="36">
      <c r="A92" s="878">
        <v>32</v>
      </c>
      <c r="B92" s="3702" t="s">
        <v>678</v>
      </c>
      <c r="C92" s="878" t="s">
        <v>679</v>
      </c>
      <c r="D92" s="814" t="s">
        <v>680</v>
      </c>
      <c r="E92" s="891">
        <v>0.2</v>
      </c>
      <c r="F92" s="878">
        <v>30</v>
      </c>
    </row>
    <row r="93" spans="1:6" s="874" customFormat="1" ht="36">
      <c r="A93" s="878">
        <v>33</v>
      </c>
      <c r="B93" s="3702"/>
      <c r="C93" s="878" t="s">
        <v>681</v>
      </c>
      <c r="D93" s="814" t="s">
        <v>682</v>
      </c>
      <c r="E93" s="891">
        <v>0.2</v>
      </c>
      <c r="F93" s="878">
        <v>30</v>
      </c>
    </row>
    <row r="94" spans="1:6" s="874" customFormat="1" ht="60">
      <c r="A94" s="878">
        <v>34</v>
      </c>
      <c r="B94" s="3702"/>
      <c r="C94" s="878" t="s">
        <v>683</v>
      </c>
      <c r="D94" s="814" t="s">
        <v>684</v>
      </c>
      <c r="E94" s="891">
        <v>0.2</v>
      </c>
      <c r="F94" s="878">
        <v>30</v>
      </c>
    </row>
    <row r="95" spans="1:6" s="874" customFormat="1" ht="48">
      <c r="A95" s="878">
        <v>35</v>
      </c>
      <c r="B95" s="3702"/>
      <c r="C95" s="878" t="s">
        <v>685</v>
      </c>
      <c r="D95" s="814" t="s">
        <v>686</v>
      </c>
      <c r="E95" s="891">
        <v>0.2</v>
      </c>
      <c r="F95" s="878">
        <v>30</v>
      </c>
    </row>
    <row r="96" spans="1:6" s="874" customFormat="1" ht="72">
      <c r="A96" s="878">
        <v>36</v>
      </c>
      <c r="B96" s="3702"/>
      <c r="C96" s="814" t="s">
        <v>687</v>
      </c>
      <c r="D96" s="814" t="s">
        <v>688</v>
      </c>
      <c r="E96" s="891">
        <v>0.2</v>
      </c>
      <c r="F96" s="878">
        <v>30</v>
      </c>
    </row>
    <row r="97" spans="1:6" s="874" customFormat="1" ht="36">
      <c r="A97" s="878">
        <v>37</v>
      </c>
      <c r="B97" s="3702"/>
      <c r="C97" s="878" t="s">
        <v>689</v>
      </c>
      <c r="D97" s="814" t="s">
        <v>690</v>
      </c>
      <c r="E97" s="891">
        <v>0.2</v>
      </c>
      <c r="F97" s="878">
        <v>30</v>
      </c>
    </row>
    <row r="98" spans="1:6" s="874" customFormat="1" ht="36">
      <c r="A98" s="878">
        <v>38</v>
      </c>
      <c r="B98" s="3702"/>
      <c r="C98" s="878" t="s">
        <v>691</v>
      </c>
      <c r="D98" s="814" t="s">
        <v>692</v>
      </c>
      <c r="E98" s="891">
        <v>0.2</v>
      </c>
      <c r="F98" s="878">
        <v>30</v>
      </c>
    </row>
    <row r="99" spans="1:6" s="874" customFormat="1" ht="36">
      <c r="A99" s="878">
        <v>39</v>
      </c>
      <c r="B99" s="3702" t="s">
        <v>693</v>
      </c>
      <c r="C99" s="878" t="s">
        <v>694</v>
      </c>
      <c r="D99" s="814" t="s">
        <v>695</v>
      </c>
      <c r="E99" s="891">
        <v>0.3</v>
      </c>
      <c r="F99" s="878">
        <v>50</v>
      </c>
    </row>
    <row r="100" spans="1:6" s="874" customFormat="1" ht="36">
      <c r="A100" s="878">
        <v>40</v>
      </c>
      <c r="B100" s="3702"/>
      <c r="C100" s="878" t="s">
        <v>696</v>
      </c>
      <c r="D100" s="814" t="s">
        <v>697</v>
      </c>
      <c r="E100" s="891">
        <v>0.2</v>
      </c>
      <c r="F100" s="878">
        <v>30</v>
      </c>
    </row>
    <row r="101" spans="1:6" s="874" customFormat="1" ht="36">
      <c r="A101" s="878">
        <v>41</v>
      </c>
      <c r="B101" s="3702"/>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702" t="s">
        <v>708</v>
      </c>
      <c r="C105" s="878" t="s">
        <v>709</v>
      </c>
      <c r="D105" s="814" t="s">
        <v>710</v>
      </c>
      <c r="E105" s="891">
        <v>0.2</v>
      </c>
      <c r="F105" s="878">
        <v>30</v>
      </c>
    </row>
    <row r="106" spans="1:6" s="874" customFormat="1" ht="48">
      <c r="A106" s="878">
        <v>46</v>
      </c>
      <c r="B106" s="3702"/>
      <c r="C106" s="878" t="s">
        <v>711</v>
      </c>
      <c r="D106" s="814" t="s">
        <v>712</v>
      </c>
      <c r="E106" s="891">
        <v>0.2</v>
      </c>
      <c r="F106" s="878">
        <v>30</v>
      </c>
    </row>
    <row r="107" spans="1:6" s="874" customFormat="1" ht="36">
      <c r="A107" s="878">
        <v>47</v>
      </c>
      <c r="B107" s="3702" t="s">
        <v>713</v>
      </c>
      <c r="C107" s="878" t="s">
        <v>714</v>
      </c>
      <c r="D107" s="814" t="s">
        <v>715</v>
      </c>
      <c r="E107" s="891">
        <v>0.3</v>
      </c>
      <c r="F107" s="878">
        <v>50</v>
      </c>
    </row>
    <row r="108" spans="1:6" s="874" customFormat="1" ht="48">
      <c r="A108" s="878">
        <v>48</v>
      </c>
      <c r="B108" s="370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702" t="s">
        <v>724</v>
      </c>
      <c r="C111" s="878" t="s">
        <v>725</v>
      </c>
      <c r="D111" s="814" t="s">
        <v>726</v>
      </c>
      <c r="E111" s="891">
        <v>0.2</v>
      </c>
      <c r="F111" s="878">
        <v>30</v>
      </c>
    </row>
    <row r="112" spans="1:6" s="874" customFormat="1" ht="36">
      <c r="A112" s="878">
        <v>52</v>
      </c>
      <c r="B112" s="3702"/>
      <c r="C112" s="878" t="s">
        <v>727</v>
      </c>
      <c r="D112" s="814" t="s">
        <v>728</v>
      </c>
      <c r="E112" s="891">
        <v>0.2</v>
      </c>
      <c r="F112" s="878">
        <v>30</v>
      </c>
    </row>
    <row r="113" spans="1:6" s="874" customFormat="1" ht="36">
      <c r="A113" s="878">
        <v>53</v>
      </c>
      <c r="B113" s="3702"/>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702" t="s">
        <v>737</v>
      </c>
      <c r="C116" s="878" t="s">
        <v>738</v>
      </c>
      <c r="D116" s="814" t="s">
        <v>739</v>
      </c>
      <c r="E116" s="891">
        <v>0.2</v>
      </c>
      <c r="F116" s="878">
        <v>30</v>
      </c>
    </row>
    <row r="117" spans="1:6" ht="36">
      <c r="A117" s="878">
        <v>57</v>
      </c>
      <c r="B117" s="3702"/>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1.0961000000000001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9" t="s">
        <v>3002</v>
      </c>
    </row>
    <row r="2" spans="1:5" ht="15.6">
      <c r="A2" s="2908" t="s">
        <v>2994</v>
      </c>
      <c r="B2" s="2909">
        <f ca="1">SUMIF(B6:B13,"&lt;&gt;#ref!",B6:B13)</f>
        <v>0</v>
      </c>
      <c r="C2" s="2908" t="s">
        <v>2995</v>
      </c>
      <c r="D2" s="2908" t="s">
        <v>2996</v>
      </c>
      <c r="E2" s="2909">
        <f ca="1">SUMIF(E6:E13,"&lt;&gt;#ref!",E6:E13)</f>
        <v>96744.28</v>
      </c>
    </row>
    <row r="3" spans="1:5" ht="15.6">
      <c r="A3" s="2908" t="s">
        <v>2997</v>
      </c>
      <c r="B3" s="2909">
        <f ca="1">ROUND(B2*10000/E2,0)</f>
        <v>0</v>
      </c>
      <c r="C3" s="2908" t="s">
        <v>3003</v>
      </c>
      <c r="D3" s="2910"/>
      <c r="E3" s="2910"/>
    </row>
    <row r="4" spans="1:5" ht="15.6">
      <c r="A4" s="2911"/>
      <c r="B4" s="2910"/>
      <c r="C4" s="2910"/>
      <c r="D4" s="2910"/>
      <c r="E4" s="2910"/>
    </row>
    <row r="5" spans="1:5" ht="31.2">
      <c r="A5" s="2912" t="s">
        <v>2998</v>
      </c>
      <c r="B5" s="2908" t="s">
        <v>2999</v>
      </c>
      <c r="C5" s="2909"/>
      <c r="D5" s="2910"/>
      <c r="E5" s="2908" t="s">
        <v>3000</v>
      </c>
    </row>
    <row r="6" spans="1:5" ht="15.6">
      <c r="A6" s="2913" t="s">
        <v>3001</v>
      </c>
      <c r="B6" s="2909">
        <f ca="1">SUMIF(INDIRECT("'"&amp;A6&amp;"'"&amp;"!A:A"),"总价",INDIRECT("'"&amp;A6&amp;"'"&amp;"!B:B"))</f>
        <v>0</v>
      </c>
      <c r="C6" s="2908" t="s">
        <v>2995</v>
      </c>
      <c r="D6" s="2910"/>
      <c r="E6" s="2573">
        <f ca="1">SUMIF(INDIRECT("'"&amp;A6&amp;"'"&amp;"!C:C"),"建筑面积",INDIRECT("'"&amp;A6&amp;"'"&amp;"!D:D"))</f>
        <v>96744.28</v>
      </c>
    </row>
    <row r="7" spans="1:5" ht="15.6">
      <c r="A7" s="2913"/>
      <c r="B7" s="2909" t="e">
        <f ca="1">SUMIF(INDIRECT("'"&amp;A7&amp;"'"&amp;"!A:A"),"总价",INDIRECT("'"&amp;A7&amp;"'"&amp;"!B:B"))</f>
        <v>#REF!</v>
      </c>
      <c r="C7" s="2908" t="s">
        <v>2995</v>
      </c>
      <c r="D7" s="2910"/>
      <c r="E7" s="2573" t="e">
        <f t="shared" ref="E7:E13" ca="1" si="0">SUMIF(INDIRECT("'"&amp;A7&amp;"'"&amp;"!C:C"),"建筑面积",INDIRECT("'"&amp;A7&amp;"'"&amp;"!D:D"))</f>
        <v>#REF!</v>
      </c>
    </row>
    <row r="8" spans="1:5" ht="15.6">
      <c r="A8" s="2913"/>
      <c r="B8" s="2909" t="e">
        <f t="shared" ref="B8:B13" ca="1" si="1">SUMIF(INDIRECT("'"&amp;A8&amp;"'"&amp;"!A:A"),"总价",INDIRECT("'"&amp;A8&amp;"'"&amp;"!B:B"))</f>
        <v>#REF!</v>
      </c>
      <c r="C8" s="2908" t="s">
        <v>2995</v>
      </c>
      <c r="D8" s="2910"/>
      <c r="E8" s="2573" t="e">
        <f t="shared" ca="1" si="0"/>
        <v>#REF!</v>
      </c>
    </row>
    <row r="9" spans="1:5" ht="15.6">
      <c r="A9" s="2913"/>
      <c r="B9" s="2909" t="e">
        <f t="shared" ca="1" si="1"/>
        <v>#REF!</v>
      </c>
      <c r="C9" s="2908" t="s">
        <v>2995</v>
      </c>
      <c r="D9" s="2910"/>
      <c r="E9" s="2573" t="e">
        <f t="shared" ca="1" si="0"/>
        <v>#REF!</v>
      </c>
    </row>
    <row r="10" spans="1:5" ht="15.6">
      <c r="A10" s="2913"/>
      <c r="B10" s="2909" t="e">
        <f t="shared" ca="1" si="1"/>
        <v>#REF!</v>
      </c>
      <c r="C10" s="2908" t="s">
        <v>2995</v>
      </c>
      <c r="D10" s="2910"/>
      <c r="E10" s="2573" t="e">
        <f t="shared" ca="1" si="0"/>
        <v>#REF!</v>
      </c>
    </row>
    <row r="11" spans="1:5" ht="15.6">
      <c r="A11" s="2913"/>
      <c r="B11" s="2909" t="e">
        <f t="shared" ca="1" si="1"/>
        <v>#REF!</v>
      </c>
      <c r="C11" s="2908" t="s">
        <v>2995</v>
      </c>
      <c r="D11" s="2910"/>
      <c r="E11" s="2573" t="e">
        <f t="shared" ca="1" si="0"/>
        <v>#REF!</v>
      </c>
    </row>
    <row r="12" spans="1:5" ht="15.6">
      <c r="A12" s="2913"/>
      <c r="B12" s="2909" t="e">
        <f t="shared" ca="1" si="1"/>
        <v>#REF!</v>
      </c>
      <c r="C12" s="2908" t="s">
        <v>2995</v>
      </c>
      <c r="D12" s="2910"/>
      <c r="E12" s="2573" t="e">
        <f t="shared" ca="1" si="0"/>
        <v>#REF!</v>
      </c>
    </row>
    <row r="13" spans="1:5" ht="15.6">
      <c r="A13" s="2913"/>
      <c r="B13" s="2909" t="e">
        <f t="shared" ca="1" si="1"/>
        <v>#REF!</v>
      </c>
      <c r="C13" s="2908" t="s">
        <v>2995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F1" zoomScale="80" zoomScaleNormal="80" workbookViewId="0">
      <selection activeCell="L14" sqref="L14"/>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708" t="s">
        <v>1150</v>
      </c>
      <c r="C1" s="3708"/>
      <c r="D1" s="3708"/>
      <c r="E1" s="3708"/>
      <c r="F1" s="3708"/>
      <c r="G1" s="3707" t="s">
        <v>1151</v>
      </c>
      <c r="H1" s="3707"/>
      <c r="I1" s="3707"/>
      <c r="J1" s="3707"/>
      <c r="K1" s="3707"/>
      <c r="L1" s="3707"/>
      <c r="N1" s="3707" t="s">
        <v>1152</v>
      </c>
      <c r="O1" s="3707"/>
      <c r="P1" s="3707"/>
      <c r="Q1" s="3707"/>
      <c r="R1" s="1445"/>
      <c r="S1" s="3707" t="s">
        <v>1153</v>
      </c>
      <c r="T1" s="3707"/>
      <c r="U1" s="3707"/>
      <c r="V1" s="3707"/>
      <c r="X1" s="3706" t="s">
        <v>1154</v>
      </c>
      <c r="Y1" s="3707"/>
      <c r="Z1" s="3707"/>
      <c r="AA1" s="3707"/>
      <c r="AB1" s="3707"/>
      <c r="AD1" s="3706" t="s">
        <v>1155</v>
      </c>
      <c r="AE1" s="3707"/>
      <c r="AF1" s="3707"/>
      <c r="AG1" s="3707"/>
      <c r="AH1" s="3707"/>
    </row>
    <row r="2" spans="1:34" s="1446" customFormat="1" ht="1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4">
      <c r="A3" s="2936" t="s">
        <v>3037</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4">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3043</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7">
        <v>2018</v>
      </c>
      <c r="H5" s="1729">
        <v>2</v>
      </c>
      <c r="I5" s="2922">
        <v>0</v>
      </c>
      <c r="J5" s="2922">
        <v>0</v>
      </c>
      <c r="K5" s="2922">
        <v>0</v>
      </c>
      <c r="L5" s="2922">
        <v>0</v>
      </c>
      <c r="N5" s="1466">
        <f t="shared" ref="N5" si="7">I5/100</f>
        <v>0</v>
      </c>
      <c r="O5" s="1466">
        <f t="shared" ref="O5" si="8">J5/100</f>
        <v>0</v>
      </c>
      <c r="P5" s="1466">
        <f t="shared" ref="P5" si="9">K5/100</f>
        <v>0</v>
      </c>
      <c r="Q5" s="1466">
        <f t="shared" ref="Q5" si="10">L5/100</f>
        <v>0</v>
      </c>
      <c r="R5" s="1731"/>
      <c r="S5" s="1732"/>
      <c r="T5" s="1731"/>
      <c r="U5" s="1731"/>
      <c r="V5" s="1731"/>
      <c r="W5" s="2926" t="s">
        <v>3038</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8" thickBot="1">
      <c r="A6" s="1460" t="s">
        <v>3036</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3033</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8" thickBot="1">
      <c r="A8" s="1460" t="s">
        <v>3034</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8"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709">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704"/>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704"/>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8"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705"/>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8" thickBot="1">
      <c r="A15" s="1460" t="s">
        <v>151</v>
      </c>
      <c r="B15" s="1468">
        <v>333</v>
      </c>
      <c r="C15" s="1468">
        <v>277</v>
      </c>
      <c r="D15" s="1468">
        <f t="shared" si="44"/>
        <v>277</v>
      </c>
      <c r="E15" s="1468">
        <v>459</v>
      </c>
      <c r="F15" s="1469">
        <v>249</v>
      </c>
      <c r="G15" s="3703">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704"/>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704"/>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705"/>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8" thickBot="1">
      <c r="A19" s="1460" t="s">
        <v>147</v>
      </c>
      <c r="B19" s="1489">
        <v>318</v>
      </c>
      <c r="C19" s="1489">
        <v>268</v>
      </c>
      <c r="D19" s="1489">
        <f t="shared" si="44"/>
        <v>268</v>
      </c>
      <c r="E19" s="1489">
        <v>437</v>
      </c>
      <c r="F19" s="1490">
        <v>237</v>
      </c>
      <c r="G19" s="3703">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704"/>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8"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704"/>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8"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705"/>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8" thickBot="1">
      <c r="A23" s="1460" t="s">
        <v>1163</v>
      </c>
      <c r="B23" s="1468">
        <v>299</v>
      </c>
      <c r="C23" s="1468">
        <v>252</v>
      </c>
      <c r="D23" s="1468">
        <f t="shared" si="44"/>
        <v>252</v>
      </c>
      <c r="E23" s="1468">
        <v>409</v>
      </c>
      <c r="F23" s="1469">
        <v>227</v>
      </c>
      <c r="G23" s="3710">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711"/>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711"/>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712"/>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8" thickBot="1">
      <c r="A27" s="1460" t="s">
        <v>1167</v>
      </c>
      <c r="B27" s="1510">
        <v>278</v>
      </c>
      <c r="C27" s="1510">
        <v>234</v>
      </c>
      <c r="D27" s="1510">
        <f t="shared" si="44"/>
        <v>234</v>
      </c>
      <c r="E27" s="1510">
        <v>379</v>
      </c>
      <c r="F27" s="1511">
        <v>220</v>
      </c>
      <c r="G27" s="3703">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704"/>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704"/>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8" thickBot="1">
      <c r="A30" s="1460" t="s">
        <v>1170</v>
      </c>
      <c r="B30" s="1476">
        <f>B29/(1+N29)</f>
        <v>275.19025476197027</v>
      </c>
      <c r="C30" s="1512">
        <v>232</v>
      </c>
      <c r="D30" s="1512">
        <f t="shared" si="44"/>
        <v>232</v>
      </c>
      <c r="E30" s="1476">
        <f t="shared" si="55"/>
        <v>375.65990977608692</v>
      </c>
      <c r="F30" s="1476">
        <f t="shared" si="55"/>
        <v>214.12518283971252</v>
      </c>
      <c r="G30" s="3705"/>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8" thickBot="1">
      <c r="A31" s="1460" t="s">
        <v>1171</v>
      </c>
      <c r="B31" s="1468">
        <v>275</v>
      </c>
      <c r="C31" s="1468">
        <v>232</v>
      </c>
      <c r="D31" s="1468">
        <f t="shared" si="44"/>
        <v>232</v>
      </c>
      <c r="E31" s="1468">
        <v>376</v>
      </c>
      <c r="F31" s="1469">
        <v>213</v>
      </c>
      <c r="G31" s="3703">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704">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704">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8"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705">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8" thickBot="1">
      <c r="A35" s="1460" t="s">
        <v>1175</v>
      </c>
      <c r="B35" s="1468">
        <v>269</v>
      </c>
      <c r="C35" s="1468">
        <v>221</v>
      </c>
      <c r="D35" s="1468">
        <f t="shared" si="44"/>
        <v>221</v>
      </c>
      <c r="E35" s="1468">
        <v>373</v>
      </c>
      <c r="F35" s="1469">
        <v>196</v>
      </c>
      <c r="G35" s="3703">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704">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704">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8"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705">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8" thickBot="1">
      <c r="A39" s="1460" t="s">
        <v>1179</v>
      </c>
      <c r="B39" s="1468">
        <v>220</v>
      </c>
      <c r="C39" s="1468">
        <v>187</v>
      </c>
      <c r="D39" s="1468">
        <f t="shared" si="44"/>
        <v>187</v>
      </c>
      <c r="E39" s="1468">
        <v>301</v>
      </c>
      <c r="F39" s="1469">
        <v>168</v>
      </c>
      <c r="G39" s="3703">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704">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704">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705">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8" thickBot="1">
      <c r="A43" s="1460" t="s">
        <v>1183</v>
      </c>
      <c r="B43" s="1510">
        <v>214</v>
      </c>
      <c r="C43" s="1510">
        <v>188</v>
      </c>
      <c r="D43" s="1510">
        <f t="shared" si="44"/>
        <v>188</v>
      </c>
      <c r="E43" s="1510">
        <v>289</v>
      </c>
      <c r="F43" s="1511">
        <v>166</v>
      </c>
      <c r="G43" s="3703">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704">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704">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8"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705">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8" thickBot="1">
      <c r="A47" s="1460" t="s">
        <v>1187</v>
      </c>
      <c r="B47" s="1468">
        <v>188</v>
      </c>
      <c r="C47" s="1468">
        <v>165</v>
      </c>
      <c r="D47" s="1468">
        <f t="shared" si="44"/>
        <v>165</v>
      </c>
      <c r="E47" s="1468">
        <v>254</v>
      </c>
      <c r="F47" s="1469">
        <v>148</v>
      </c>
      <c r="G47" s="3703">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704">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704">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705">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8" thickBot="1">
      <c r="A51" s="1460" t="s">
        <v>1191</v>
      </c>
      <c r="B51" s="1489">
        <v>159</v>
      </c>
      <c r="C51" s="1489">
        <v>141</v>
      </c>
      <c r="D51" s="1489">
        <f t="shared" si="44"/>
        <v>141</v>
      </c>
      <c r="E51" s="1489">
        <v>195</v>
      </c>
      <c r="F51" s="1490">
        <v>122</v>
      </c>
      <c r="G51" s="3703">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704">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704">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705">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8" thickBot="1">
      <c r="A55" s="1460" t="s">
        <v>1195</v>
      </c>
      <c r="B55" s="1489">
        <v>138</v>
      </c>
      <c r="C55" s="1489">
        <v>131</v>
      </c>
      <c r="D55" s="1489">
        <f t="shared" si="44"/>
        <v>131</v>
      </c>
      <c r="E55" s="1489">
        <v>155</v>
      </c>
      <c r="F55" s="1490">
        <v>114</v>
      </c>
      <c r="G55" s="3703">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704">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704">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705">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8" thickBot="1">
      <c r="A59" s="1460" t="s">
        <v>1199</v>
      </c>
      <c r="B59" s="1510">
        <v>121</v>
      </c>
      <c r="C59" s="1510">
        <v>122</v>
      </c>
      <c r="D59" s="1510">
        <f t="shared" si="44"/>
        <v>122</v>
      </c>
      <c r="E59" s="1510">
        <v>124</v>
      </c>
      <c r="F59" s="1511">
        <v>107</v>
      </c>
      <c r="G59" s="3703">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704">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704">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8"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705">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8" thickBot="1">
      <c r="A63" s="1460" t="s">
        <v>1203</v>
      </c>
      <c r="B63" s="1531">
        <v>111</v>
      </c>
      <c r="C63" s="1531">
        <v>114</v>
      </c>
      <c r="D63" s="1531">
        <f t="shared" si="44"/>
        <v>114</v>
      </c>
      <c r="E63" s="1531">
        <v>108</v>
      </c>
      <c r="F63" s="1532">
        <v>104</v>
      </c>
      <c r="G63" s="3703">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704">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704">
        <v>2003</v>
      </c>
      <c r="H65" s="1464">
        <v>2</v>
      </c>
      <c r="I65" s="1533"/>
      <c r="J65" s="1533"/>
      <c r="K65" s="1533"/>
      <c r="L65" s="1533"/>
      <c r="X65" s="1525"/>
      <c r="Y65" s="1525"/>
      <c r="Z65" s="1525"/>
    </row>
    <row r="66" spans="1:26" ht="13.8" thickBot="1">
      <c r="A66" s="1460" t="s">
        <v>1206</v>
      </c>
      <c r="B66" s="1535">
        <f t="shared" si="80"/>
        <v>107.25</v>
      </c>
      <c r="C66" s="1535">
        <f t="shared" si="80"/>
        <v>108.75</v>
      </c>
      <c r="D66" s="1535">
        <f t="shared" si="44"/>
        <v>108.75</v>
      </c>
      <c r="E66" s="1535">
        <f t="shared" si="81"/>
        <v>105.75</v>
      </c>
      <c r="F66" s="1535">
        <f t="shared" si="81"/>
        <v>102.5</v>
      </c>
      <c r="G66" s="3705">
        <v>2003</v>
      </c>
      <c r="H66" s="1536">
        <v>1</v>
      </c>
      <c r="I66" s="1533"/>
      <c r="J66" s="1533"/>
      <c r="K66" s="1533"/>
      <c r="L66" s="1533"/>
      <c r="S66" s="1471"/>
      <c r="T66" s="1472"/>
      <c r="U66" s="1472"/>
      <c r="X66" s="1525"/>
      <c r="Y66" s="1525"/>
      <c r="Z66" s="1525"/>
    </row>
    <row r="67" spans="1:26" ht="13.8" thickBot="1">
      <c r="A67" s="1460" t="s">
        <v>1207</v>
      </c>
      <c r="B67" s="1537">
        <v>106</v>
      </c>
      <c r="C67" s="1537">
        <v>107</v>
      </c>
      <c r="D67" s="1537">
        <f t="shared" si="44"/>
        <v>107</v>
      </c>
      <c r="E67" s="1537">
        <v>105</v>
      </c>
      <c r="F67" s="1538">
        <v>102</v>
      </c>
      <c r="G67" s="3703">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704">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704">
        <v>2002</v>
      </c>
      <c r="H69" s="1464">
        <v>2</v>
      </c>
      <c r="I69" s="1533"/>
      <c r="J69" s="1533"/>
      <c r="K69" s="1533"/>
      <c r="L69" s="1533"/>
      <c r="X69" s="1525"/>
      <c r="Y69" s="1525"/>
      <c r="Z69" s="1525"/>
    </row>
    <row r="70" spans="1:26" s="1497" customFormat="1" ht="13.8" thickBot="1">
      <c r="A70" s="1493" t="s">
        <v>1210</v>
      </c>
      <c r="B70" s="1539">
        <f t="shared" si="82"/>
        <v>103</v>
      </c>
      <c r="C70" s="1539">
        <f t="shared" si="82"/>
        <v>104</v>
      </c>
      <c r="D70" s="1539">
        <f t="shared" si="44"/>
        <v>104</v>
      </c>
      <c r="E70" s="1539">
        <f t="shared" si="83"/>
        <v>103.5</v>
      </c>
      <c r="F70" s="1539">
        <f t="shared" si="83"/>
        <v>100.5</v>
      </c>
      <c r="G70" s="3705">
        <v>2002</v>
      </c>
      <c r="H70" s="1540">
        <v>1</v>
      </c>
      <c r="I70" s="1541"/>
      <c r="J70" s="1541"/>
      <c r="K70" s="1541"/>
      <c r="L70" s="1541"/>
      <c r="N70" s="1542"/>
      <c r="S70" s="1542"/>
      <c r="X70" s="1543"/>
      <c r="Y70" s="1543"/>
      <c r="Z70" s="1543"/>
    </row>
    <row r="71" spans="1:26" ht="13.8"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8"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8"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203" t="s">
        <v>3004</v>
      </c>
      <c r="C1" s="3714" t="s">
        <v>3005</v>
      </c>
      <c r="D1" s="3715"/>
      <c r="E1" s="3715"/>
      <c r="F1" s="3715"/>
      <c r="G1" s="3715"/>
      <c r="H1" s="3715"/>
      <c r="I1" s="3715"/>
      <c r="J1" s="3715"/>
      <c r="K1" s="3715"/>
      <c r="L1" s="3715"/>
      <c r="M1" s="3715"/>
      <c r="N1" s="3715"/>
      <c r="O1" s="3715"/>
      <c r="P1" s="3715"/>
      <c r="Q1" s="3715"/>
      <c r="R1" s="3715"/>
      <c r="S1" s="3716"/>
      <c r="T1" s="1203" t="s">
        <v>3006</v>
      </c>
    </row>
    <row r="2" spans="1:45" s="705" customFormat="1">
      <c r="A2" s="1204"/>
      <c r="B2" s="701" t="s">
        <v>3007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5"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6"/>
      <c r="C3" s="707"/>
      <c r="D3" s="708"/>
      <c r="E3" s="708"/>
      <c r="F3" s="1703"/>
      <c r="G3" s="1703"/>
      <c r="H3" s="1703"/>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4"/>
      <c r="B5" s="1768" t="s">
        <v>3008</v>
      </c>
      <c r="C5" s="1215"/>
      <c r="D5" s="1216"/>
      <c r="E5" s="1216"/>
      <c r="F5" s="1710"/>
      <c r="G5" s="1710"/>
      <c r="H5" s="1710"/>
      <c r="I5" s="1710"/>
      <c r="J5" s="1710"/>
      <c r="K5" s="1710"/>
      <c r="L5" s="1711"/>
      <c r="M5" s="1712"/>
      <c r="N5" s="1712"/>
      <c r="O5" s="1710"/>
      <c r="P5" s="1710"/>
      <c r="Q5" s="1710"/>
      <c r="R5" s="1710"/>
      <c r="S5" s="1713"/>
      <c r="T5" s="1218"/>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4"/>
      <c r="B7" s="1769" t="s">
        <v>3009</v>
      </c>
      <c r="C7" s="1120"/>
      <c r="D7" s="1114"/>
      <c r="E7" s="1114"/>
      <c r="F7" s="1715"/>
      <c r="G7" s="1715"/>
      <c r="H7" s="1715"/>
      <c r="I7" s="1715"/>
      <c r="J7" s="1715"/>
      <c r="K7" s="1715"/>
      <c r="L7" s="1715"/>
      <c r="M7" s="1716"/>
      <c r="N7" s="1717"/>
      <c r="O7" s="1718"/>
      <c r="P7" s="1719"/>
      <c r="Q7" s="1720"/>
      <c r="R7" s="1721"/>
      <c r="S7" s="1722"/>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4"/>
      <c r="B9" s="1769" t="s">
        <v>3010</v>
      </c>
      <c r="C9" s="1120"/>
      <c r="D9" s="1114"/>
      <c r="E9" s="1114"/>
      <c r="F9" s="1715"/>
      <c r="G9" s="1715"/>
      <c r="H9" s="1715"/>
      <c r="I9" s="1715"/>
      <c r="J9" s="1715"/>
      <c r="K9" s="1715"/>
      <c r="L9" s="1723"/>
      <c r="M9" s="1716"/>
      <c r="N9" s="1717"/>
      <c r="O9" s="1718"/>
      <c r="P9" s="1719"/>
      <c r="Q9" s="1720"/>
      <c r="R9" s="1721"/>
      <c r="S9" s="1722"/>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4"/>
      <c r="B11" s="1768" t="s">
        <v>3011</v>
      </c>
      <c r="C11" s="1215"/>
      <c r="D11" s="1216"/>
      <c r="E11" s="1216"/>
      <c r="F11" s="1216"/>
      <c r="G11" s="1216"/>
      <c r="H11" s="1216"/>
      <c r="I11" s="1216"/>
      <c r="J11" s="1216"/>
      <c r="K11" s="1216"/>
      <c r="L11" s="1216"/>
      <c r="M11" s="1217"/>
      <c r="N11" s="1221"/>
      <c r="O11" s="1222"/>
      <c r="P11" s="1223"/>
      <c r="Q11" s="1224"/>
      <c r="R11" s="1225"/>
      <c r="S11" s="1226"/>
      <c r="T11" s="1218"/>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4"/>
      <c r="B13" s="1768" t="s">
        <v>3012</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4"/>
      <c r="B15" s="1768" t="s">
        <v>3013</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14" t="s">
        <v>3014</v>
      </c>
      <c r="B17" s="2915"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5"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6"/>
      <c r="B19" s="166"/>
      <c r="C19" s="166"/>
      <c r="D19" s="2916" t="s">
        <v>3016</v>
      </c>
      <c r="E19" s="1791"/>
      <c r="F19" s="1791"/>
      <c r="G19" s="1791"/>
      <c r="H19" s="1279"/>
      <c r="I19" s="166"/>
      <c r="J19" s="166"/>
      <c r="K19" s="166"/>
      <c r="L19" s="166"/>
      <c r="M19" s="166"/>
      <c r="N19" s="166"/>
      <c r="O19" s="166"/>
      <c r="P19" s="166"/>
      <c r="Q19" s="166"/>
      <c r="R19" s="785"/>
      <c r="S19" s="136"/>
    </row>
    <row r="20" spans="1:45" ht="16.2" thickBot="1">
      <c r="A20" s="713" t="s">
        <v>3017</v>
      </c>
      <c r="B20" s="336" t="e">
        <f ca="1">IF(D20="——",S22,S22-F20)</f>
        <v>#REF!</v>
      </c>
      <c r="C20" s="166"/>
      <c r="D20" s="2917" t="s">
        <v>3018</v>
      </c>
      <c r="E20" s="1792"/>
      <c r="F20" s="1203" t="e">
        <f ca="1">SUMIF(INDIRECT("'"&amp;H20&amp;"'"&amp;"!A:A"),"承租人权益价值",INDIRECT("'"&amp;H20&amp;"'"&amp;"!c:c"))</f>
        <v>#REF!</v>
      </c>
      <c r="G20" s="1203" t="s">
        <v>3019</v>
      </c>
      <c r="H20" s="2918"/>
      <c r="I20" s="166"/>
      <c r="J20" s="166"/>
      <c r="K20" s="166"/>
      <c r="L20" s="166"/>
      <c r="M20" s="166"/>
      <c r="N20" s="166"/>
      <c r="O20" s="166"/>
      <c r="P20" s="166"/>
      <c r="Q20" s="166"/>
      <c r="R20" s="785"/>
      <c r="S20" s="136"/>
    </row>
    <row r="21" spans="1:45" ht="15.6">
      <c r="A21" s="713" t="s">
        <v>3020</v>
      </c>
      <c r="B21" s="336">
        <f>R22</f>
        <v>10000</v>
      </c>
      <c r="C21" s="166"/>
      <c r="D21" s="166"/>
      <c r="E21" s="166"/>
      <c r="F21" s="166"/>
      <c r="G21" s="166"/>
      <c r="H21" s="166"/>
      <c r="I21" s="166"/>
      <c r="J21" s="166"/>
      <c r="K21" s="166"/>
      <c r="L21" s="166"/>
      <c r="M21" s="166"/>
      <c r="N21" s="166"/>
      <c r="O21" s="166"/>
      <c r="P21" s="166"/>
      <c r="Q21" s="166"/>
      <c r="R21" s="785"/>
      <c r="S21" s="136"/>
    </row>
    <row r="22" spans="1:45">
      <c r="A22" s="359" t="s">
        <v>3021</v>
      </c>
      <c r="B22" s="23">
        <f>SUM(B24:B10000)</f>
        <v>100</v>
      </c>
      <c r="C22" s="3532" t="s">
        <v>33</v>
      </c>
      <c r="D22" s="3533"/>
      <c r="E22" s="3533"/>
      <c r="F22" s="3533"/>
      <c r="G22" s="3533"/>
      <c r="H22" s="3533"/>
      <c r="I22" s="3533"/>
      <c r="J22" s="3533"/>
      <c r="K22" s="3533"/>
      <c r="L22" s="3533"/>
      <c r="M22" s="3533"/>
      <c r="N22" s="3533"/>
      <c r="O22" s="3533"/>
      <c r="P22" s="3533"/>
      <c r="Q22" s="3713"/>
      <c r="R22" s="714">
        <f>ROUND(S22*10000/B22,0)</f>
        <v>10000</v>
      </c>
      <c r="S22" s="23">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52360</v>
      </c>
      <c r="C2" s="2" t="s">
        <v>133</v>
      </c>
      <c r="D2" s="241"/>
      <c r="E2" s="241"/>
      <c r="F2" s="241"/>
      <c r="G2" s="241"/>
    </row>
    <row r="3" spans="1:7" s="242" customFormat="1" ht="18" customHeight="1" thickBot="1">
      <c r="A3" s="245" t="s">
        <v>85</v>
      </c>
      <c r="B3" s="246">
        <f ca="1">ROUND(B2*10000/'数据-汇总表'!E3,0)</f>
        <v>5069</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8" t="s">
        <v>791</v>
      </c>
      <c r="B6" s="257" t="s">
        <v>91</v>
      </c>
      <c r="C6" s="258">
        <v>20000</v>
      </c>
      <c r="D6" s="259"/>
      <c r="E6" s="260"/>
      <c r="F6" s="260"/>
      <c r="G6" s="261"/>
    </row>
    <row r="7" spans="1:7" s="256" customFormat="1" ht="13.5" customHeight="1">
      <c r="A7" s="948" t="s">
        <v>792</v>
      </c>
      <c r="B7" s="257" t="s">
        <v>57</v>
      </c>
      <c r="C7" s="262">
        <f>ROUND(C6*F7,0)</f>
        <v>610</v>
      </c>
      <c r="D7" s="262"/>
      <c r="E7" s="260"/>
      <c r="F7" s="263">
        <f>'数据-取费表'!B48+'数据-取费表'!B49</f>
        <v>3.0499999999999999E-2</v>
      </c>
      <c r="G7" s="261"/>
    </row>
    <row r="8" spans="1:7" s="265" customFormat="1">
      <c r="A8" s="948" t="s">
        <v>793</v>
      </c>
      <c r="B8" s="257" t="s">
        <v>92</v>
      </c>
      <c r="C8" s="262" t="str">
        <f>IF(G8="已包含在土地购买价格中","0",'数据-取费表'!B29)</f>
        <v>0</v>
      </c>
      <c r="D8" s="264"/>
      <c r="E8" s="262"/>
      <c r="F8" s="263"/>
      <c r="G8" s="1" t="s">
        <v>1148</v>
      </c>
    </row>
    <row r="9" spans="1:7" s="256" customFormat="1" ht="13.5" customHeight="1">
      <c r="A9" s="949" t="s">
        <v>800</v>
      </c>
      <c r="B9" s="266" t="s">
        <v>93</v>
      </c>
      <c r="C9" s="267">
        <f>ROUND(D9*E9/10000,0)</f>
        <v>0</v>
      </c>
      <c r="D9" s="1031">
        <f>'数据-汇总表'!E5</f>
        <v>0</v>
      </c>
      <c r="E9" s="267">
        <f>'数据-取费表'!B27</f>
        <v>0</v>
      </c>
      <c r="F9" s="263"/>
      <c r="G9" s="268"/>
    </row>
    <row r="10" spans="1:7" s="256" customFormat="1" ht="13.5" customHeight="1">
      <c r="A10" s="949" t="s">
        <v>801</v>
      </c>
      <c r="B10" s="266" t="s">
        <v>94</v>
      </c>
      <c r="C10" s="267">
        <f>ROUND(D10*E10/10000,0)</f>
        <v>1963</v>
      </c>
      <c r="D10" s="1031">
        <f>'数据-汇总表'!E6</f>
        <v>103304.44</v>
      </c>
      <c r="E10" s="267">
        <f>'数据-取费表'!B28</f>
        <v>190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1055</v>
      </c>
      <c r="B19" s="252" t="s">
        <v>111</v>
      </c>
      <c r="C19" s="253">
        <f>IF(G19="已包含在土地取得成本中","0",ROUND(D19*E19/10000,0))</f>
        <v>1963</v>
      </c>
      <c r="D19" s="1035">
        <f>'数据-汇总表'!E3</f>
        <v>103304.44</v>
      </c>
      <c r="E19" s="253">
        <f>'数据-取费表'!B31</f>
        <v>190</v>
      </c>
      <c r="F19" s="273"/>
      <c r="G19" s="1" t="s">
        <v>1074</v>
      </c>
    </row>
    <row r="20" spans="1:7" s="256" customFormat="1" ht="13.5" customHeight="1">
      <c r="A20" s="947" t="s">
        <v>1057</v>
      </c>
      <c r="B20" s="252" t="s">
        <v>104</v>
      </c>
      <c r="C20" s="274">
        <f>ROUND((C5+C19)*F20,0)</f>
        <v>451</v>
      </c>
      <c r="D20" s="274"/>
      <c r="E20" s="274"/>
      <c r="F20" s="275">
        <f>'数据-取费表'!B37</f>
        <v>0.02</v>
      </c>
      <c r="G20" s="1288" t="s">
        <v>1068</v>
      </c>
    </row>
    <row r="21" spans="1:7" s="256" customFormat="1" ht="13.5" customHeight="1">
      <c r="A21" s="947" t="s">
        <v>1059</v>
      </c>
      <c r="B21" s="252" t="s">
        <v>105</v>
      </c>
      <c r="C21" s="277">
        <f>F21</f>
        <v>0.02</v>
      </c>
      <c r="D21" s="278" t="s">
        <v>126</v>
      </c>
      <c r="E21" s="274"/>
      <c r="F21" s="275">
        <f>'数据-取费表'!B38</f>
        <v>0.02</v>
      </c>
      <c r="G21" s="276" t="s">
        <v>106</v>
      </c>
    </row>
    <row r="22" spans="1:7" s="256" customFormat="1" ht="13.5" customHeight="1">
      <c r="A22" s="947" t="s">
        <v>786</v>
      </c>
      <c r="B22" s="252" t="s">
        <v>107</v>
      </c>
      <c r="C22" s="1353">
        <f ca="1">ROUND(SUM(C23:C25),0)</f>
        <v>1418</v>
      </c>
      <c r="D22" s="277">
        <f ca="1">C26</f>
        <v>5.9999999999999995E-4</v>
      </c>
      <c r="E22" s="278" t="s">
        <v>126</v>
      </c>
      <c r="F22" s="279">
        <f ca="1">'数据-取费表'!B40</f>
        <v>4.7500000000000001E-2</v>
      </c>
      <c r="G22" s="1288" t="str">
        <f>IF('数据-取费表'!B22&lt;=1,"单利计息","复利计息")</f>
        <v>复利计息</v>
      </c>
    </row>
    <row r="23" spans="1:7" s="256" customFormat="1" ht="13.5" customHeight="1">
      <c r="A23" s="950" t="s">
        <v>794</v>
      </c>
      <c r="B23" s="257" t="s">
        <v>1061</v>
      </c>
      <c r="C23" s="1354">
        <f ca="1">ROUND(IF('数据-取费表'!B22&lt;=1,C5*F22*'数据-取费表'!B23,C5*(POWER((1+F22),'数据-取费表'!B23)-1)),0)</f>
        <v>1282</v>
      </c>
      <c r="D23" s="280"/>
      <c r="E23" s="280"/>
      <c r="F23" s="281"/>
      <c r="G23" s="282" t="s">
        <v>108</v>
      </c>
    </row>
    <row r="24" spans="1:7" s="256" customFormat="1" ht="13.5" customHeight="1">
      <c r="A24" s="950" t="s">
        <v>792</v>
      </c>
      <c r="B24" s="257" t="s">
        <v>1056</v>
      </c>
      <c r="C24" s="1354">
        <f ca="1">ROUND(IF('数据-取费表'!B22&lt;=1,C19*F22*('数据-取费表'!B19/2+'数据-取费表'!B21),C19*(POWER((1+F22),('数据-取费表'!B19/2+'数据-取费表'!B21))-1)),0)</f>
        <v>122</v>
      </c>
      <c r="D24" s="280"/>
      <c r="E24" s="280"/>
      <c r="F24" s="281"/>
      <c r="G24" s="282" t="s">
        <v>109</v>
      </c>
    </row>
    <row r="25" spans="1:7" s="256" customFormat="1" ht="24">
      <c r="A25" s="950" t="s">
        <v>793</v>
      </c>
      <c r="B25" s="257" t="s">
        <v>1058</v>
      </c>
      <c r="C25" s="1354">
        <f ca="1">ROUND(IF('数据-取费表'!B22&lt;=1,C20*F22*'数据-取费表'!B23/2,C20*(POWER((1+F22),'数据-取费表'!B23/2)-1)),0)</f>
        <v>14</v>
      </c>
      <c r="D25" s="280"/>
      <c r="E25" s="283"/>
      <c r="F25" s="281"/>
      <c r="G25" s="284" t="s">
        <v>110</v>
      </c>
    </row>
    <row r="26" spans="1:7" s="256" customFormat="1">
      <c r="A26" s="950" t="s">
        <v>795</v>
      </c>
      <c r="B26" s="257" t="s">
        <v>1060</v>
      </c>
      <c r="C26" s="280">
        <f ca="1">ROUND(IF('数据-取费表'!B22&lt;=1,F21*F22*'数据-取费表'!B23/2,F21*(POWER((1+F22),'数据-取费表'!B23/2)-1)),4)</f>
        <v>5.9999999999999995E-4</v>
      </c>
      <c r="D26" s="280"/>
      <c r="E26" s="283"/>
      <c r="F26" s="281"/>
      <c r="G26" s="285"/>
    </row>
    <row r="27" spans="1:7" s="256" customFormat="1" ht="26.4">
      <c r="A27" s="947" t="s">
        <v>787</v>
      </c>
      <c r="B27" s="286" t="s">
        <v>112</v>
      </c>
      <c r="C27" s="287">
        <f>C28</f>
        <v>2095</v>
      </c>
      <c r="D27" s="277">
        <f>C29</f>
        <v>1.8E-3</v>
      </c>
      <c r="E27" s="278" t="s">
        <v>126</v>
      </c>
      <c r="F27" s="288">
        <f>'数据-取费表'!Q16</f>
        <v>0.14000000000000001</v>
      </c>
      <c r="G27" s="289" t="s">
        <v>1069</v>
      </c>
    </row>
    <row r="28" spans="1:7" s="256" customFormat="1" ht="13.5" customHeight="1">
      <c r="A28" s="950" t="s">
        <v>794</v>
      </c>
      <c r="B28" s="290" t="s">
        <v>1062</v>
      </c>
      <c r="C28" s="291">
        <f>ROUND((C5+C19+C20)*F27*'数据-取费表'!B21/'数据-取费表'!B20,0)</f>
        <v>2095</v>
      </c>
      <c r="D28" s="277"/>
      <c r="E28" s="278"/>
      <c r="F28" s="288"/>
      <c r="G28" s="289"/>
    </row>
    <row r="29" spans="1:7" s="256" customFormat="1" ht="13.5" customHeight="1">
      <c r="A29" s="950" t="s">
        <v>792</v>
      </c>
      <c r="B29" s="290" t="s">
        <v>1063</v>
      </c>
      <c r="C29" s="280">
        <f>ROUND(C21*F27*'数据-取费表'!B21/'数据-取费表'!B20,4)</f>
        <v>1.8E-3</v>
      </c>
      <c r="D29" s="277"/>
      <c r="E29" s="278"/>
      <c r="F29" s="288"/>
      <c r="G29" s="289"/>
    </row>
    <row r="30" spans="1:7" s="256" customFormat="1" ht="13.5" customHeight="1">
      <c r="A30" s="947"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28682</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18328</v>
      </c>
      <c r="D33" s="274"/>
      <c r="E33" s="254"/>
      <c r="F33" s="283"/>
      <c r="G33" s="276"/>
    </row>
    <row r="34" spans="1:7" s="300" customFormat="1" ht="13.5" customHeight="1">
      <c r="A34" s="950" t="s">
        <v>794</v>
      </c>
      <c r="B34" s="257" t="s">
        <v>59</v>
      </c>
      <c r="C34" s="262">
        <f>IF(F34=100%,'数据-取费表'!M16-SUMIF('数据-取费表'!C:C,"公共配套",'数据-取费表'!M:M),'数据-取费表'!O16-SUMIF('数据-取费表'!C:C,"公共配套",'数据-取费表'!O:O))</f>
        <v>16103</v>
      </c>
      <c r="D34" s="259"/>
      <c r="E34" s="262"/>
      <c r="F34" s="299">
        <f>IF('数据-取费表'!B24=0,1,'数据-取费表'!N16)</f>
        <v>0.64800000000000002</v>
      </c>
      <c r="G34" s="261" t="s">
        <v>116</v>
      </c>
    </row>
    <row r="35" spans="1:7" ht="13.5" customHeight="1">
      <c r="A35" s="950" t="s">
        <v>796</v>
      </c>
      <c r="B35" s="257" t="s">
        <v>60</v>
      </c>
      <c r="C35" s="262">
        <f>ROUND(C34*F35,0)</f>
        <v>644</v>
      </c>
      <c r="D35" s="262"/>
      <c r="E35" s="262"/>
      <c r="F35" s="301">
        <f>'数据-取费表'!B33</f>
        <v>0.04</v>
      </c>
      <c r="G35" s="261" t="s">
        <v>117</v>
      </c>
    </row>
    <row r="36" spans="1:7" ht="24">
      <c r="A36" s="950"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50" t="s">
        <v>798</v>
      </c>
      <c r="B37" s="257" t="s">
        <v>118</v>
      </c>
      <c r="C37" s="291">
        <f>ROUND(E37*D37*F34/10000,0)</f>
        <v>1339</v>
      </c>
      <c r="D37" s="259">
        <f>'数据-汇总表'!E3</f>
        <v>103304.44</v>
      </c>
      <c r="E37" s="291">
        <f>'数据-取费表'!B35</f>
        <v>200</v>
      </c>
      <c r="F37" s="301"/>
      <c r="G37" s="303" t="s">
        <v>119</v>
      </c>
    </row>
    <row r="38" spans="1:7" ht="13.5" customHeight="1">
      <c r="A38" s="950" t="s">
        <v>799</v>
      </c>
      <c r="B38" s="257" t="s">
        <v>63</v>
      </c>
      <c r="C38" s="262">
        <f>ROUND(C34*F38,0)</f>
        <v>242</v>
      </c>
      <c r="D38" s="262"/>
      <c r="E38" s="262"/>
      <c r="F38" s="301">
        <f>'数据-取费表'!B36</f>
        <v>1.4999999999999999E-2</v>
      </c>
      <c r="G38" s="261" t="s">
        <v>117</v>
      </c>
    </row>
    <row r="39" spans="1:7" s="256" customFormat="1" ht="13.5" customHeight="1">
      <c r="A39" s="947" t="s">
        <v>783</v>
      </c>
      <c r="B39" s="252" t="s">
        <v>104</v>
      </c>
      <c r="C39" s="274">
        <f>ROUND(C33*F20,0)</f>
        <v>367</v>
      </c>
      <c r="D39" s="274"/>
      <c r="E39" s="274"/>
      <c r="F39" s="275"/>
      <c r="G39" s="1288" t="s">
        <v>1071</v>
      </c>
    </row>
    <row r="40" spans="1:7" s="256" customFormat="1" ht="13.5" customHeight="1">
      <c r="A40" s="947" t="s">
        <v>784</v>
      </c>
      <c r="B40" s="252" t="s">
        <v>105</v>
      </c>
      <c r="C40" s="304">
        <f>F21</f>
        <v>0.02</v>
      </c>
      <c r="D40" s="278" t="s">
        <v>129</v>
      </c>
      <c r="E40" s="274"/>
      <c r="F40" s="275"/>
      <c r="G40" s="276" t="s">
        <v>120</v>
      </c>
    </row>
    <row r="41" spans="1:7" s="256" customFormat="1" ht="13.5" customHeight="1">
      <c r="A41" s="947" t="s">
        <v>785</v>
      </c>
      <c r="B41" s="252" t="s">
        <v>107</v>
      </c>
      <c r="C41" s="274">
        <f ca="1">ROUND(SUM(C42:C43),0)</f>
        <v>572</v>
      </c>
      <c r="D41" s="277">
        <f ca="1">C44</f>
        <v>5.9999999999999995E-4</v>
      </c>
      <c r="E41" s="278" t="s">
        <v>129</v>
      </c>
      <c r="F41" s="279"/>
      <c r="G41" s="1288" t="str">
        <f>IF('数据-取费表'!B22&lt;=1,"单利计息","复利计息")</f>
        <v>复利计息</v>
      </c>
    </row>
    <row r="42" spans="1:7" ht="13.5" customHeight="1">
      <c r="A42" s="950" t="s">
        <v>794</v>
      </c>
      <c r="B42" s="257" t="s">
        <v>1061</v>
      </c>
      <c r="C42" s="280">
        <f ca="1">ROUND(IF('数据-取费表'!B22&lt;=1,C33*F22*'数据-取费表'!B21/2,C33*(POWER((1+F22),'数据-取费表'!B21/2)-1)),0)</f>
        <v>561</v>
      </c>
      <c r="D42" s="280"/>
      <c r="E42" s="280"/>
      <c r="F42" s="281"/>
      <c r="G42" s="3537" t="s">
        <v>121</v>
      </c>
    </row>
    <row r="43" spans="1:7" ht="13.5" customHeight="1">
      <c r="A43" s="950" t="s">
        <v>792</v>
      </c>
      <c r="B43" s="257" t="s">
        <v>1064</v>
      </c>
      <c r="C43" s="280">
        <f ca="1">ROUND(IF('数据-取费表'!B22&lt;=1,C39*F22*'数据-取费表'!B21/2,C39*(POWER((1+F22),'数据-取费表'!B21/2)-1)),0)</f>
        <v>11</v>
      </c>
      <c r="D43" s="280"/>
      <c r="E43" s="280"/>
      <c r="F43" s="281"/>
      <c r="G43" s="3538"/>
    </row>
    <row r="44" spans="1:7" ht="13.5" customHeight="1">
      <c r="A44" s="950" t="s">
        <v>793</v>
      </c>
      <c r="B44" s="257" t="s">
        <v>1066</v>
      </c>
      <c r="C44" s="280">
        <f ca="1">ROUND(IF('数据-取费表'!B22&lt;=1,C40*F22*'数据-取费表'!B21/2,C40*(POWER((1+F22),'数据-取费表'!B21/2)-1)),4)</f>
        <v>5.9999999999999995E-4</v>
      </c>
      <c r="D44" s="280"/>
      <c r="E44" s="280"/>
      <c r="F44" s="281"/>
      <c r="G44" s="3539"/>
    </row>
    <row r="45" spans="1:7" s="256" customFormat="1" ht="13.5" customHeight="1">
      <c r="A45" s="947" t="s">
        <v>786</v>
      </c>
      <c r="B45" s="286" t="s">
        <v>112</v>
      </c>
      <c r="C45" s="287">
        <f>C46</f>
        <v>2617</v>
      </c>
      <c r="D45" s="277">
        <f>C47</f>
        <v>2.8E-3</v>
      </c>
      <c r="E45" s="278" t="s">
        <v>129</v>
      </c>
      <c r="F45" s="288"/>
      <c r="G45" s="289" t="s">
        <v>1072</v>
      </c>
    </row>
    <row r="46" spans="1:7" s="256" customFormat="1" ht="13.5" customHeight="1">
      <c r="A46" s="950" t="s">
        <v>794</v>
      </c>
      <c r="B46" s="290" t="s">
        <v>1065</v>
      </c>
      <c r="C46" s="291">
        <f>ROUND((C33+C39)*F27,0)</f>
        <v>2617</v>
      </c>
      <c r="D46" s="305"/>
      <c r="E46" s="278"/>
      <c r="F46" s="288"/>
      <c r="G46" s="289"/>
    </row>
    <row r="47" spans="1:7" s="256" customFormat="1" ht="13.5" customHeight="1">
      <c r="A47" s="950" t="s">
        <v>792</v>
      </c>
      <c r="B47" s="290" t="s">
        <v>1067</v>
      </c>
      <c r="C47" s="280">
        <f>ROUND(C40*F27,4)</f>
        <v>2.8E-3</v>
      </c>
      <c r="D47" s="305"/>
      <c r="E47" s="278"/>
      <c r="F47" s="288"/>
      <c r="G47" s="289"/>
    </row>
    <row r="48" spans="1:7" s="256" customFormat="1" ht="13.5" customHeight="1">
      <c r="A48" s="947" t="s">
        <v>787</v>
      </c>
      <c r="B48" s="252" t="s">
        <v>122</v>
      </c>
      <c r="C48" s="304">
        <f>F30</f>
        <v>5.5000000000000007E-2</v>
      </c>
      <c r="D48" s="278" t="s">
        <v>130</v>
      </c>
      <c r="E48" s="274"/>
      <c r="F48" s="279"/>
      <c r="G48" s="276" t="s">
        <v>123</v>
      </c>
    </row>
    <row r="49" spans="1:7" ht="16.5" customHeight="1">
      <c r="A49" s="947" t="s">
        <v>788</v>
      </c>
      <c r="B49" s="252" t="s">
        <v>131</v>
      </c>
      <c r="C49" s="274">
        <f ca="1">ROUND((C33+C39+C41+C45)/(1-C40-D41-D45-C48/(1+'数据-取费表'!B42)),0)</f>
        <v>23678</v>
      </c>
      <c r="D49" s="274"/>
      <c r="E49" s="274"/>
      <c r="F49" s="306"/>
      <c r="G49" s="276" t="s">
        <v>1073</v>
      </c>
    </row>
    <row r="50" spans="1:7" s="300" customFormat="1" ht="24">
      <c r="A50" s="947" t="s">
        <v>789</v>
      </c>
      <c r="B50" s="252" t="s">
        <v>124</v>
      </c>
      <c r="C50" s="274"/>
      <c r="D50" s="274"/>
      <c r="E50" s="274"/>
      <c r="F50" s="306">
        <f>IF('数据-取费表'!B24=0,'数据-取费表'!N16,1)</f>
        <v>1</v>
      </c>
      <c r="G50" s="289" t="s">
        <v>125</v>
      </c>
    </row>
    <row r="51" spans="1:7" ht="16.5" customHeight="1">
      <c r="A51" s="947" t="s">
        <v>790</v>
      </c>
      <c r="B51" s="252" t="s">
        <v>132</v>
      </c>
      <c r="C51" s="274">
        <f ca="1">ROUND(C49*F50,0)</f>
        <v>23678</v>
      </c>
      <c r="D51" s="274"/>
      <c r="E51" s="274"/>
      <c r="F51" s="306"/>
      <c r="G51" s="276" t="s">
        <v>64</v>
      </c>
    </row>
    <row r="52" spans="1:7" s="250" customFormat="1" ht="16.8" thickBot="1">
      <c r="A52" s="307" t="s">
        <v>65</v>
      </c>
      <c r="B52" s="308"/>
      <c r="C52" s="309">
        <f ca="1">C31+C51</f>
        <v>52360</v>
      </c>
      <c r="D52" s="308"/>
      <c r="E52" s="308"/>
      <c r="F52" s="308"/>
      <c r="G52" s="310"/>
    </row>
    <row r="55" spans="1:7" ht="15">
      <c r="B55" s="312" t="s">
        <v>66</v>
      </c>
      <c r="C55" s="313"/>
    </row>
    <row r="56" spans="1:7">
      <c r="B56" s="315" t="s">
        <v>67</v>
      </c>
      <c r="C56" s="316">
        <f ca="1">ROUND(C51/C52,3)</f>
        <v>0.45200000000000001</v>
      </c>
    </row>
    <row r="57" spans="1:7">
      <c r="B57" s="315" t="s">
        <v>68</v>
      </c>
      <c r="C57" s="317">
        <f ca="1">1-C56</f>
        <v>0.54800000000000004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717" t="s">
        <v>156</v>
      </c>
      <c r="B1" s="3717"/>
      <c r="C1" s="3717"/>
      <c r="D1" s="3717"/>
      <c r="E1" s="3717"/>
      <c r="F1" s="371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718" t="s">
        <v>169</v>
      </c>
      <c r="B2" s="3718"/>
      <c r="C2" s="3718"/>
      <c r="D2" s="3718"/>
      <c r="E2" s="3718"/>
      <c r="F2" s="371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71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72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717" t="s">
        <v>871</v>
      </c>
      <c r="B1" s="3717"/>
    </row>
    <row r="2" spans="1:6" ht="15" thickBot="1">
      <c r="A2" s="1056"/>
      <c r="B2" s="1056"/>
    </row>
    <row r="3" spans="1:6" ht="15" thickBot="1">
      <c r="A3" s="1056"/>
      <c r="B3" s="1056"/>
      <c r="C3" s="1060" t="s">
        <v>874</v>
      </c>
      <c r="D3" s="1060" t="s">
        <v>875</v>
      </c>
      <c r="E3" s="1060" t="s">
        <v>876</v>
      </c>
      <c r="F3" s="1060" t="s">
        <v>877</v>
      </c>
    </row>
    <row r="4" spans="1:6" ht="15" thickBot="1">
      <c r="A4" s="1058" t="s">
        <v>872</v>
      </c>
      <c r="B4" s="1059" t="s">
        <v>873</v>
      </c>
      <c r="C4" s="1060"/>
      <c r="D4" s="1060"/>
      <c r="E4" s="1060"/>
      <c r="F4" s="1060"/>
    </row>
    <row r="5" spans="1:6" ht="15" thickBot="1">
      <c r="A5" s="836" t="s">
        <v>878</v>
      </c>
      <c r="B5" s="837" t="s">
        <v>879</v>
      </c>
      <c r="C5" s="1061">
        <v>8.8999999999999996E-2</v>
      </c>
      <c r="D5" s="1061">
        <v>7.3999999999999996E-2</v>
      </c>
      <c r="E5" s="1061">
        <v>7.4999999999999997E-2</v>
      </c>
      <c r="F5" s="1062">
        <v>0.1</v>
      </c>
    </row>
    <row r="6" spans="1:6" ht="15" thickBot="1">
      <c r="A6" s="836" t="s">
        <v>212</v>
      </c>
      <c r="B6" s="830" t="s">
        <v>880</v>
      </c>
      <c r="C6" s="1063">
        <v>0.1</v>
      </c>
      <c r="D6" s="1063">
        <v>9.0999999999999998E-2</v>
      </c>
      <c r="E6" s="1063">
        <v>9.0999999999999998E-2</v>
      </c>
      <c r="F6" s="1064">
        <v>0.1</v>
      </c>
    </row>
    <row r="7" spans="1:6" ht="15" thickBot="1">
      <c r="A7" s="836" t="s">
        <v>212</v>
      </c>
      <c r="B7" s="840" t="s">
        <v>201</v>
      </c>
      <c r="C7" s="1063">
        <v>8.5999999999999993E-2</v>
      </c>
      <c r="D7" s="1063">
        <v>9.6000000000000002E-2</v>
      </c>
      <c r="E7" s="1063">
        <v>7.5999999999999998E-2</v>
      </c>
      <c r="F7" s="1064">
        <v>0.1</v>
      </c>
    </row>
    <row r="8" spans="1:6" ht="15" thickBot="1">
      <c r="A8" s="836" t="s">
        <v>212</v>
      </c>
      <c r="B8" s="830" t="s">
        <v>213</v>
      </c>
      <c r="C8" s="1063">
        <v>9.9000000000000005E-2</v>
      </c>
      <c r="D8" s="1063">
        <v>9.8000000000000004E-2</v>
      </c>
      <c r="E8" s="1063">
        <v>9.8000000000000004E-2</v>
      </c>
      <c r="F8" s="1064">
        <v>0.1</v>
      </c>
    </row>
    <row r="9" spans="1:6" ht="15" thickBot="1">
      <c r="A9" s="846" t="s">
        <v>212</v>
      </c>
      <c r="B9" s="841" t="s">
        <v>225</v>
      </c>
      <c r="C9" s="1065">
        <v>0.05</v>
      </c>
      <c r="D9" s="1073"/>
      <c r="E9" s="1073"/>
      <c r="F9" s="1074"/>
    </row>
    <row r="10" spans="1:6" ht="15" thickBot="1">
      <c r="A10" s="836" t="s">
        <v>269</v>
      </c>
      <c r="B10" s="837" t="s">
        <v>881</v>
      </c>
      <c r="C10" s="1061">
        <v>8.8999999999999996E-2</v>
      </c>
      <c r="D10" s="1061">
        <v>7.2999999999999995E-2</v>
      </c>
      <c r="E10" s="1061">
        <v>8.2000000000000003E-2</v>
      </c>
      <c r="F10" s="1062">
        <v>0.1</v>
      </c>
    </row>
    <row r="11" spans="1:6" ht="15" thickBot="1">
      <c r="A11" s="836" t="s">
        <v>269</v>
      </c>
      <c r="B11" s="840" t="s">
        <v>188</v>
      </c>
      <c r="C11" s="1063">
        <v>8.8999999999999996E-2</v>
      </c>
      <c r="D11" s="1063">
        <v>7.2999999999999995E-2</v>
      </c>
      <c r="E11" s="1063">
        <v>8.2000000000000003E-2</v>
      </c>
      <c r="F11" s="1064">
        <v>0.1</v>
      </c>
    </row>
    <row r="12" spans="1:6" ht="15" thickBot="1">
      <c r="A12" s="836" t="s">
        <v>269</v>
      </c>
      <c r="B12" s="840" t="s">
        <v>138</v>
      </c>
      <c r="C12" s="1063">
        <v>6.0999999999999999E-2</v>
      </c>
      <c r="D12" s="1063">
        <v>7.0999999999999994E-2</v>
      </c>
      <c r="E12" s="1063">
        <v>9.6000000000000002E-2</v>
      </c>
      <c r="F12" s="1064">
        <v>0.1</v>
      </c>
    </row>
    <row r="13" spans="1:6" ht="15" thickBot="1">
      <c r="A13" s="836" t="s">
        <v>269</v>
      </c>
      <c r="B13" s="840" t="s">
        <v>214</v>
      </c>
      <c r="C13" s="1063">
        <v>6.9000000000000006E-2</v>
      </c>
      <c r="D13" s="1063">
        <v>6.5000000000000002E-2</v>
      </c>
      <c r="E13" s="1063">
        <v>6.6000000000000003E-2</v>
      </c>
      <c r="F13" s="1064">
        <v>0.1</v>
      </c>
    </row>
    <row r="14" spans="1:6" ht="15" thickBot="1">
      <c r="A14" s="836" t="s">
        <v>269</v>
      </c>
      <c r="B14" s="840" t="s">
        <v>226</v>
      </c>
      <c r="C14" s="1063">
        <v>0.1</v>
      </c>
      <c r="D14" s="1063">
        <v>6.5000000000000002E-2</v>
      </c>
      <c r="E14" s="1063">
        <v>7.0000000000000007E-2</v>
      </c>
      <c r="F14" s="1064">
        <v>0.1</v>
      </c>
    </row>
    <row r="15" spans="1:6" ht="15" thickBot="1">
      <c r="A15" s="836" t="s">
        <v>269</v>
      </c>
      <c r="B15" s="840" t="s">
        <v>237</v>
      </c>
      <c r="C15" s="1063">
        <v>9.8000000000000004E-2</v>
      </c>
      <c r="D15" s="1063">
        <v>8.8999999999999996E-2</v>
      </c>
      <c r="E15" s="1063">
        <v>8.8999999999999996E-2</v>
      </c>
      <c r="F15" s="1064">
        <v>0.1</v>
      </c>
    </row>
    <row r="16" spans="1:6" ht="15" thickBot="1">
      <c r="A16" s="836" t="s">
        <v>269</v>
      </c>
      <c r="B16" s="840" t="s">
        <v>248</v>
      </c>
      <c r="C16" s="1063">
        <v>7.0000000000000007E-2</v>
      </c>
      <c r="D16" s="1063">
        <v>9.2999999999999999E-2</v>
      </c>
      <c r="E16" s="1063">
        <v>9.6000000000000002E-2</v>
      </c>
      <c r="F16" s="1064">
        <v>0.1</v>
      </c>
    </row>
    <row r="17" spans="1:6" ht="15" thickBot="1">
      <c r="A17" s="836" t="s">
        <v>269</v>
      </c>
      <c r="B17" s="840" t="s">
        <v>259</v>
      </c>
      <c r="C17" s="1063">
        <v>9.5000000000000001E-2</v>
      </c>
      <c r="D17" s="1063">
        <v>0.1</v>
      </c>
      <c r="E17" s="1063">
        <v>0.1</v>
      </c>
      <c r="F17" s="1075"/>
    </row>
    <row r="18" spans="1:6" ht="15" thickBot="1">
      <c r="A18" s="836" t="s">
        <v>269</v>
      </c>
      <c r="B18" s="840" t="s">
        <v>271</v>
      </c>
      <c r="C18" s="1063">
        <v>7.3999999999999996E-2</v>
      </c>
      <c r="D18" s="1063">
        <v>9.9000000000000005E-2</v>
      </c>
      <c r="E18" s="1063">
        <v>0.1</v>
      </c>
      <c r="F18" s="1075"/>
    </row>
    <row r="19" spans="1:6" ht="15" thickBot="1">
      <c r="A19" s="836" t="s">
        <v>269</v>
      </c>
      <c r="B19" s="840" t="s">
        <v>281</v>
      </c>
      <c r="C19" s="1063">
        <v>9.9000000000000005E-2</v>
      </c>
      <c r="D19" s="1063">
        <v>7.5999999999999998E-2</v>
      </c>
      <c r="E19" s="1063">
        <v>8.6999999999999994E-2</v>
      </c>
      <c r="F19" s="1075"/>
    </row>
    <row r="20" spans="1:6" ht="15" thickBot="1">
      <c r="A20" s="836" t="s">
        <v>269</v>
      </c>
      <c r="B20" s="840" t="s">
        <v>291</v>
      </c>
      <c r="C20" s="1063">
        <v>9.8000000000000004E-2</v>
      </c>
      <c r="D20" s="1063">
        <v>8.5000000000000006E-2</v>
      </c>
      <c r="E20" s="1063">
        <v>8.2000000000000003E-2</v>
      </c>
      <c r="F20" s="1075"/>
    </row>
    <row r="21" spans="1:6" ht="15" thickBot="1">
      <c r="A21" s="836" t="s">
        <v>269</v>
      </c>
      <c r="B21" s="840" t="s">
        <v>301</v>
      </c>
      <c r="C21" s="1063">
        <v>6.6000000000000003E-2</v>
      </c>
      <c r="D21" s="1063">
        <v>6.4000000000000001E-2</v>
      </c>
      <c r="E21" s="1063">
        <v>6.5000000000000002E-2</v>
      </c>
      <c r="F21" s="1075"/>
    </row>
    <row r="22" spans="1:6" ht="15" thickBot="1">
      <c r="A22" s="836" t="s">
        <v>269</v>
      </c>
      <c r="B22" s="840" t="s">
        <v>882</v>
      </c>
      <c r="C22" s="1063">
        <v>0.08</v>
      </c>
      <c r="D22" s="1063">
        <v>9.8000000000000004E-2</v>
      </c>
      <c r="E22" s="1063">
        <v>9.8000000000000004E-2</v>
      </c>
      <c r="F22" s="1075"/>
    </row>
    <row r="23" spans="1:6" ht="15" thickBot="1">
      <c r="A23" s="836" t="s">
        <v>269</v>
      </c>
      <c r="B23" s="840" t="s">
        <v>322</v>
      </c>
      <c r="C23" s="1063">
        <v>9.9000000000000005E-2</v>
      </c>
      <c r="D23" s="1063">
        <v>9.8000000000000004E-2</v>
      </c>
      <c r="E23" s="1063">
        <v>9.0999999999999998E-2</v>
      </c>
      <c r="F23" s="1075"/>
    </row>
    <row r="24" spans="1:6" ht="15" thickBot="1">
      <c r="A24" s="836" t="s">
        <v>269</v>
      </c>
      <c r="B24" s="840" t="s">
        <v>333</v>
      </c>
      <c r="C24" s="1063">
        <v>8.8999999999999996E-2</v>
      </c>
      <c r="D24" s="1063">
        <v>9.7000000000000003E-2</v>
      </c>
      <c r="E24" s="1063">
        <v>7.0000000000000007E-2</v>
      </c>
      <c r="F24" s="1075"/>
    </row>
    <row r="25" spans="1:6" ht="15" thickBot="1">
      <c r="A25" s="836" t="s">
        <v>269</v>
      </c>
      <c r="B25" s="840" t="s">
        <v>343</v>
      </c>
      <c r="C25" s="1063">
        <v>8.8999999999999996E-2</v>
      </c>
      <c r="D25" s="1063">
        <v>0.1</v>
      </c>
      <c r="E25" s="1063">
        <v>8.1000000000000003E-2</v>
      </c>
      <c r="F25" s="1075"/>
    </row>
    <row r="26" spans="1:6" ht="15" thickBot="1">
      <c r="A26" s="836" t="s">
        <v>269</v>
      </c>
      <c r="B26" s="840" t="s">
        <v>353</v>
      </c>
      <c r="C26" s="1076"/>
      <c r="D26" s="1063">
        <v>9.6000000000000002E-2</v>
      </c>
      <c r="E26" s="1063">
        <v>9.2999999999999999E-2</v>
      </c>
      <c r="F26" s="1075"/>
    </row>
    <row r="27" spans="1:6" ht="15" thickBot="1">
      <c r="A27" s="836" t="s">
        <v>269</v>
      </c>
      <c r="B27" s="840" t="s">
        <v>363</v>
      </c>
      <c r="C27" s="1076"/>
      <c r="D27" s="1063">
        <v>7.5999999999999998E-2</v>
      </c>
      <c r="E27" s="1063">
        <v>9.1999999999999998E-2</v>
      </c>
      <c r="F27" s="1075"/>
    </row>
    <row r="28" spans="1:6" ht="15" thickBot="1">
      <c r="A28" s="846" t="s">
        <v>269</v>
      </c>
      <c r="B28" s="841" t="s">
        <v>373</v>
      </c>
      <c r="C28" s="1073"/>
      <c r="D28" s="1065">
        <v>7.5999999999999998E-2</v>
      </c>
      <c r="E28" s="1065">
        <v>9.1999999999999998E-2</v>
      </c>
      <c r="F28" s="1074"/>
    </row>
    <row r="29" spans="1:6" ht="15" thickBot="1">
      <c r="A29" s="836" t="s">
        <v>442</v>
      </c>
      <c r="B29" s="837" t="s">
        <v>883</v>
      </c>
      <c r="C29" s="1061">
        <v>6.4000000000000001E-2</v>
      </c>
      <c r="D29" s="1061">
        <v>6.5000000000000002E-2</v>
      </c>
      <c r="E29" s="1061">
        <v>6.9000000000000006E-2</v>
      </c>
      <c r="F29" s="1062">
        <v>0.1</v>
      </c>
    </row>
    <row r="30" spans="1:6" ht="15" thickBot="1">
      <c r="A30" s="836" t="s">
        <v>442</v>
      </c>
      <c r="B30" s="840" t="s">
        <v>189</v>
      </c>
      <c r="C30" s="1063">
        <v>6.4000000000000001E-2</v>
      </c>
      <c r="D30" s="1063">
        <v>9.9000000000000005E-2</v>
      </c>
      <c r="E30" s="1063">
        <v>0.1</v>
      </c>
      <c r="F30" s="1064">
        <v>0.1</v>
      </c>
    </row>
    <row r="31" spans="1:6" ht="15" thickBot="1">
      <c r="A31" s="836" t="s">
        <v>442</v>
      </c>
      <c r="B31" s="840" t="s">
        <v>202</v>
      </c>
      <c r="C31" s="1063">
        <v>0.1</v>
      </c>
      <c r="D31" s="1063">
        <v>9.5000000000000001E-2</v>
      </c>
      <c r="E31" s="1063">
        <v>8.8999999999999996E-2</v>
      </c>
      <c r="F31" s="1064">
        <v>0.1</v>
      </c>
    </row>
    <row r="32" spans="1:6" ht="15" thickBot="1">
      <c r="A32" s="836" t="s">
        <v>442</v>
      </c>
      <c r="B32" s="840" t="s">
        <v>215</v>
      </c>
      <c r="C32" s="1063">
        <v>0.05</v>
      </c>
      <c r="D32" s="1063">
        <v>0.05</v>
      </c>
      <c r="E32" s="1063">
        <v>8.7999999999999995E-2</v>
      </c>
      <c r="F32" s="1064">
        <v>0.1</v>
      </c>
    </row>
    <row r="33" spans="1:6" ht="15" thickBot="1">
      <c r="A33" s="836" t="s">
        <v>442</v>
      </c>
      <c r="B33" s="840" t="s">
        <v>227</v>
      </c>
      <c r="C33" s="1063">
        <v>7.4999999999999997E-2</v>
      </c>
      <c r="D33" s="1063">
        <v>9.4E-2</v>
      </c>
      <c r="E33" s="1063">
        <v>9.7000000000000003E-2</v>
      </c>
      <c r="F33" s="1064">
        <v>0.1</v>
      </c>
    </row>
    <row r="34" spans="1:6" ht="15" thickBot="1">
      <c r="A34" s="836" t="s">
        <v>442</v>
      </c>
      <c r="B34" s="840" t="s">
        <v>238</v>
      </c>
      <c r="C34" s="1063">
        <v>9.8000000000000004E-2</v>
      </c>
      <c r="D34" s="1063">
        <v>8.5999999999999993E-2</v>
      </c>
      <c r="E34" s="1063">
        <v>9.7000000000000003E-2</v>
      </c>
      <c r="F34" s="1064">
        <v>0.1</v>
      </c>
    </row>
    <row r="35" spans="1:6" ht="15" thickBot="1">
      <c r="A35" s="836" t="s">
        <v>442</v>
      </c>
      <c r="B35" s="840" t="s">
        <v>249</v>
      </c>
      <c r="C35" s="1063">
        <v>5.8999999999999997E-2</v>
      </c>
      <c r="D35" s="1063">
        <v>6.5000000000000002E-2</v>
      </c>
      <c r="E35" s="1063">
        <v>7.0000000000000007E-2</v>
      </c>
      <c r="F35" s="1064">
        <v>0.1</v>
      </c>
    </row>
    <row r="36" spans="1:6" ht="15" thickBot="1">
      <c r="A36" s="836" t="s">
        <v>442</v>
      </c>
      <c r="B36" s="840" t="s">
        <v>260</v>
      </c>
      <c r="C36" s="1063">
        <v>6.3E-2</v>
      </c>
      <c r="D36" s="1063">
        <v>0.1</v>
      </c>
      <c r="E36" s="1063">
        <v>0.1</v>
      </c>
      <c r="F36" s="1064">
        <v>0.1</v>
      </c>
    </row>
    <row r="37" spans="1:6" ht="15" thickBot="1">
      <c r="A37" s="836" t="s">
        <v>442</v>
      </c>
      <c r="B37" s="840" t="s">
        <v>272</v>
      </c>
      <c r="C37" s="1063">
        <v>7.3999999999999996E-2</v>
      </c>
      <c r="D37" s="1063">
        <v>0.1</v>
      </c>
      <c r="E37" s="1063">
        <v>0.1</v>
      </c>
      <c r="F37" s="1064">
        <v>0.1</v>
      </c>
    </row>
    <row r="38" spans="1:6" ht="15" thickBot="1">
      <c r="A38" s="836" t="s">
        <v>442</v>
      </c>
      <c r="B38" s="840" t="s">
        <v>282</v>
      </c>
      <c r="C38" s="1063">
        <v>0.1</v>
      </c>
      <c r="D38" s="1063">
        <v>9.6000000000000002E-2</v>
      </c>
      <c r="E38" s="1063">
        <v>9.6000000000000002E-2</v>
      </c>
      <c r="F38" s="1075"/>
    </row>
    <row r="39" spans="1:6" ht="15" thickBot="1">
      <c r="A39" s="836" t="s">
        <v>442</v>
      </c>
      <c r="B39" s="840" t="s">
        <v>292</v>
      </c>
      <c r="C39" s="1063">
        <v>0.1</v>
      </c>
      <c r="D39" s="1063">
        <v>9.6000000000000002E-2</v>
      </c>
      <c r="E39" s="1063">
        <v>9.6000000000000002E-2</v>
      </c>
      <c r="F39" s="1075"/>
    </row>
    <row r="40" spans="1:6" ht="15" thickBot="1">
      <c r="A40" s="836" t="s">
        <v>442</v>
      </c>
      <c r="B40" s="840" t="s">
        <v>302</v>
      </c>
      <c r="C40" s="1063">
        <v>9.6000000000000002E-2</v>
      </c>
      <c r="D40" s="1063">
        <v>0.1</v>
      </c>
      <c r="E40" s="1063">
        <v>9.9000000000000005E-2</v>
      </c>
      <c r="F40" s="1075"/>
    </row>
    <row r="41" spans="1:6" ht="15" thickBot="1">
      <c r="A41" s="836" t="s">
        <v>442</v>
      </c>
      <c r="B41" s="840" t="s">
        <v>312</v>
      </c>
      <c r="C41" s="1063">
        <v>9.6000000000000002E-2</v>
      </c>
      <c r="D41" s="1063">
        <v>9.8000000000000004E-2</v>
      </c>
      <c r="E41" s="1063">
        <v>9.8000000000000004E-2</v>
      </c>
      <c r="F41" s="1075"/>
    </row>
    <row r="42" spans="1:6" ht="15" thickBot="1">
      <c r="A42" s="836" t="s">
        <v>442</v>
      </c>
      <c r="B42" s="840" t="s">
        <v>323</v>
      </c>
      <c r="C42" s="1063">
        <v>0.1</v>
      </c>
      <c r="D42" s="1063">
        <v>8.7999999999999995E-2</v>
      </c>
      <c r="E42" s="1063">
        <v>0.1</v>
      </c>
      <c r="F42" s="1075"/>
    </row>
    <row r="43" spans="1:6" ht="15" thickBot="1">
      <c r="A43" s="836" t="s">
        <v>442</v>
      </c>
      <c r="B43" s="840" t="s">
        <v>334</v>
      </c>
      <c r="C43" s="1063">
        <v>9.8000000000000004E-2</v>
      </c>
      <c r="D43" s="1063">
        <v>9.7000000000000003E-2</v>
      </c>
      <c r="E43" s="1063">
        <v>9.6000000000000002E-2</v>
      </c>
      <c r="F43" s="1075"/>
    </row>
    <row r="44" spans="1:6" ht="15" thickBot="1">
      <c r="A44" s="836" t="s">
        <v>442</v>
      </c>
      <c r="B44" s="840" t="s">
        <v>344</v>
      </c>
      <c r="C44" s="1063">
        <v>8.5999999999999993E-2</v>
      </c>
      <c r="D44" s="1063">
        <v>7.9000000000000001E-2</v>
      </c>
      <c r="E44" s="1063">
        <v>7.0999999999999994E-2</v>
      </c>
      <c r="F44" s="1075"/>
    </row>
    <row r="45" spans="1:6" ht="15" thickBot="1">
      <c r="A45" s="836" t="s">
        <v>442</v>
      </c>
      <c r="B45" s="840" t="s">
        <v>354</v>
      </c>
      <c r="C45" s="1063">
        <v>9.8000000000000004E-2</v>
      </c>
      <c r="D45" s="1063">
        <v>9.6000000000000002E-2</v>
      </c>
      <c r="E45" s="1063">
        <v>9.6000000000000002E-2</v>
      </c>
      <c r="F45" s="1075"/>
    </row>
    <row r="46" spans="1:6" ht="15" thickBot="1">
      <c r="A46" s="836" t="s">
        <v>442</v>
      </c>
      <c r="B46" s="840" t="s">
        <v>364</v>
      </c>
      <c r="C46" s="1063">
        <v>8.5999999999999993E-2</v>
      </c>
      <c r="D46" s="1063">
        <v>9.8000000000000004E-2</v>
      </c>
      <c r="E46" s="1063">
        <v>8.7999999999999995E-2</v>
      </c>
      <c r="F46" s="1075"/>
    </row>
    <row r="47" spans="1:6" ht="15" thickBot="1">
      <c r="A47" s="836" t="s">
        <v>442</v>
      </c>
      <c r="B47" s="840" t="s">
        <v>374</v>
      </c>
      <c r="C47" s="1063">
        <v>9.6000000000000002E-2</v>
      </c>
      <c r="D47" s="1076"/>
      <c r="E47" s="1063">
        <v>6.9000000000000006E-2</v>
      </c>
      <c r="F47" s="1075"/>
    </row>
    <row r="48" spans="1:6" ht="15" thickBot="1">
      <c r="A48" s="846" t="s">
        <v>442</v>
      </c>
      <c r="B48" s="841" t="s">
        <v>383</v>
      </c>
      <c r="C48" s="1065">
        <v>9.8000000000000004E-2</v>
      </c>
      <c r="D48" s="1073"/>
      <c r="E48" s="1065">
        <v>9.5000000000000001E-2</v>
      </c>
      <c r="F48" s="1074"/>
    </row>
    <row r="49" spans="1:6" ht="15" thickBot="1">
      <c r="A49" s="836" t="s">
        <v>137</v>
      </c>
      <c r="B49" s="837" t="s">
        <v>884</v>
      </c>
      <c r="C49" s="1061">
        <v>9.7000000000000003E-2</v>
      </c>
      <c r="D49" s="1061">
        <v>9.5000000000000001E-2</v>
      </c>
      <c r="E49" s="1061">
        <v>9.7000000000000003E-2</v>
      </c>
      <c r="F49" s="1062">
        <v>0.1</v>
      </c>
    </row>
    <row r="50" spans="1:6" ht="15" thickBot="1">
      <c r="A50" s="836" t="s">
        <v>137</v>
      </c>
      <c r="B50" s="830" t="s">
        <v>190</v>
      </c>
      <c r="C50" s="1063">
        <v>7.4999999999999997E-2</v>
      </c>
      <c r="D50" s="1063">
        <v>9.5000000000000001E-2</v>
      </c>
      <c r="E50" s="1063">
        <v>0.1</v>
      </c>
      <c r="F50" s="1064">
        <v>0.1</v>
      </c>
    </row>
    <row r="51" spans="1:6" ht="15" thickBot="1">
      <c r="A51" s="836" t="s">
        <v>137</v>
      </c>
      <c r="B51" s="830" t="s">
        <v>203</v>
      </c>
      <c r="C51" s="1063">
        <v>9.8000000000000004E-2</v>
      </c>
      <c r="D51" s="1063">
        <v>8.8999999999999996E-2</v>
      </c>
      <c r="E51" s="1063">
        <v>0.1</v>
      </c>
      <c r="F51" s="1064">
        <v>0.1</v>
      </c>
    </row>
    <row r="52" spans="1:6" ht="15" thickBot="1">
      <c r="A52" s="836" t="s">
        <v>137</v>
      </c>
      <c r="B52" s="830" t="s">
        <v>216</v>
      </c>
      <c r="C52" s="1063">
        <v>9.8000000000000004E-2</v>
      </c>
      <c r="D52" s="1063">
        <v>9.7000000000000003E-2</v>
      </c>
      <c r="E52" s="1063">
        <v>8.1000000000000003E-2</v>
      </c>
      <c r="F52" s="1064">
        <v>0.1</v>
      </c>
    </row>
    <row r="53" spans="1:6" ht="15" thickBot="1">
      <c r="A53" s="836" t="s">
        <v>137</v>
      </c>
      <c r="B53" s="830" t="s">
        <v>228</v>
      </c>
      <c r="C53" s="1063">
        <v>9.7000000000000003E-2</v>
      </c>
      <c r="D53" s="1063">
        <v>7.5999999999999998E-2</v>
      </c>
      <c r="E53" s="1063">
        <v>7.0999999999999994E-2</v>
      </c>
      <c r="F53" s="1064">
        <v>0.1</v>
      </c>
    </row>
    <row r="54" spans="1:6" ht="15" thickBot="1">
      <c r="A54" s="836" t="s">
        <v>137</v>
      </c>
      <c r="B54" s="830" t="s">
        <v>239</v>
      </c>
      <c r="C54" s="1063">
        <v>7.5999999999999998E-2</v>
      </c>
      <c r="D54" s="1063">
        <v>0.1</v>
      </c>
      <c r="E54" s="1063">
        <v>9.9000000000000005E-2</v>
      </c>
      <c r="F54" s="1064">
        <v>0.1</v>
      </c>
    </row>
    <row r="55" spans="1:6" ht="15" thickBot="1">
      <c r="A55" s="836" t="s">
        <v>137</v>
      </c>
      <c r="B55" s="830" t="s">
        <v>250</v>
      </c>
      <c r="C55" s="1063">
        <v>0.1</v>
      </c>
      <c r="D55" s="1063">
        <v>0.1</v>
      </c>
      <c r="E55" s="1063">
        <v>9.6000000000000002E-2</v>
      </c>
      <c r="F55" s="1064">
        <v>0.1</v>
      </c>
    </row>
    <row r="56" spans="1:6" ht="15" thickBot="1">
      <c r="A56" s="836" t="s">
        <v>137</v>
      </c>
      <c r="B56" s="830" t="s">
        <v>261</v>
      </c>
      <c r="C56" s="1063">
        <v>0.1</v>
      </c>
      <c r="D56" s="1063">
        <v>9.6000000000000002E-2</v>
      </c>
      <c r="E56" s="1063">
        <v>5.1999999999999998E-2</v>
      </c>
      <c r="F56" s="1064">
        <v>0.1</v>
      </c>
    </row>
    <row r="57" spans="1:6" ht="15" thickBot="1">
      <c r="A57" s="836" t="s">
        <v>137</v>
      </c>
      <c r="B57" s="830" t="s">
        <v>273</v>
      </c>
      <c r="C57" s="1063">
        <v>9.7000000000000003E-2</v>
      </c>
      <c r="D57" s="1063">
        <v>9.6000000000000002E-2</v>
      </c>
      <c r="E57" s="1063">
        <v>9.6000000000000002E-2</v>
      </c>
      <c r="F57" s="1064">
        <v>0.1</v>
      </c>
    </row>
    <row r="58" spans="1:6" ht="15" thickBot="1">
      <c r="A58" s="836" t="s">
        <v>137</v>
      </c>
      <c r="B58" s="830" t="s">
        <v>283</v>
      </c>
      <c r="C58" s="1063">
        <v>9.6000000000000002E-2</v>
      </c>
      <c r="D58" s="1063">
        <v>9.9000000000000005E-2</v>
      </c>
      <c r="E58" s="1063">
        <v>9.6000000000000002E-2</v>
      </c>
      <c r="F58" s="1064">
        <v>0.1</v>
      </c>
    </row>
    <row r="59" spans="1:6" ht="15" thickBot="1">
      <c r="A59" s="836" t="s">
        <v>137</v>
      </c>
      <c r="B59" s="830" t="s">
        <v>293</v>
      </c>
      <c r="C59" s="1063">
        <v>7.1999999999999995E-2</v>
      </c>
      <c r="D59" s="1063">
        <v>9.6000000000000002E-2</v>
      </c>
      <c r="E59" s="1063">
        <v>7.0999999999999994E-2</v>
      </c>
      <c r="F59" s="1064">
        <v>0.1</v>
      </c>
    </row>
    <row r="60" spans="1:6" ht="15" thickBot="1">
      <c r="A60" s="836" t="s">
        <v>137</v>
      </c>
      <c r="B60" s="830" t="s">
        <v>303</v>
      </c>
      <c r="C60" s="1063">
        <v>9.6000000000000002E-2</v>
      </c>
      <c r="D60" s="1063">
        <v>8.8999999999999996E-2</v>
      </c>
      <c r="E60" s="1063">
        <v>9.6000000000000002E-2</v>
      </c>
      <c r="F60" s="1064">
        <v>0.1</v>
      </c>
    </row>
    <row r="61" spans="1:6" ht="15" thickBot="1">
      <c r="A61" s="836" t="s">
        <v>137</v>
      </c>
      <c r="B61" s="830" t="s">
        <v>313</v>
      </c>
      <c r="C61" s="1063">
        <v>8.8999999999999996E-2</v>
      </c>
      <c r="D61" s="1063">
        <v>9.8000000000000004E-2</v>
      </c>
      <c r="E61" s="1063">
        <v>8.7999999999999995E-2</v>
      </c>
      <c r="F61" s="1075"/>
    </row>
    <row r="62" spans="1:6" ht="15" thickBot="1">
      <c r="A62" s="836" t="s">
        <v>137</v>
      </c>
      <c r="B62" s="830" t="s">
        <v>324</v>
      </c>
      <c r="C62" s="1063">
        <v>9.8000000000000004E-2</v>
      </c>
      <c r="D62" s="1063">
        <v>9.2999999999999999E-2</v>
      </c>
      <c r="E62" s="1063">
        <v>9.7000000000000003E-2</v>
      </c>
      <c r="F62" s="1075"/>
    </row>
    <row r="63" spans="1:6" ht="15" thickBot="1">
      <c r="A63" s="836" t="s">
        <v>137</v>
      </c>
      <c r="B63" s="830" t="s">
        <v>335</v>
      </c>
      <c r="C63" s="1063">
        <v>9.6000000000000002E-2</v>
      </c>
      <c r="D63" s="1063">
        <v>9.8000000000000004E-2</v>
      </c>
      <c r="E63" s="1063">
        <v>0.09</v>
      </c>
      <c r="F63" s="1075"/>
    </row>
    <row r="64" spans="1:6" ht="15" thickBot="1">
      <c r="A64" s="836" t="s">
        <v>137</v>
      </c>
      <c r="B64" s="830" t="s">
        <v>345</v>
      </c>
      <c r="C64" s="1063">
        <v>9.9000000000000005E-2</v>
      </c>
      <c r="D64" s="1063">
        <v>9.7000000000000003E-2</v>
      </c>
      <c r="E64" s="1063">
        <v>9.9000000000000005E-2</v>
      </c>
      <c r="F64" s="1075"/>
    </row>
    <row r="65" spans="1:6" ht="15" thickBot="1">
      <c r="A65" s="836" t="s">
        <v>137</v>
      </c>
      <c r="B65" s="830" t="s">
        <v>355</v>
      </c>
      <c r="C65" s="1063">
        <v>9.8000000000000004E-2</v>
      </c>
      <c r="D65" s="1063">
        <v>9.6000000000000002E-2</v>
      </c>
      <c r="E65" s="1063">
        <v>9.6000000000000002E-2</v>
      </c>
      <c r="F65" s="1075"/>
    </row>
    <row r="66" spans="1:6" ht="15" thickBot="1">
      <c r="A66" s="836" t="s">
        <v>137</v>
      </c>
      <c r="B66" s="830" t="s">
        <v>365</v>
      </c>
      <c r="C66" s="1063">
        <v>9.6000000000000002E-2</v>
      </c>
      <c r="D66" s="1063">
        <v>9.1999999999999998E-2</v>
      </c>
      <c r="E66" s="1063">
        <v>9.6000000000000002E-2</v>
      </c>
      <c r="F66" s="1075"/>
    </row>
    <row r="67" spans="1:6" ht="15" thickBot="1">
      <c r="A67" s="836" t="s">
        <v>137</v>
      </c>
      <c r="B67" s="830" t="s">
        <v>375</v>
      </c>
      <c r="C67" s="1063">
        <v>9.4E-2</v>
      </c>
      <c r="D67" s="1063">
        <v>0.1</v>
      </c>
      <c r="E67" s="1063">
        <v>8.7999999999999995E-2</v>
      </c>
      <c r="F67" s="1075"/>
    </row>
    <row r="68" spans="1:6" ht="15" thickBot="1">
      <c r="A68" s="836" t="s">
        <v>137</v>
      </c>
      <c r="B68" s="830" t="s">
        <v>384</v>
      </c>
      <c r="C68" s="1063">
        <v>0.1</v>
      </c>
      <c r="D68" s="1063">
        <v>8.7999999999999995E-2</v>
      </c>
      <c r="E68" s="1063">
        <v>9.7000000000000003E-2</v>
      </c>
      <c r="F68" s="1075"/>
    </row>
    <row r="69" spans="1:6" ht="15" thickBot="1">
      <c r="A69" s="836" t="s">
        <v>137</v>
      </c>
      <c r="B69" s="830" t="s">
        <v>393</v>
      </c>
      <c r="C69" s="1063">
        <v>6.4000000000000001E-2</v>
      </c>
      <c r="D69" s="1063">
        <v>0.1</v>
      </c>
      <c r="E69" s="1063">
        <v>0.1</v>
      </c>
      <c r="F69" s="1075"/>
    </row>
    <row r="70" spans="1:6" ht="15" thickBot="1">
      <c r="A70" s="836" t="s">
        <v>137</v>
      </c>
      <c r="B70" s="830" t="s">
        <v>401</v>
      </c>
      <c r="C70" s="1063">
        <v>9.0999999999999998E-2</v>
      </c>
      <c r="D70" s="1076"/>
      <c r="E70" s="1076"/>
      <c r="F70" s="1075"/>
    </row>
    <row r="71" spans="1:6" ht="15" thickBot="1">
      <c r="A71" s="836" t="s">
        <v>137</v>
      </c>
      <c r="B71" s="830" t="s">
        <v>408</v>
      </c>
      <c r="C71" s="1063">
        <v>0.1</v>
      </c>
      <c r="D71" s="1076"/>
      <c r="E71" s="1076"/>
      <c r="F71" s="1075"/>
    </row>
    <row r="72" spans="1:6" ht="24.6" thickBot="1">
      <c r="A72" s="836" t="s">
        <v>137</v>
      </c>
      <c r="B72" s="830" t="s">
        <v>885</v>
      </c>
      <c r="C72" s="1076"/>
      <c r="D72" s="1076"/>
      <c r="E72" s="1076"/>
      <c r="F72" s="1064">
        <v>0.05</v>
      </c>
    </row>
    <row r="73" spans="1:6" ht="24.6" thickBot="1">
      <c r="A73" s="836" t="s">
        <v>137</v>
      </c>
      <c r="B73" s="830" t="s">
        <v>886</v>
      </c>
      <c r="C73" s="1076"/>
      <c r="D73" s="1076"/>
      <c r="E73" s="1076"/>
      <c r="F73" s="1064">
        <v>0.05</v>
      </c>
    </row>
    <row r="74" spans="1:6" ht="24.6" thickBot="1">
      <c r="A74" s="836" t="s">
        <v>137</v>
      </c>
      <c r="B74" s="830" t="s">
        <v>887</v>
      </c>
      <c r="C74" s="1076"/>
      <c r="D74" s="1076"/>
      <c r="E74" s="1076"/>
      <c r="F74" s="1064">
        <v>0.05</v>
      </c>
    </row>
    <row r="75" spans="1:6" ht="24.6" thickBot="1">
      <c r="A75" s="846" t="s">
        <v>137</v>
      </c>
      <c r="B75" s="842" t="s">
        <v>888</v>
      </c>
      <c r="C75" s="1073"/>
      <c r="D75" s="1073"/>
      <c r="E75" s="1073"/>
      <c r="F75" s="1066">
        <v>0.05</v>
      </c>
    </row>
    <row r="76" spans="1:6" ht="15" thickBot="1">
      <c r="A76" s="836" t="s">
        <v>523</v>
      </c>
      <c r="B76" s="837" t="s">
        <v>889</v>
      </c>
      <c r="C76" s="1061">
        <v>0.1</v>
      </c>
      <c r="D76" s="1061">
        <v>0.1</v>
      </c>
      <c r="E76" s="1061">
        <v>0.1</v>
      </c>
      <c r="F76" s="1062">
        <v>0.1</v>
      </c>
    </row>
    <row r="77" spans="1:6" ht="15" thickBot="1">
      <c r="A77" s="836" t="s">
        <v>523</v>
      </c>
      <c r="B77" s="830" t="s">
        <v>191</v>
      </c>
      <c r="C77" s="1063">
        <v>8.7999999999999995E-2</v>
      </c>
      <c r="D77" s="1063">
        <v>8.6999999999999994E-2</v>
      </c>
      <c r="E77" s="1063">
        <v>7.9000000000000001E-2</v>
      </c>
      <c r="F77" s="1064">
        <v>0.1</v>
      </c>
    </row>
    <row r="78" spans="1:6" ht="15" thickBot="1">
      <c r="A78" s="836" t="s">
        <v>523</v>
      </c>
      <c r="B78" s="830" t="s">
        <v>204</v>
      </c>
      <c r="C78" s="1063">
        <v>8.6999999999999994E-2</v>
      </c>
      <c r="D78" s="1063">
        <v>8.4000000000000005E-2</v>
      </c>
      <c r="E78" s="1063">
        <v>9.6000000000000002E-2</v>
      </c>
      <c r="F78" s="1064">
        <v>0.1</v>
      </c>
    </row>
    <row r="79" spans="1:6" ht="15" thickBot="1">
      <c r="A79" s="836" t="s">
        <v>523</v>
      </c>
      <c r="B79" s="830" t="s">
        <v>217</v>
      </c>
      <c r="C79" s="1063">
        <v>9.8000000000000004E-2</v>
      </c>
      <c r="D79" s="1063">
        <v>9.8000000000000004E-2</v>
      </c>
      <c r="E79" s="1063">
        <v>9.0999999999999998E-2</v>
      </c>
      <c r="F79" s="1064">
        <v>0.1</v>
      </c>
    </row>
    <row r="80" spans="1:6" ht="15" thickBot="1">
      <c r="A80" s="836" t="s">
        <v>523</v>
      </c>
      <c r="B80" s="830" t="s">
        <v>229</v>
      </c>
      <c r="C80" s="1063">
        <v>9.6000000000000002E-2</v>
      </c>
      <c r="D80" s="1063">
        <v>9.6000000000000002E-2</v>
      </c>
      <c r="E80" s="1063">
        <v>0.1</v>
      </c>
      <c r="F80" s="1064">
        <v>0.1</v>
      </c>
    </row>
    <row r="81" spans="1:6" ht="15" thickBot="1">
      <c r="A81" s="836" t="s">
        <v>523</v>
      </c>
      <c r="B81" s="830" t="s">
        <v>240</v>
      </c>
      <c r="C81" s="1063">
        <v>9.9000000000000005E-2</v>
      </c>
      <c r="D81" s="1063">
        <v>9.9000000000000005E-2</v>
      </c>
      <c r="E81" s="1063">
        <v>9.8000000000000004E-2</v>
      </c>
      <c r="F81" s="1064">
        <v>0.1</v>
      </c>
    </row>
    <row r="82" spans="1:6" ht="15" thickBot="1">
      <c r="A82" s="836" t="s">
        <v>523</v>
      </c>
      <c r="B82" s="830" t="s">
        <v>251</v>
      </c>
      <c r="C82" s="1063">
        <v>9.9000000000000005E-2</v>
      </c>
      <c r="D82" s="1063">
        <v>9.9000000000000005E-2</v>
      </c>
      <c r="E82" s="1063">
        <v>9.7000000000000003E-2</v>
      </c>
      <c r="F82" s="1064">
        <v>0.1</v>
      </c>
    </row>
    <row r="83" spans="1:6" ht="15" thickBot="1">
      <c r="A83" s="836" t="s">
        <v>523</v>
      </c>
      <c r="B83" s="830" t="s">
        <v>262</v>
      </c>
      <c r="C83" s="1063">
        <v>9.8000000000000004E-2</v>
      </c>
      <c r="D83" s="1063">
        <v>9.8000000000000004E-2</v>
      </c>
      <c r="E83" s="1063">
        <v>9.8000000000000004E-2</v>
      </c>
      <c r="F83" s="1064">
        <v>0.1</v>
      </c>
    </row>
    <row r="84" spans="1:6" ht="15" thickBot="1">
      <c r="A84" s="836" t="s">
        <v>523</v>
      </c>
      <c r="B84" s="830" t="s">
        <v>274</v>
      </c>
      <c r="C84" s="1063">
        <v>9.9000000000000005E-2</v>
      </c>
      <c r="D84" s="1063">
        <v>9.9000000000000005E-2</v>
      </c>
      <c r="E84" s="1063">
        <v>9.9000000000000005E-2</v>
      </c>
      <c r="F84" s="1064">
        <v>0.1</v>
      </c>
    </row>
    <row r="85" spans="1:6" ht="15" thickBot="1">
      <c r="A85" s="836" t="s">
        <v>523</v>
      </c>
      <c r="B85" s="830" t="s">
        <v>284</v>
      </c>
      <c r="C85" s="1063">
        <v>9.9000000000000005E-2</v>
      </c>
      <c r="D85" s="1063">
        <v>9.9000000000000005E-2</v>
      </c>
      <c r="E85" s="1063">
        <v>9.9000000000000005E-2</v>
      </c>
      <c r="F85" s="1064">
        <v>0.1</v>
      </c>
    </row>
    <row r="86" spans="1:6" ht="15" thickBot="1">
      <c r="A86" s="836" t="s">
        <v>523</v>
      </c>
      <c r="B86" s="830" t="s">
        <v>294</v>
      </c>
      <c r="C86" s="1063">
        <v>0.1</v>
      </c>
      <c r="D86" s="1063">
        <v>0.1</v>
      </c>
      <c r="E86" s="1063">
        <v>7.6999999999999999E-2</v>
      </c>
      <c r="F86" s="1064">
        <v>0.1</v>
      </c>
    </row>
    <row r="87" spans="1:6" ht="15" thickBot="1">
      <c r="A87" s="836" t="s">
        <v>523</v>
      </c>
      <c r="B87" s="830" t="s">
        <v>304</v>
      </c>
      <c r="C87" s="1063">
        <v>0.1</v>
      </c>
      <c r="D87" s="1063">
        <v>0.1</v>
      </c>
      <c r="E87" s="1063">
        <v>9.8000000000000004E-2</v>
      </c>
      <c r="F87" s="1075"/>
    </row>
    <row r="88" spans="1:6" ht="15" thickBot="1">
      <c r="A88" s="836" t="s">
        <v>523</v>
      </c>
      <c r="B88" s="830" t="s">
        <v>314</v>
      </c>
      <c r="C88" s="1063">
        <v>9.1999999999999998E-2</v>
      </c>
      <c r="D88" s="1063">
        <v>8.5000000000000006E-2</v>
      </c>
      <c r="E88" s="1063">
        <v>9.6000000000000002E-2</v>
      </c>
      <c r="F88" s="1075"/>
    </row>
    <row r="89" spans="1:6" ht="15" thickBot="1">
      <c r="A89" s="836" t="s">
        <v>523</v>
      </c>
      <c r="B89" s="830" t="s">
        <v>325</v>
      </c>
      <c r="C89" s="1063">
        <v>0.1</v>
      </c>
      <c r="D89" s="1063">
        <v>0.1</v>
      </c>
      <c r="E89" s="1063">
        <v>9.7000000000000003E-2</v>
      </c>
      <c r="F89" s="1075"/>
    </row>
    <row r="90" spans="1:6" ht="15" thickBot="1">
      <c r="A90" s="836" t="s">
        <v>523</v>
      </c>
      <c r="B90" s="830" t="s">
        <v>336</v>
      </c>
      <c r="C90" s="1063">
        <v>9.8000000000000004E-2</v>
      </c>
      <c r="D90" s="1063">
        <v>9.8000000000000004E-2</v>
      </c>
      <c r="E90" s="1063">
        <v>8.7999999999999995E-2</v>
      </c>
      <c r="F90" s="1075"/>
    </row>
    <row r="91" spans="1:6" ht="15" thickBot="1">
      <c r="A91" s="836" t="s">
        <v>523</v>
      </c>
      <c r="B91" s="830" t="s">
        <v>346</v>
      </c>
      <c r="C91" s="1063">
        <v>9.9000000000000005E-2</v>
      </c>
      <c r="D91" s="1063">
        <v>9.9000000000000005E-2</v>
      </c>
      <c r="E91" s="1063">
        <v>9.0999999999999998E-2</v>
      </c>
      <c r="F91" s="1075"/>
    </row>
    <row r="92" spans="1:6" ht="15" thickBot="1">
      <c r="A92" s="836" t="s">
        <v>523</v>
      </c>
      <c r="B92" s="830" t="s">
        <v>356</v>
      </c>
      <c r="C92" s="1063">
        <v>9.6000000000000002E-2</v>
      </c>
      <c r="D92" s="1063">
        <v>9.6000000000000002E-2</v>
      </c>
      <c r="E92" s="1063">
        <v>7.2999999999999995E-2</v>
      </c>
      <c r="F92" s="1075"/>
    </row>
    <row r="93" spans="1:6" ht="15" thickBot="1">
      <c r="A93" s="836" t="s">
        <v>523</v>
      </c>
      <c r="B93" s="830" t="s">
        <v>366</v>
      </c>
      <c r="C93" s="1063">
        <v>9.6000000000000002E-2</v>
      </c>
      <c r="D93" s="1063">
        <v>9.6000000000000002E-2</v>
      </c>
      <c r="E93" s="1063">
        <v>9.9000000000000005E-2</v>
      </c>
      <c r="F93" s="1075"/>
    </row>
    <row r="94" spans="1:6" ht="15" thickBot="1">
      <c r="A94" s="836" t="s">
        <v>523</v>
      </c>
      <c r="B94" s="830" t="s">
        <v>376</v>
      </c>
      <c r="C94" s="1063">
        <v>7.5999999999999998E-2</v>
      </c>
      <c r="D94" s="1063">
        <v>7.3999999999999996E-2</v>
      </c>
      <c r="E94" s="1063">
        <v>9.7000000000000003E-2</v>
      </c>
      <c r="F94" s="1075"/>
    </row>
    <row r="95" spans="1:6" ht="15" thickBot="1">
      <c r="A95" s="836" t="s">
        <v>523</v>
      </c>
      <c r="B95" s="830" t="s">
        <v>385</v>
      </c>
      <c r="C95" s="1063">
        <v>9.9000000000000005E-2</v>
      </c>
      <c r="D95" s="1063">
        <v>9.4E-2</v>
      </c>
      <c r="E95" s="1063">
        <v>9.6000000000000002E-2</v>
      </c>
      <c r="F95" s="1075"/>
    </row>
    <row r="96" spans="1:6" ht="15" thickBot="1">
      <c r="A96" s="836" t="s">
        <v>523</v>
      </c>
      <c r="B96" s="830" t="s">
        <v>394</v>
      </c>
      <c r="C96" s="1063">
        <v>9.9000000000000005E-2</v>
      </c>
      <c r="D96" s="1063">
        <v>9.9000000000000005E-2</v>
      </c>
      <c r="E96" s="1063">
        <v>9.9000000000000005E-2</v>
      </c>
      <c r="F96" s="1075"/>
    </row>
    <row r="97" spans="1:6" ht="15" thickBot="1">
      <c r="A97" s="836" t="s">
        <v>523</v>
      </c>
      <c r="B97" s="830" t="s">
        <v>402</v>
      </c>
      <c r="C97" s="1063">
        <v>9.8000000000000004E-2</v>
      </c>
      <c r="D97" s="1063">
        <v>9.8000000000000004E-2</v>
      </c>
      <c r="E97" s="1063">
        <v>9.7000000000000003E-2</v>
      </c>
      <c r="F97" s="1075"/>
    </row>
    <row r="98" spans="1:6" ht="15" thickBot="1">
      <c r="A98" s="836" t="s">
        <v>523</v>
      </c>
      <c r="B98" s="830" t="s">
        <v>409</v>
      </c>
      <c r="C98" s="1063">
        <v>0.1</v>
      </c>
      <c r="D98" s="1063">
        <v>0.1</v>
      </c>
      <c r="E98" s="1063">
        <v>9.7000000000000003E-2</v>
      </c>
      <c r="F98" s="1075"/>
    </row>
    <row r="99" spans="1:6" ht="15" thickBot="1">
      <c r="A99" s="836" t="s">
        <v>523</v>
      </c>
      <c r="B99" s="830" t="s">
        <v>416</v>
      </c>
      <c r="C99" s="1063">
        <v>0.1</v>
      </c>
      <c r="D99" s="1063">
        <v>0.1</v>
      </c>
      <c r="E99" s="1076"/>
      <c r="F99" s="1075"/>
    </row>
    <row r="100" spans="1:6" ht="15" thickBot="1">
      <c r="A100" s="836" t="s">
        <v>523</v>
      </c>
      <c r="B100" s="830" t="s">
        <v>423</v>
      </c>
      <c r="C100" s="1063">
        <v>0.09</v>
      </c>
      <c r="D100" s="1063">
        <v>8.8999999999999996E-2</v>
      </c>
      <c r="E100" s="1076"/>
      <c r="F100" s="1075"/>
    </row>
    <row r="101" spans="1:6" ht="15" thickBot="1">
      <c r="A101" s="836" t="s">
        <v>523</v>
      </c>
      <c r="B101" s="830" t="s">
        <v>430</v>
      </c>
      <c r="C101" s="1063">
        <v>9.8000000000000004E-2</v>
      </c>
      <c r="D101" s="1063">
        <v>9.7000000000000003E-2</v>
      </c>
      <c r="E101" s="1076"/>
      <c r="F101" s="1075"/>
    </row>
    <row r="102" spans="1:6" ht="24.6" thickBot="1">
      <c r="A102" s="836" t="s">
        <v>523</v>
      </c>
      <c r="B102" s="830" t="s">
        <v>890</v>
      </c>
      <c r="C102" s="1076"/>
      <c r="D102" s="1076"/>
      <c r="E102" s="1076"/>
      <c r="F102" s="1064">
        <v>0.05</v>
      </c>
    </row>
    <row r="103" spans="1:6" ht="24.6" thickBot="1">
      <c r="A103" s="836" t="s">
        <v>523</v>
      </c>
      <c r="B103" s="830" t="s">
        <v>891</v>
      </c>
      <c r="C103" s="1076"/>
      <c r="D103" s="1076"/>
      <c r="E103" s="1076"/>
      <c r="F103" s="1064">
        <v>0.05</v>
      </c>
    </row>
    <row r="104" spans="1:6" ht="15" thickBot="1">
      <c r="A104" s="836" t="s">
        <v>523</v>
      </c>
      <c r="B104" s="830" t="s">
        <v>892</v>
      </c>
      <c r="C104" s="1076"/>
      <c r="D104" s="1076"/>
      <c r="E104" s="1076"/>
      <c r="F104" s="1064">
        <v>0.05</v>
      </c>
    </row>
    <row r="105" spans="1:6" ht="24.6" thickBot="1">
      <c r="A105" s="836" t="s">
        <v>523</v>
      </c>
      <c r="B105" s="830" t="s">
        <v>893</v>
      </c>
      <c r="C105" s="1076"/>
      <c r="D105" s="1076"/>
      <c r="E105" s="1076"/>
      <c r="F105" s="1064">
        <v>0.05</v>
      </c>
    </row>
    <row r="106" spans="1:6" ht="24.6" thickBot="1">
      <c r="A106" s="836" t="s">
        <v>523</v>
      </c>
      <c r="B106" s="830" t="s">
        <v>894</v>
      </c>
      <c r="C106" s="1076"/>
      <c r="D106" s="1076"/>
      <c r="E106" s="1076"/>
      <c r="F106" s="1064">
        <v>0.05</v>
      </c>
    </row>
    <row r="107" spans="1:6" ht="24.6" thickBot="1">
      <c r="A107" s="836" t="s">
        <v>523</v>
      </c>
      <c r="B107" s="830" t="s">
        <v>895</v>
      </c>
      <c r="C107" s="1076"/>
      <c r="D107" s="1076"/>
      <c r="E107" s="1076"/>
      <c r="F107" s="1064">
        <v>0.05</v>
      </c>
    </row>
    <row r="108" spans="1:6" ht="24.6" thickBot="1">
      <c r="A108" s="836" t="s">
        <v>523</v>
      </c>
      <c r="B108" s="830" t="s">
        <v>896</v>
      </c>
      <c r="C108" s="1076"/>
      <c r="D108" s="1076"/>
      <c r="E108" s="1076"/>
      <c r="F108" s="1064">
        <v>0.05</v>
      </c>
    </row>
    <row r="109" spans="1:6" ht="24.6" thickBot="1">
      <c r="A109" s="846" t="s">
        <v>523</v>
      </c>
      <c r="B109" s="842" t="s">
        <v>897</v>
      </c>
      <c r="C109" s="1073"/>
      <c r="D109" s="1073"/>
      <c r="E109" s="1073"/>
      <c r="F109" s="1066">
        <v>0.05</v>
      </c>
    </row>
    <row r="110" spans="1:6" ht="15" thickBot="1">
      <c r="A110" s="836" t="s">
        <v>56</v>
      </c>
      <c r="B110" s="837" t="s">
        <v>898</v>
      </c>
      <c r="C110" s="1061">
        <v>0.129</v>
      </c>
      <c r="D110" s="1061">
        <v>0.129</v>
      </c>
      <c r="E110" s="1061">
        <v>0.126</v>
      </c>
      <c r="F110" s="1062">
        <v>0.13</v>
      </c>
    </row>
    <row r="111" spans="1:6" ht="15" thickBot="1">
      <c r="A111" s="836" t="s">
        <v>56</v>
      </c>
      <c r="B111" s="830" t="s">
        <v>192</v>
      </c>
      <c r="C111" s="1063">
        <v>0.11</v>
      </c>
      <c r="D111" s="1063">
        <v>0.11</v>
      </c>
      <c r="E111" s="1063">
        <v>9.9000000000000005E-2</v>
      </c>
      <c r="F111" s="1064">
        <v>0.128</v>
      </c>
    </row>
    <row r="112" spans="1:6" ht="15" thickBot="1">
      <c r="A112" s="836" t="s">
        <v>56</v>
      </c>
      <c r="B112" s="830" t="s">
        <v>205</v>
      </c>
      <c r="C112" s="1063">
        <v>0.125</v>
      </c>
      <c r="D112" s="1063">
        <v>0.125</v>
      </c>
      <c r="E112" s="1063">
        <v>0.12</v>
      </c>
      <c r="F112" s="1064">
        <v>0.125</v>
      </c>
    </row>
    <row r="113" spans="1:6" ht="15" thickBot="1">
      <c r="A113" s="836" t="s">
        <v>56</v>
      </c>
      <c r="B113" s="830" t="s">
        <v>218</v>
      </c>
      <c r="C113" s="1063">
        <v>0.13</v>
      </c>
      <c r="D113" s="1063">
        <v>0.13</v>
      </c>
      <c r="E113" s="1063">
        <v>0.13</v>
      </c>
      <c r="F113" s="1064">
        <v>0.13</v>
      </c>
    </row>
    <row r="114" spans="1:6" ht="15" thickBot="1">
      <c r="A114" s="836" t="s">
        <v>56</v>
      </c>
      <c r="B114" s="830" t="s">
        <v>230</v>
      </c>
      <c r="C114" s="1063">
        <v>0.123</v>
      </c>
      <c r="D114" s="1063">
        <v>0.123</v>
      </c>
      <c r="E114" s="1063">
        <v>0.12</v>
      </c>
      <c r="F114" s="1064">
        <v>0.13</v>
      </c>
    </row>
    <row r="115" spans="1:6" ht="15" thickBot="1">
      <c r="A115" s="836" t="s">
        <v>56</v>
      </c>
      <c r="B115" s="830" t="s">
        <v>241</v>
      </c>
      <c r="C115" s="1063">
        <v>0.125</v>
      </c>
      <c r="D115" s="1063">
        <v>0.125</v>
      </c>
      <c r="E115" s="1063">
        <v>0.11700000000000001</v>
      </c>
      <c r="F115" s="1064">
        <v>0.13</v>
      </c>
    </row>
    <row r="116" spans="1:6" ht="15" thickBot="1">
      <c r="A116" s="836" t="s">
        <v>56</v>
      </c>
      <c r="B116" s="830" t="s">
        <v>252</v>
      </c>
      <c r="C116" s="1063">
        <v>0.11700000000000001</v>
      </c>
      <c r="D116" s="1063">
        <v>0.11700000000000001</v>
      </c>
      <c r="E116" s="1063">
        <v>8.7999999999999995E-2</v>
      </c>
      <c r="F116" s="1064">
        <v>0.13</v>
      </c>
    </row>
    <row r="117" spans="1:6" ht="15" thickBot="1">
      <c r="A117" s="836" t="s">
        <v>56</v>
      </c>
      <c r="B117" s="830" t="s">
        <v>263</v>
      </c>
      <c r="C117" s="1063">
        <v>0.13</v>
      </c>
      <c r="D117" s="1063">
        <v>0.13</v>
      </c>
      <c r="E117" s="1063">
        <v>0.129</v>
      </c>
      <c r="F117" s="1064">
        <v>0.13</v>
      </c>
    </row>
    <row r="118" spans="1:6" ht="15" thickBot="1">
      <c r="A118" s="836" t="s">
        <v>56</v>
      </c>
      <c r="B118" s="830" t="s">
        <v>275</v>
      </c>
      <c r="C118" s="1063">
        <v>0.123</v>
      </c>
      <c r="D118" s="1063">
        <v>0.123</v>
      </c>
      <c r="E118" s="1063">
        <v>0.11600000000000001</v>
      </c>
      <c r="F118" s="1064">
        <v>0.13</v>
      </c>
    </row>
    <row r="119" spans="1:6" ht="15" thickBot="1">
      <c r="A119" s="836" t="s">
        <v>56</v>
      </c>
      <c r="B119" s="830" t="s">
        <v>285</v>
      </c>
      <c r="C119" s="1063">
        <v>0.127</v>
      </c>
      <c r="D119" s="1063">
        <v>0.127</v>
      </c>
      <c r="E119" s="1063">
        <v>0.124</v>
      </c>
      <c r="F119" s="1064">
        <v>0.13</v>
      </c>
    </row>
    <row r="120" spans="1:6" ht="15" thickBot="1">
      <c r="A120" s="836" t="s">
        <v>56</v>
      </c>
      <c r="B120" s="830" t="s">
        <v>295</v>
      </c>
      <c r="C120" s="1063">
        <v>0.125</v>
      </c>
      <c r="D120" s="1063">
        <v>0.125</v>
      </c>
      <c r="E120" s="1063">
        <v>0.122</v>
      </c>
      <c r="F120" s="1064">
        <v>0.13</v>
      </c>
    </row>
    <row r="121" spans="1:6" ht="15" thickBot="1">
      <c r="A121" s="836" t="s">
        <v>56</v>
      </c>
      <c r="B121" s="830" t="s">
        <v>305</v>
      </c>
      <c r="C121" s="1063">
        <v>0.13</v>
      </c>
      <c r="D121" s="1063">
        <v>0.13</v>
      </c>
      <c r="E121" s="1063">
        <v>0.13</v>
      </c>
      <c r="F121" s="1064">
        <v>0.13</v>
      </c>
    </row>
    <row r="122" spans="1:6" ht="15" thickBot="1">
      <c r="A122" s="836" t="s">
        <v>56</v>
      </c>
      <c r="B122" s="830" t="s">
        <v>315</v>
      </c>
      <c r="C122" s="1063">
        <v>0.13</v>
      </c>
      <c r="D122" s="1063">
        <v>0.13</v>
      </c>
      <c r="E122" s="1063">
        <v>0.125</v>
      </c>
      <c r="F122" s="1064">
        <v>0.13</v>
      </c>
    </row>
    <row r="123" spans="1:6" ht="15" thickBot="1">
      <c r="A123" s="836" t="s">
        <v>56</v>
      </c>
      <c r="B123" s="830" t="s">
        <v>326</v>
      </c>
      <c r="C123" s="1063">
        <v>0.129</v>
      </c>
      <c r="D123" s="1063">
        <v>0.129</v>
      </c>
      <c r="E123" s="1063">
        <v>0.123</v>
      </c>
      <c r="F123" s="1064">
        <v>0.13</v>
      </c>
    </row>
    <row r="124" spans="1:6" ht="15" thickBot="1">
      <c r="A124" s="836" t="s">
        <v>56</v>
      </c>
      <c r="B124" s="830" t="s">
        <v>337</v>
      </c>
      <c r="C124" s="1063">
        <v>0.10199999999999999</v>
      </c>
      <c r="D124" s="1063">
        <v>0.10100000000000001</v>
      </c>
      <c r="E124" s="1063">
        <v>0.08</v>
      </c>
      <c r="F124" s="1075"/>
    </row>
    <row r="125" spans="1:6" ht="15" thickBot="1">
      <c r="A125" s="836" t="s">
        <v>56</v>
      </c>
      <c r="B125" s="830" t="s">
        <v>347</v>
      </c>
      <c r="C125" s="1063">
        <v>0.13</v>
      </c>
      <c r="D125" s="1063">
        <v>0.13</v>
      </c>
      <c r="E125" s="1063">
        <v>0.129</v>
      </c>
      <c r="F125" s="1075"/>
    </row>
    <row r="126" spans="1:6" ht="15" thickBot="1">
      <c r="A126" s="836" t="s">
        <v>56</v>
      </c>
      <c r="B126" s="830" t="s">
        <v>357</v>
      </c>
      <c r="C126" s="1063">
        <v>0.13</v>
      </c>
      <c r="D126" s="1063">
        <v>0.13</v>
      </c>
      <c r="E126" s="1063">
        <v>0.126</v>
      </c>
      <c r="F126" s="1075"/>
    </row>
    <row r="127" spans="1:6" ht="15" thickBot="1">
      <c r="A127" s="836" t="s">
        <v>56</v>
      </c>
      <c r="B127" s="830" t="s">
        <v>367</v>
      </c>
      <c r="C127" s="1063">
        <v>0.125</v>
      </c>
      <c r="D127" s="1063">
        <v>0.125</v>
      </c>
      <c r="E127" s="1063">
        <v>0.121</v>
      </c>
      <c r="F127" s="1075"/>
    </row>
    <row r="128" spans="1:6" ht="15" thickBot="1">
      <c r="A128" s="836" t="s">
        <v>56</v>
      </c>
      <c r="B128" s="830" t="s">
        <v>377</v>
      </c>
      <c r="C128" s="1063">
        <v>0.12</v>
      </c>
      <c r="D128" s="1063">
        <v>0.12</v>
      </c>
      <c r="E128" s="1063">
        <v>0.105</v>
      </c>
      <c r="F128" s="1075"/>
    </row>
    <row r="129" spans="1:6" ht="15" thickBot="1">
      <c r="A129" s="836" t="s">
        <v>56</v>
      </c>
      <c r="B129" s="830" t="s">
        <v>386</v>
      </c>
      <c r="C129" s="1063">
        <v>0.13</v>
      </c>
      <c r="D129" s="1063">
        <v>0.13</v>
      </c>
      <c r="E129" s="1063">
        <v>0.126</v>
      </c>
      <c r="F129" s="1075"/>
    </row>
    <row r="130" spans="1:6" ht="15" thickBot="1">
      <c r="A130" s="836" t="s">
        <v>56</v>
      </c>
      <c r="B130" s="830" t="s">
        <v>395</v>
      </c>
      <c r="C130" s="1063">
        <v>0.125</v>
      </c>
      <c r="D130" s="1063">
        <v>0.125</v>
      </c>
      <c r="E130" s="1063">
        <v>0.122</v>
      </c>
      <c r="F130" s="1075"/>
    </row>
    <row r="131" spans="1:6" ht="15" thickBot="1">
      <c r="A131" s="836" t="s">
        <v>56</v>
      </c>
      <c r="B131" s="830" t="s">
        <v>403</v>
      </c>
      <c r="C131" s="1063">
        <v>0.127</v>
      </c>
      <c r="D131" s="1063">
        <v>0.126</v>
      </c>
      <c r="E131" s="1063">
        <v>0.123</v>
      </c>
      <c r="F131" s="1075"/>
    </row>
    <row r="132" spans="1:6" ht="15" thickBot="1">
      <c r="A132" s="836" t="s">
        <v>56</v>
      </c>
      <c r="B132" s="830" t="s">
        <v>410</v>
      </c>
      <c r="C132" s="1063">
        <v>9.0999999999999998E-2</v>
      </c>
      <c r="D132" s="1063">
        <v>0.121</v>
      </c>
      <c r="E132" s="1063">
        <v>9.9000000000000005E-2</v>
      </c>
      <c r="F132" s="1075"/>
    </row>
    <row r="133" spans="1:6" ht="15" thickBot="1">
      <c r="A133" s="836" t="s">
        <v>56</v>
      </c>
      <c r="B133" s="830" t="s">
        <v>417</v>
      </c>
      <c r="C133" s="1063">
        <v>0.13</v>
      </c>
      <c r="D133" s="1063">
        <v>0.13</v>
      </c>
      <c r="E133" s="1063">
        <v>0.129</v>
      </c>
      <c r="F133" s="1075"/>
    </row>
    <row r="134" spans="1:6" ht="15" thickBot="1">
      <c r="A134" s="836" t="s">
        <v>56</v>
      </c>
      <c r="B134" s="830" t="s">
        <v>899</v>
      </c>
      <c r="C134" s="1063">
        <v>6.8000000000000005E-2</v>
      </c>
      <c r="D134" s="1063">
        <v>6.5000000000000002E-2</v>
      </c>
      <c r="E134" s="1063">
        <v>6.5000000000000002E-2</v>
      </c>
      <c r="F134" s="1064">
        <v>0.13</v>
      </c>
    </row>
    <row r="135" spans="1:6" ht="15" thickBot="1">
      <c r="A135" s="836" t="s">
        <v>56</v>
      </c>
      <c r="B135" s="830" t="s">
        <v>431</v>
      </c>
      <c r="C135" s="1063">
        <v>0.123</v>
      </c>
      <c r="D135" s="1063">
        <v>0.123</v>
      </c>
      <c r="E135" s="1063">
        <v>0.11</v>
      </c>
      <c r="F135" s="1075"/>
    </row>
    <row r="136" spans="1:6" ht="15" thickBot="1">
      <c r="A136" s="836" t="s">
        <v>56</v>
      </c>
      <c r="B136" s="830" t="s">
        <v>438</v>
      </c>
      <c r="C136" s="1063">
        <v>0.13</v>
      </c>
      <c r="D136" s="1063">
        <v>0.13</v>
      </c>
      <c r="E136" s="1063">
        <v>0.125</v>
      </c>
      <c r="F136" s="1075"/>
    </row>
    <row r="137" spans="1:6" ht="15" thickBot="1">
      <c r="A137" s="836" t="s">
        <v>56</v>
      </c>
      <c r="B137" s="830" t="s">
        <v>445</v>
      </c>
      <c r="C137" s="1063">
        <v>0.121</v>
      </c>
      <c r="D137" s="1063">
        <v>0.122</v>
      </c>
      <c r="E137" s="1063">
        <v>0.115</v>
      </c>
      <c r="F137" s="1075"/>
    </row>
    <row r="138" spans="1:6" ht="15" thickBot="1">
      <c r="A138" s="836" t="s">
        <v>56</v>
      </c>
      <c r="B138" s="830" t="s">
        <v>900</v>
      </c>
      <c r="C138" s="1063">
        <v>0.105</v>
      </c>
      <c r="D138" s="1063">
        <v>0.125</v>
      </c>
      <c r="E138" s="1063">
        <v>0.112</v>
      </c>
      <c r="F138" s="1075"/>
    </row>
    <row r="139" spans="1:6" ht="15" thickBot="1">
      <c r="A139" s="836" t="s">
        <v>56</v>
      </c>
      <c r="B139" s="830" t="s">
        <v>901</v>
      </c>
      <c r="C139" s="1063">
        <v>0.127</v>
      </c>
      <c r="D139" s="1063">
        <v>0.127</v>
      </c>
      <c r="E139" s="1063">
        <v>0.122</v>
      </c>
      <c r="F139" s="1064">
        <v>0.13</v>
      </c>
    </row>
    <row r="140" spans="1:6" ht="15" thickBot="1">
      <c r="A140" s="836" t="s">
        <v>56</v>
      </c>
      <c r="B140" s="830" t="s">
        <v>902</v>
      </c>
      <c r="C140" s="1063">
        <v>0.125</v>
      </c>
      <c r="D140" s="1063">
        <v>0.125</v>
      </c>
      <c r="E140" s="1063">
        <v>0.11899999999999999</v>
      </c>
      <c r="F140" s="1064">
        <v>0.13</v>
      </c>
    </row>
    <row r="141" spans="1:6" ht="15" thickBot="1">
      <c r="A141" s="836" t="s">
        <v>56</v>
      </c>
      <c r="B141" s="830" t="s">
        <v>464</v>
      </c>
      <c r="C141" s="1063">
        <v>0.125</v>
      </c>
      <c r="D141" s="1063">
        <v>0.125</v>
      </c>
      <c r="E141" s="1063">
        <v>0.11700000000000001</v>
      </c>
      <c r="F141" s="1075"/>
    </row>
    <row r="142" spans="1:6" ht="15" thickBot="1">
      <c r="A142" s="836" t="s">
        <v>56</v>
      </c>
      <c r="B142" s="830" t="s">
        <v>469</v>
      </c>
      <c r="C142" s="1063">
        <v>0.125</v>
      </c>
      <c r="D142" s="1063">
        <v>0.125</v>
      </c>
      <c r="E142" s="1063">
        <v>0.115</v>
      </c>
      <c r="F142" s="1075"/>
    </row>
    <row r="143" spans="1:6" ht="15" thickBot="1">
      <c r="A143" s="836" t="s">
        <v>56</v>
      </c>
      <c r="B143" s="830" t="s">
        <v>474</v>
      </c>
      <c r="C143" s="1063">
        <v>0.121</v>
      </c>
      <c r="D143" s="1063">
        <v>0.121</v>
      </c>
      <c r="E143" s="1063">
        <v>0.108</v>
      </c>
      <c r="F143" s="1075"/>
    </row>
    <row r="144" spans="1:6" ht="15" thickBot="1">
      <c r="A144" s="836" t="s">
        <v>56</v>
      </c>
      <c r="B144" s="1067" t="s">
        <v>903</v>
      </c>
      <c r="C144" s="1068">
        <v>0.126</v>
      </c>
      <c r="D144" s="1068">
        <v>0.126</v>
      </c>
      <c r="E144" s="1068">
        <v>0.121</v>
      </c>
      <c r="F144" s="1075"/>
    </row>
    <row r="145" spans="1:6" ht="15" thickBot="1">
      <c r="A145" s="846" t="s">
        <v>56</v>
      </c>
      <c r="B145" s="1069" t="s">
        <v>904</v>
      </c>
      <c r="C145" s="1077"/>
      <c r="D145" s="1077"/>
      <c r="E145" s="1077"/>
      <c r="F145" s="1070">
        <v>0.05</v>
      </c>
    </row>
    <row r="146" spans="1:6" ht="24.6" thickBot="1">
      <c r="A146" s="1071" t="s">
        <v>56</v>
      </c>
      <c r="B146" s="840" t="s">
        <v>905</v>
      </c>
      <c r="C146" s="1076"/>
      <c r="D146" s="1076"/>
      <c r="E146" s="1076"/>
      <c r="F146" s="1072">
        <v>0.05</v>
      </c>
    </row>
    <row r="147" spans="1:6" ht="24.6" thickBot="1">
      <c r="A147" s="836" t="s">
        <v>56</v>
      </c>
      <c r="B147" s="830" t="s">
        <v>906</v>
      </c>
      <c r="C147" s="1076"/>
      <c r="D147" s="1076"/>
      <c r="E147" s="1076"/>
      <c r="F147" s="1064">
        <v>0.05</v>
      </c>
    </row>
    <row r="148" spans="1:6" ht="24.6" thickBot="1">
      <c r="A148" s="836" t="s">
        <v>56</v>
      </c>
      <c r="B148" s="830" t="s">
        <v>907</v>
      </c>
      <c r="C148" s="1076"/>
      <c r="D148" s="1076"/>
      <c r="E148" s="1076"/>
      <c r="F148" s="1064">
        <v>0.05</v>
      </c>
    </row>
    <row r="149" spans="1:6" ht="24.6" thickBot="1">
      <c r="A149" s="836" t="s">
        <v>56</v>
      </c>
      <c r="B149" s="830" t="s">
        <v>908</v>
      </c>
      <c r="C149" s="1076"/>
      <c r="D149" s="1076"/>
      <c r="E149" s="1076"/>
      <c r="F149" s="1064">
        <v>0.05</v>
      </c>
    </row>
    <row r="150" spans="1:6" ht="24.6" thickBot="1">
      <c r="A150" s="836" t="s">
        <v>56</v>
      </c>
      <c r="B150" s="830" t="s">
        <v>909</v>
      </c>
      <c r="C150" s="1076"/>
      <c r="D150" s="1076"/>
      <c r="E150" s="1076"/>
      <c r="F150" s="1064">
        <v>0.05</v>
      </c>
    </row>
    <row r="151" spans="1:6" ht="24.6" thickBot="1">
      <c r="A151" s="836" t="s">
        <v>56</v>
      </c>
      <c r="B151" s="830" t="s">
        <v>910</v>
      </c>
      <c r="C151" s="1076"/>
      <c r="D151" s="1076"/>
      <c r="E151" s="1076"/>
      <c r="F151" s="1064">
        <v>0.05</v>
      </c>
    </row>
    <row r="152" spans="1:6" ht="24.6" thickBot="1">
      <c r="A152" s="836" t="s">
        <v>56</v>
      </c>
      <c r="B152" s="830" t="s">
        <v>507</v>
      </c>
      <c r="C152" s="1076"/>
      <c r="D152" s="1076"/>
      <c r="E152" s="1076"/>
      <c r="F152" s="1064">
        <v>0.05</v>
      </c>
    </row>
    <row r="153" spans="1:6" ht="15" thickBot="1">
      <c r="A153" s="836" t="s">
        <v>56</v>
      </c>
      <c r="B153" s="830" t="s">
        <v>911</v>
      </c>
      <c r="C153" s="1076"/>
      <c r="D153" s="1076"/>
      <c r="E153" s="1076"/>
      <c r="F153" s="1064">
        <v>0.05</v>
      </c>
    </row>
    <row r="154" spans="1:6" ht="15" thickBot="1">
      <c r="A154" s="836" t="s">
        <v>56</v>
      </c>
      <c r="B154" s="830" t="s">
        <v>912</v>
      </c>
      <c r="C154" s="1076"/>
      <c r="D154" s="1076"/>
      <c r="E154" s="1076"/>
      <c r="F154" s="1064">
        <v>0.05</v>
      </c>
    </row>
    <row r="155" spans="1:6" ht="24.6" thickBot="1">
      <c r="A155" s="836" t="s">
        <v>56</v>
      </c>
      <c r="B155" s="830" t="s">
        <v>913</v>
      </c>
      <c r="C155" s="1076"/>
      <c r="D155" s="1076"/>
      <c r="E155" s="1076"/>
      <c r="F155" s="1064">
        <v>0.05</v>
      </c>
    </row>
    <row r="156" spans="1:6" ht="24.6" thickBot="1">
      <c r="A156" s="836" t="s">
        <v>56</v>
      </c>
      <c r="B156" s="830" t="s">
        <v>914</v>
      </c>
      <c r="C156" s="1076"/>
      <c r="D156" s="1076"/>
      <c r="E156" s="1076"/>
      <c r="F156" s="1064">
        <v>0.05</v>
      </c>
    </row>
    <row r="157" spans="1:6" ht="24.6" thickBot="1">
      <c r="A157" s="846" t="s">
        <v>56</v>
      </c>
      <c r="B157" s="842" t="s">
        <v>915</v>
      </c>
      <c r="C157" s="1073"/>
      <c r="D157" s="1073"/>
      <c r="E157" s="1073"/>
      <c r="F157" s="1066">
        <v>0.05</v>
      </c>
    </row>
    <row r="158" spans="1:6" ht="15" thickBot="1">
      <c r="A158" s="836" t="s">
        <v>526</v>
      </c>
      <c r="B158" s="837" t="s">
        <v>916</v>
      </c>
      <c r="C158" s="1061">
        <v>0.13</v>
      </c>
      <c r="D158" s="1061">
        <v>0.13</v>
      </c>
      <c r="E158" s="1061">
        <v>0.13</v>
      </c>
      <c r="F158" s="1062">
        <v>0.13</v>
      </c>
    </row>
    <row r="159" spans="1:6" ht="15" thickBot="1">
      <c r="A159" s="836" t="s">
        <v>526</v>
      </c>
      <c r="B159" s="830" t="s">
        <v>193</v>
      </c>
      <c r="C159" s="1063">
        <v>0.13</v>
      </c>
      <c r="D159" s="1063">
        <v>0.13</v>
      </c>
      <c r="E159" s="1063">
        <v>0.13</v>
      </c>
      <c r="F159" s="1064">
        <v>0.13</v>
      </c>
    </row>
    <row r="160" spans="1:6" ht="15" thickBot="1">
      <c r="A160" s="836" t="s">
        <v>526</v>
      </c>
      <c r="B160" s="830" t="s">
        <v>206</v>
      </c>
      <c r="C160" s="1063">
        <v>0.13</v>
      </c>
      <c r="D160" s="1063">
        <v>0.13</v>
      </c>
      <c r="E160" s="1063">
        <v>0.129</v>
      </c>
      <c r="F160" s="1064">
        <v>0.13</v>
      </c>
    </row>
    <row r="161" spans="1:6" ht="15" thickBot="1">
      <c r="A161" s="836" t="s">
        <v>526</v>
      </c>
      <c r="B161" s="830" t="s">
        <v>219</v>
      </c>
      <c r="C161" s="1063">
        <v>0.128</v>
      </c>
      <c r="D161" s="1063">
        <v>0.128</v>
      </c>
      <c r="E161" s="1063">
        <v>0.125</v>
      </c>
      <c r="F161" s="1064">
        <v>0.13</v>
      </c>
    </row>
    <row r="162" spans="1:6" ht="15" thickBot="1">
      <c r="A162" s="836" t="s">
        <v>526</v>
      </c>
      <c r="B162" s="830" t="s">
        <v>231</v>
      </c>
      <c r="C162" s="1063">
        <v>0.122</v>
      </c>
      <c r="D162" s="1063">
        <v>0.122</v>
      </c>
      <c r="E162" s="1063">
        <v>0.126</v>
      </c>
      <c r="F162" s="1064">
        <v>0.122</v>
      </c>
    </row>
    <row r="163" spans="1:6" ht="15" thickBot="1">
      <c r="A163" s="836" t="s">
        <v>526</v>
      </c>
      <c r="B163" s="830" t="s">
        <v>242</v>
      </c>
      <c r="C163" s="1063">
        <v>0.13</v>
      </c>
      <c r="D163" s="1063">
        <v>0.13</v>
      </c>
      <c r="E163" s="1063">
        <v>0.125</v>
      </c>
      <c r="F163" s="1064">
        <v>0.13</v>
      </c>
    </row>
    <row r="164" spans="1:6" ht="15" thickBot="1">
      <c r="A164" s="836" t="s">
        <v>526</v>
      </c>
      <c r="B164" s="830" t="s">
        <v>253</v>
      </c>
      <c r="C164" s="1063">
        <v>0.13</v>
      </c>
      <c r="D164" s="1063">
        <v>0.13</v>
      </c>
      <c r="E164" s="1063">
        <v>0.13</v>
      </c>
      <c r="F164" s="1064">
        <v>0.13</v>
      </c>
    </row>
    <row r="165" spans="1:6" ht="15" thickBot="1">
      <c r="A165" s="836" t="s">
        <v>526</v>
      </c>
      <c r="B165" s="830" t="s">
        <v>264</v>
      </c>
      <c r="C165" s="1063">
        <v>0.13</v>
      </c>
      <c r="D165" s="1063">
        <v>0.13</v>
      </c>
      <c r="E165" s="1063">
        <v>0.124</v>
      </c>
      <c r="F165" s="1064">
        <v>0.13</v>
      </c>
    </row>
    <row r="166" spans="1:6" ht="15" thickBot="1">
      <c r="A166" s="836" t="s">
        <v>526</v>
      </c>
      <c r="B166" s="830" t="s">
        <v>276</v>
      </c>
      <c r="C166" s="1063">
        <v>0.13</v>
      </c>
      <c r="D166" s="1063">
        <v>0.13</v>
      </c>
      <c r="E166" s="1063">
        <v>0.13</v>
      </c>
      <c r="F166" s="1064">
        <v>0.13</v>
      </c>
    </row>
    <row r="167" spans="1:6" ht="15" thickBot="1">
      <c r="A167" s="836" t="s">
        <v>526</v>
      </c>
      <c r="B167" s="830" t="s">
        <v>286</v>
      </c>
      <c r="C167" s="1063">
        <v>0.125</v>
      </c>
      <c r="D167" s="1063">
        <v>0.125</v>
      </c>
      <c r="E167" s="1063">
        <v>0.121</v>
      </c>
      <c r="F167" s="1075"/>
    </row>
    <row r="168" spans="1:6" ht="15" thickBot="1">
      <c r="A168" s="836" t="s">
        <v>526</v>
      </c>
      <c r="B168" s="830" t="s">
        <v>296</v>
      </c>
      <c r="C168" s="1063">
        <v>0.13</v>
      </c>
      <c r="D168" s="1063">
        <v>0.13</v>
      </c>
      <c r="E168" s="1063">
        <v>0.126</v>
      </c>
      <c r="F168" s="1075"/>
    </row>
    <row r="169" spans="1:6" ht="15" thickBot="1">
      <c r="A169" s="836" t="s">
        <v>526</v>
      </c>
      <c r="B169" s="830" t="s">
        <v>306</v>
      </c>
      <c r="C169" s="1063">
        <v>0.128</v>
      </c>
      <c r="D169" s="1063">
        <v>0.129</v>
      </c>
      <c r="E169" s="1063">
        <v>0.13</v>
      </c>
      <c r="F169" s="1075"/>
    </row>
    <row r="170" spans="1:6" ht="15" thickBot="1">
      <c r="A170" s="836" t="s">
        <v>526</v>
      </c>
      <c r="B170" s="830" t="s">
        <v>316</v>
      </c>
      <c r="C170" s="1063">
        <v>0.14099999999999999</v>
      </c>
      <c r="D170" s="1063">
        <v>0.13</v>
      </c>
      <c r="E170" s="1063">
        <v>0.125</v>
      </c>
      <c r="F170" s="1075"/>
    </row>
    <row r="171" spans="1:6" ht="15" thickBot="1">
      <c r="A171" s="836" t="s">
        <v>526</v>
      </c>
      <c r="B171" s="830" t="s">
        <v>917</v>
      </c>
      <c r="C171" s="1063">
        <v>0.127</v>
      </c>
      <c r="D171" s="1063">
        <v>0.126</v>
      </c>
      <c r="E171" s="1063">
        <v>0.126</v>
      </c>
      <c r="F171" s="1064">
        <v>0.11799999999999999</v>
      </c>
    </row>
    <row r="172" spans="1:6" ht="15" thickBot="1">
      <c r="A172" s="836" t="s">
        <v>526</v>
      </c>
      <c r="B172" s="830" t="s">
        <v>918</v>
      </c>
      <c r="C172" s="1063">
        <v>0.13</v>
      </c>
      <c r="D172" s="1063">
        <v>0.13</v>
      </c>
      <c r="E172" s="1063">
        <v>0.13</v>
      </c>
      <c r="F172" s="1075"/>
    </row>
    <row r="173" spans="1:6" ht="15" thickBot="1">
      <c r="A173" s="836" t="s">
        <v>526</v>
      </c>
      <c r="B173" s="830" t="s">
        <v>348</v>
      </c>
      <c r="C173" s="1063">
        <v>0.13</v>
      </c>
      <c r="D173" s="1063">
        <v>0.13</v>
      </c>
      <c r="E173" s="1063">
        <v>0.13</v>
      </c>
      <c r="F173" s="1075"/>
    </row>
    <row r="174" spans="1:6" ht="15" thickBot="1">
      <c r="A174" s="836" t="s">
        <v>526</v>
      </c>
      <c r="B174" s="830" t="s">
        <v>919</v>
      </c>
      <c r="C174" s="1063">
        <v>0.13</v>
      </c>
      <c r="D174" s="1063">
        <v>0.13</v>
      </c>
      <c r="E174" s="1063">
        <v>0.13</v>
      </c>
      <c r="F174" s="1064">
        <v>0.13</v>
      </c>
    </row>
    <row r="175" spans="1:6" ht="15" thickBot="1">
      <c r="A175" s="836" t="s">
        <v>526</v>
      </c>
      <c r="B175" s="830" t="s">
        <v>920</v>
      </c>
      <c r="C175" s="1063">
        <v>0.13</v>
      </c>
      <c r="D175" s="1063">
        <v>0.13</v>
      </c>
      <c r="E175" s="1063">
        <v>0.13</v>
      </c>
      <c r="F175" s="1064">
        <v>0.13</v>
      </c>
    </row>
    <row r="176" spans="1:6" ht="15" thickBot="1">
      <c r="A176" s="836" t="s">
        <v>526</v>
      </c>
      <c r="B176" s="830" t="s">
        <v>378</v>
      </c>
      <c r="C176" s="1063">
        <v>0.13</v>
      </c>
      <c r="D176" s="1063">
        <v>0.13</v>
      </c>
      <c r="E176" s="1063">
        <v>0.13</v>
      </c>
      <c r="F176" s="1064">
        <v>0.13</v>
      </c>
    </row>
    <row r="177" spans="1:6" ht="15" thickBot="1">
      <c r="A177" s="836" t="s">
        <v>526</v>
      </c>
      <c r="B177" s="830" t="s">
        <v>921</v>
      </c>
      <c r="C177" s="1063">
        <v>0.13</v>
      </c>
      <c r="D177" s="1063">
        <v>0.13</v>
      </c>
      <c r="E177" s="1063">
        <v>0.13</v>
      </c>
      <c r="F177" s="1064">
        <v>0.13</v>
      </c>
    </row>
    <row r="178" spans="1:6" ht="15" thickBot="1">
      <c r="A178" s="836" t="s">
        <v>526</v>
      </c>
      <c r="B178" s="830" t="s">
        <v>396</v>
      </c>
      <c r="C178" s="1063">
        <v>0.13</v>
      </c>
      <c r="D178" s="1063">
        <v>0.13</v>
      </c>
      <c r="E178" s="1063">
        <v>0.13</v>
      </c>
      <c r="F178" s="1064">
        <v>0.127</v>
      </c>
    </row>
    <row r="179" spans="1:6" ht="15" thickBot="1">
      <c r="A179" s="836" t="s">
        <v>526</v>
      </c>
      <c r="B179" s="830" t="s">
        <v>404</v>
      </c>
      <c r="C179" s="1063">
        <v>0.13</v>
      </c>
      <c r="D179" s="1063">
        <v>0.13</v>
      </c>
      <c r="E179" s="1063">
        <v>0.13</v>
      </c>
      <c r="F179" s="1075"/>
    </row>
    <row r="180" spans="1:6" ht="15" thickBot="1">
      <c r="A180" s="836" t="s">
        <v>526</v>
      </c>
      <c r="B180" s="830" t="s">
        <v>922</v>
      </c>
      <c r="C180" s="1063">
        <v>0.13</v>
      </c>
      <c r="D180" s="1063">
        <v>0.13</v>
      </c>
      <c r="E180" s="1063">
        <v>0.125</v>
      </c>
      <c r="F180" s="1064">
        <v>0.13</v>
      </c>
    </row>
    <row r="181" spans="1:6" ht="15" thickBot="1">
      <c r="A181" s="836" t="s">
        <v>526</v>
      </c>
      <c r="B181" s="830" t="s">
        <v>418</v>
      </c>
      <c r="C181" s="1063">
        <v>0.122</v>
      </c>
      <c r="D181" s="1063">
        <v>0.123</v>
      </c>
      <c r="E181" s="1063">
        <v>0.126</v>
      </c>
      <c r="F181" s="1064">
        <v>0.121</v>
      </c>
    </row>
    <row r="182" spans="1:6" ht="15" thickBot="1">
      <c r="A182" s="836" t="s">
        <v>526</v>
      </c>
      <c r="B182" s="830" t="s">
        <v>425</v>
      </c>
      <c r="C182" s="1063">
        <v>0.125</v>
      </c>
      <c r="D182" s="1063">
        <v>0.125</v>
      </c>
      <c r="E182" s="1063">
        <v>0.11700000000000001</v>
      </c>
      <c r="F182" s="1064">
        <v>0.13</v>
      </c>
    </row>
    <row r="183" spans="1:6" ht="15" thickBot="1">
      <c r="A183" s="836" t="s">
        <v>526</v>
      </c>
      <c r="B183" s="830" t="s">
        <v>432</v>
      </c>
      <c r="C183" s="1063">
        <v>0.127</v>
      </c>
      <c r="D183" s="1063">
        <v>0.127</v>
      </c>
      <c r="E183" s="1063">
        <v>0.128</v>
      </c>
      <c r="F183" s="1075"/>
    </row>
    <row r="184" spans="1:6" ht="15" thickBot="1">
      <c r="A184" s="836" t="s">
        <v>526</v>
      </c>
      <c r="B184" s="830" t="s">
        <v>439</v>
      </c>
      <c r="C184" s="1063">
        <v>0.125</v>
      </c>
      <c r="D184" s="1063">
        <v>0.125</v>
      </c>
      <c r="E184" s="1063">
        <v>0.127</v>
      </c>
      <c r="F184" s="1075"/>
    </row>
    <row r="185" spans="1:6" ht="15" thickBot="1">
      <c r="A185" s="836" t="s">
        <v>526</v>
      </c>
      <c r="B185" s="830" t="s">
        <v>923</v>
      </c>
      <c r="C185" s="1063">
        <v>0.127</v>
      </c>
      <c r="D185" s="1063">
        <v>0.127</v>
      </c>
      <c r="E185" s="1063">
        <v>0.128</v>
      </c>
      <c r="F185" s="1064">
        <v>0.13</v>
      </c>
    </row>
    <row r="186" spans="1:6" ht="24.6" thickBot="1">
      <c r="A186" s="836" t="s">
        <v>526</v>
      </c>
      <c r="B186" s="830" t="s">
        <v>924</v>
      </c>
      <c r="C186" s="1076"/>
      <c r="D186" s="1076"/>
      <c r="E186" s="1076"/>
      <c r="F186" s="1064">
        <v>0.05</v>
      </c>
    </row>
    <row r="187" spans="1:6" ht="15" thickBot="1">
      <c r="A187" s="836" t="s">
        <v>526</v>
      </c>
      <c r="B187" s="830" t="s">
        <v>925</v>
      </c>
      <c r="C187" s="1076"/>
      <c r="D187" s="1076"/>
      <c r="E187" s="1076"/>
      <c r="F187" s="1064">
        <v>0.05</v>
      </c>
    </row>
    <row r="188" spans="1:6" ht="24.6" thickBot="1">
      <c r="A188" s="836" t="s">
        <v>526</v>
      </c>
      <c r="B188" s="830" t="s">
        <v>926</v>
      </c>
      <c r="C188" s="1076"/>
      <c r="D188" s="1076"/>
      <c r="E188" s="1076"/>
      <c r="F188" s="1064">
        <v>0.05</v>
      </c>
    </row>
    <row r="189" spans="1:6" ht="24.6" thickBot="1">
      <c r="A189" s="836" t="s">
        <v>526</v>
      </c>
      <c r="B189" s="830" t="s">
        <v>927</v>
      </c>
      <c r="C189" s="1076"/>
      <c r="D189" s="1076"/>
      <c r="E189" s="1076"/>
      <c r="F189" s="1064">
        <v>0.05</v>
      </c>
    </row>
    <row r="190" spans="1:6" ht="24.6" thickBot="1">
      <c r="A190" s="836" t="s">
        <v>526</v>
      </c>
      <c r="B190" s="830" t="s">
        <v>928</v>
      </c>
      <c r="C190" s="1076"/>
      <c r="D190" s="1076"/>
      <c r="E190" s="1076"/>
      <c r="F190" s="1064">
        <v>0.05</v>
      </c>
    </row>
    <row r="191" spans="1:6" ht="24.6" thickBot="1">
      <c r="A191" s="836" t="s">
        <v>526</v>
      </c>
      <c r="B191" s="830" t="s">
        <v>929</v>
      </c>
      <c r="C191" s="1076"/>
      <c r="D191" s="1076"/>
      <c r="E191" s="1076"/>
      <c r="F191" s="1064">
        <v>0.05</v>
      </c>
    </row>
    <row r="192" spans="1:6" ht="24.6" thickBot="1">
      <c r="A192" s="836" t="s">
        <v>526</v>
      </c>
      <c r="B192" s="830" t="s">
        <v>930</v>
      </c>
      <c r="C192" s="1076"/>
      <c r="D192" s="1076"/>
      <c r="E192" s="1076"/>
      <c r="F192" s="1064">
        <v>0.05</v>
      </c>
    </row>
    <row r="193" spans="1:6" ht="24.6" thickBot="1">
      <c r="A193" s="836" t="s">
        <v>526</v>
      </c>
      <c r="B193" s="830" t="s">
        <v>931</v>
      </c>
      <c r="C193" s="1076"/>
      <c r="D193" s="1076"/>
      <c r="E193" s="1076"/>
      <c r="F193" s="1064">
        <v>0.05</v>
      </c>
    </row>
    <row r="194" spans="1:6" ht="24.6" thickBot="1">
      <c r="A194" s="836" t="s">
        <v>526</v>
      </c>
      <c r="B194" s="830" t="s">
        <v>932</v>
      </c>
      <c r="C194" s="1076"/>
      <c r="D194" s="1076"/>
      <c r="E194" s="1076"/>
      <c r="F194" s="1064">
        <v>0.05</v>
      </c>
    </row>
    <row r="195" spans="1:6" ht="15" thickBot="1">
      <c r="A195" s="836" t="s">
        <v>526</v>
      </c>
      <c r="B195" s="830" t="s">
        <v>933</v>
      </c>
      <c r="C195" s="1076"/>
      <c r="D195" s="1076"/>
      <c r="E195" s="1076"/>
      <c r="F195" s="1064">
        <v>0.05</v>
      </c>
    </row>
    <row r="196" spans="1:6" ht="24.6" thickBot="1">
      <c r="A196" s="836" t="s">
        <v>526</v>
      </c>
      <c r="B196" s="830" t="s">
        <v>934</v>
      </c>
      <c r="C196" s="1076"/>
      <c r="D196" s="1076"/>
      <c r="E196" s="1076"/>
      <c r="F196" s="1064">
        <v>0.05</v>
      </c>
    </row>
    <row r="197" spans="1:6" ht="24.6" thickBot="1">
      <c r="A197" s="836" t="s">
        <v>526</v>
      </c>
      <c r="B197" s="830" t="s">
        <v>935</v>
      </c>
      <c r="C197" s="1076"/>
      <c r="D197" s="1076"/>
      <c r="E197" s="1076"/>
      <c r="F197" s="1064">
        <v>0.05</v>
      </c>
    </row>
    <row r="198" spans="1:6" ht="24.6" thickBot="1">
      <c r="A198" s="836" t="s">
        <v>526</v>
      </c>
      <c r="B198" s="830" t="s">
        <v>936</v>
      </c>
      <c r="C198" s="1076"/>
      <c r="D198" s="1076"/>
      <c r="E198" s="1076"/>
      <c r="F198" s="1064">
        <v>0.05</v>
      </c>
    </row>
    <row r="199" spans="1:6" ht="24.6" thickBot="1">
      <c r="A199" s="836" t="s">
        <v>526</v>
      </c>
      <c r="B199" s="830" t="s">
        <v>937</v>
      </c>
      <c r="C199" s="1076"/>
      <c r="D199" s="1076"/>
      <c r="E199" s="1076"/>
      <c r="F199" s="1064">
        <v>0.05</v>
      </c>
    </row>
    <row r="200" spans="1:6" ht="24.6" thickBot="1">
      <c r="A200" s="836" t="s">
        <v>526</v>
      </c>
      <c r="B200" s="830" t="s">
        <v>938</v>
      </c>
      <c r="C200" s="1076"/>
      <c r="D200" s="1076"/>
      <c r="E200" s="1076"/>
      <c r="F200" s="1064">
        <v>0.05</v>
      </c>
    </row>
    <row r="201" spans="1:6" ht="24.6" thickBot="1">
      <c r="A201" s="836" t="s">
        <v>526</v>
      </c>
      <c r="B201" s="830" t="s">
        <v>939</v>
      </c>
      <c r="C201" s="1076"/>
      <c r="D201" s="1076"/>
      <c r="E201" s="1076"/>
      <c r="F201" s="1064">
        <v>0.05</v>
      </c>
    </row>
    <row r="202" spans="1:6" ht="24.6" thickBot="1">
      <c r="A202" s="836" t="s">
        <v>526</v>
      </c>
      <c r="B202" s="830" t="s">
        <v>940</v>
      </c>
      <c r="C202" s="1076"/>
      <c r="D202" s="1076"/>
      <c r="E202" s="1076"/>
      <c r="F202" s="1064">
        <v>0.05</v>
      </c>
    </row>
    <row r="203" spans="1:6" ht="24.6" thickBot="1">
      <c r="A203" s="836" t="s">
        <v>526</v>
      </c>
      <c r="B203" s="830" t="s">
        <v>941</v>
      </c>
      <c r="C203" s="1076"/>
      <c r="D203" s="1076"/>
      <c r="E203" s="1076"/>
      <c r="F203" s="1064">
        <v>0.05</v>
      </c>
    </row>
    <row r="204" spans="1:6" ht="15" thickBot="1">
      <c r="A204" s="836" t="s">
        <v>526</v>
      </c>
      <c r="B204" s="830" t="s">
        <v>942</v>
      </c>
      <c r="C204" s="1076"/>
      <c r="D204" s="1076"/>
      <c r="E204" s="1076"/>
      <c r="F204" s="1064">
        <v>0.05</v>
      </c>
    </row>
    <row r="205" spans="1:6" ht="15" thickBot="1">
      <c r="A205" s="846" t="s">
        <v>526</v>
      </c>
      <c r="B205" s="842" t="s">
        <v>943</v>
      </c>
      <c r="C205" s="1073"/>
      <c r="D205" s="1073"/>
      <c r="E205" s="1073"/>
      <c r="F205" s="1066">
        <v>0.05</v>
      </c>
    </row>
    <row r="206" spans="1:6" ht="15" thickBot="1">
      <c r="A206" s="836" t="s">
        <v>528</v>
      </c>
      <c r="B206" s="837" t="s">
        <v>944</v>
      </c>
      <c r="C206" s="1061">
        <v>0.15</v>
      </c>
      <c r="D206" s="1061">
        <v>0.15</v>
      </c>
      <c r="E206" s="1061">
        <v>0.15</v>
      </c>
      <c r="F206" s="1062">
        <v>0.15</v>
      </c>
    </row>
    <row r="207" spans="1:6" ht="15" thickBot="1">
      <c r="A207" s="836" t="s">
        <v>528</v>
      </c>
      <c r="B207" s="830" t="s">
        <v>194</v>
      </c>
      <c r="C207" s="1063">
        <v>0.15</v>
      </c>
      <c r="D207" s="1063">
        <v>0.15</v>
      </c>
      <c r="E207" s="1063">
        <v>0.15</v>
      </c>
      <c r="F207" s="1064">
        <v>0.14399999999999999</v>
      </c>
    </row>
    <row r="208" spans="1:6" ht="15" thickBot="1">
      <c r="A208" s="836" t="s">
        <v>528</v>
      </c>
      <c r="B208" s="830" t="s">
        <v>207</v>
      </c>
      <c r="C208" s="1063">
        <v>0.15</v>
      </c>
      <c r="D208" s="1063">
        <v>0.15</v>
      </c>
      <c r="E208" s="1063">
        <v>0.15</v>
      </c>
      <c r="F208" s="1064">
        <v>0.15</v>
      </c>
    </row>
    <row r="209" spans="1:6" ht="15" thickBot="1">
      <c r="A209" s="836" t="s">
        <v>528</v>
      </c>
      <c r="B209" s="830" t="s">
        <v>220</v>
      </c>
      <c r="C209" s="1063">
        <v>0.13700000000000001</v>
      </c>
      <c r="D209" s="1063">
        <v>0.13700000000000001</v>
      </c>
      <c r="E209" s="1063">
        <v>0.14000000000000001</v>
      </c>
      <c r="F209" s="1064">
        <v>0.11700000000000001</v>
      </c>
    </row>
    <row r="210" spans="1:6" ht="15" thickBot="1">
      <c r="A210" s="836" t="s">
        <v>528</v>
      </c>
      <c r="B210" s="830" t="s">
        <v>945</v>
      </c>
      <c r="C210" s="1063">
        <v>0.15</v>
      </c>
      <c r="D210" s="1063">
        <v>0.15</v>
      </c>
      <c r="E210" s="1063">
        <v>0.15</v>
      </c>
      <c r="F210" s="1064">
        <v>0.13800000000000001</v>
      </c>
    </row>
    <row r="211" spans="1:6" ht="15" thickBot="1">
      <c r="A211" s="836" t="s">
        <v>528</v>
      </c>
      <c r="B211" s="830" t="s">
        <v>946</v>
      </c>
      <c r="C211" s="1063">
        <v>0.13700000000000001</v>
      </c>
      <c r="D211" s="1063">
        <v>0.13500000000000001</v>
      </c>
      <c r="E211" s="1063">
        <v>0.13600000000000001</v>
      </c>
      <c r="F211" s="1064">
        <v>0.1</v>
      </c>
    </row>
    <row r="212" spans="1:6" ht="15" thickBot="1">
      <c r="A212" s="836" t="s">
        <v>528</v>
      </c>
      <c r="B212" s="830" t="s">
        <v>947</v>
      </c>
      <c r="C212" s="1063">
        <v>0.15</v>
      </c>
      <c r="D212" s="1063">
        <v>0.15</v>
      </c>
      <c r="E212" s="1063">
        <v>0.14799999999999999</v>
      </c>
      <c r="F212" s="1064">
        <v>0.13600000000000001</v>
      </c>
    </row>
    <row r="213" spans="1:6" ht="15" thickBot="1">
      <c r="A213" s="836" t="s">
        <v>528</v>
      </c>
      <c r="B213" s="830" t="s">
        <v>265</v>
      </c>
      <c r="C213" s="1063">
        <v>0.15</v>
      </c>
      <c r="D213" s="1063">
        <v>0.15</v>
      </c>
      <c r="E213" s="1063">
        <v>0.15</v>
      </c>
      <c r="F213" s="1064">
        <v>0.13800000000000001</v>
      </c>
    </row>
    <row r="214" spans="1:6" ht="15" thickBot="1">
      <c r="A214" s="836" t="s">
        <v>528</v>
      </c>
      <c r="B214" s="830" t="s">
        <v>277</v>
      </c>
      <c r="C214" s="1063">
        <v>9.0999999999999998E-2</v>
      </c>
      <c r="D214" s="1063">
        <v>0.09</v>
      </c>
      <c r="E214" s="1063">
        <v>9.1999999999999998E-2</v>
      </c>
      <c r="F214" s="1075"/>
    </row>
    <row r="215" spans="1:6" ht="15" thickBot="1">
      <c r="A215" s="836" t="s">
        <v>528</v>
      </c>
      <c r="B215" s="830" t="s">
        <v>948</v>
      </c>
      <c r="C215" s="1063">
        <v>0.15</v>
      </c>
      <c r="D215" s="1063">
        <v>0.15</v>
      </c>
      <c r="E215" s="1063">
        <v>0.15</v>
      </c>
      <c r="F215" s="1064">
        <v>0.15</v>
      </c>
    </row>
    <row r="216" spans="1:6" ht="15" thickBot="1">
      <c r="A216" s="836" t="s">
        <v>528</v>
      </c>
      <c r="B216" s="830" t="s">
        <v>297</v>
      </c>
      <c r="C216" s="1063">
        <v>0.14699999999999999</v>
      </c>
      <c r="D216" s="1063">
        <v>0.14699999999999999</v>
      </c>
      <c r="E216" s="1063">
        <v>0.15</v>
      </c>
      <c r="F216" s="1064">
        <v>0.14000000000000001</v>
      </c>
    </row>
    <row r="217" spans="1:6" ht="15" thickBot="1">
      <c r="A217" s="836" t="s">
        <v>528</v>
      </c>
      <c r="B217" s="830" t="s">
        <v>307</v>
      </c>
      <c r="C217" s="1063">
        <v>0.15</v>
      </c>
      <c r="D217" s="1063">
        <v>0.15</v>
      </c>
      <c r="E217" s="1063">
        <v>0.15</v>
      </c>
      <c r="F217" s="1064">
        <v>0.15</v>
      </c>
    </row>
    <row r="218" spans="1:6" ht="15" thickBot="1">
      <c r="A218" s="836" t="s">
        <v>528</v>
      </c>
      <c r="B218" s="830" t="s">
        <v>949</v>
      </c>
      <c r="C218" s="1063">
        <v>0.15</v>
      </c>
      <c r="D218" s="1063">
        <v>0.15</v>
      </c>
      <c r="E218" s="1063">
        <v>0.15</v>
      </c>
      <c r="F218" s="1064">
        <v>0.15</v>
      </c>
    </row>
    <row r="219" spans="1:6" ht="15" thickBot="1">
      <c r="A219" s="836" t="s">
        <v>528</v>
      </c>
      <c r="B219" s="830" t="s">
        <v>328</v>
      </c>
      <c r="C219" s="1063">
        <v>0.15</v>
      </c>
      <c r="D219" s="1063">
        <v>0.15</v>
      </c>
      <c r="E219" s="1063">
        <v>0.15</v>
      </c>
      <c r="F219" s="1064">
        <v>0.14799999999999999</v>
      </c>
    </row>
    <row r="220" spans="1:6" ht="15" thickBot="1">
      <c r="A220" s="836" t="s">
        <v>528</v>
      </c>
      <c r="B220" s="830" t="s">
        <v>950</v>
      </c>
      <c r="C220" s="1063">
        <v>0.15</v>
      </c>
      <c r="D220" s="1063">
        <v>0.15</v>
      </c>
      <c r="E220" s="1063">
        <v>0.15</v>
      </c>
      <c r="F220" s="1064">
        <v>0.15</v>
      </c>
    </row>
    <row r="221" spans="1:6" ht="15" thickBot="1">
      <c r="A221" s="836" t="s">
        <v>528</v>
      </c>
      <c r="B221" s="830" t="s">
        <v>349</v>
      </c>
      <c r="C221" s="1063"/>
      <c r="D221" s="1076"/>
      <c r="E221" s="1076"/>
      <c r="F221" s="1064">
        <v>0.14799999999999999</v>
      </c>
    </row>
    <row r="222" spans="1:6" ht="15" thickBot="1">
      <c r="A222" s="836" t="s">
        <v>528</v>
      </c>
      <c r="B222" s="830" t="s">
        <v>359</v>
      </c>
      <c r="C222" s="1063"/>
      <c r="D222" s="1076"/>
      <c r="E222" s="1076"/>
      <c r="F222" s="1064">
        <v>0.1</v>
      </c>
    </row>
    <row r="223" spans="1:6" ht="15" thickBot="1">
      <c r="A223" s="836" t="s">
        <v>528</v>
      </c>
      <c r="B223" s="830" t="s">
        <v>369</v>
      </c>
      <c r="C223" s="1063"/>
      <c r="D223" s="1076"/>
      <c r="E223" s="1076"/>
      <c r="F223" s="1064">
        <v>0.15</v>
      </c>
    </row>
    <row r="224" spans="1:6" ht="15" thickBot="1">
      <c r="A224" s="836" t="s">
        <v>528</v>
      </c>
      <c r="B224" s="830" t="s">
        <v>379</v>
      </c>
      <c r="C224" s="1063"/>
      <c r="D224" s="1076"/>
      <c r="E224" s="1076"/>
      <c r="F224" s="1064">
        <v>0.15</v>
      </c>
    </row>
    <row r="225" spans="1:6" ht="15" thickBot="1">
      <c r="A225" s="836" t="s">
        <v>528</v>
      </c>
      <c r="B225" s="830" t="s">
        <v>951</v>
      </c>
      <c r="C225" s="1063">
        <v>0.15</v>
      </c>
      <c r="D225" s="1063">
        <v>0.15</v>
      </c>
      <c r="E225" s="1063">
        <v>0.15</v>
      </c>
      <c r="F225" s="1064">
        <v>0.15</v>
      </c>
    </row>
    <row r="226" spans="1:6" ht="15" thickBot="1">
      <c r="A226" s="836" t="s">
        <v>528</v>
      </c>
      <c r="B226" s="830" t="s">
        <v>397</v>
      </c>
      <c r="C226" s="1063">
        <v>0.15</v>
      </c>
      <c r="D226" s="1063">
        <v>0.15</v>
      </c>
      <c r="E226" s="1063">
        <v>0.15</v>
      </c>
      <c r="F226" s="1064">
        <v>0.14799999999999999</v>
      </c>
    </row>
    <row r="227" spans="1:6" ht="15" thickBot="1">
      <c r="A227" s="836" t="s">
        <v>528</v>
      </c>
      <c r="B227" s="830" t="s">
        <v>952</v>
      </c>
      <c r="C227" s="1063">
        <v>0.15</v>
      </c>
      <c r="D227" s="1063">
        <v>0.15</v>
      </c>
      <c r="E227" s="1063">
        <v>0.15</v>
      </c>
      <c r="F227" s="1064">
        <v>0.15</v>
      </c>
    </row>
    <row r="228" spans="1:6" ht="15" thickBot="1">
      <c r="A228" s="836" t="s">
        <v>528</v>
      </c>
      <c r="B228" s="830" t="s">
        <v>412</v>
      </c>
      <c r="C228" s="1063">
        <v>0.15</v>
      </c>
      <c r="D228" s="1063">
        <v>0.15</v>
      </c>
      <c r="E228" s="1063">
        <v>0.15</v>
      </c>
      <c r="F228" s="1064">
        <v>0.15</v>
      </c>
    </row>
    <row r="229" spans="1:6" ht="15" thickBot="1">
      <c r="A229" s="836" t="s">
        <v>528</v>
      </c>
      <c r="B229" s="830" t="s">
        <v>419</v>
      </c>
      <c r="C229" s="1063">
        <v>0.15</v>
      </c>
      <c r="D229" s="1063">
        <v>0.15</v>
      </c>
      <c r="E229" s="1063">
        <v>0.15</v>
      </c>
      <c r="F229" s="1075"/>
    </row>
    <row r="230" spans="1:6" ht="15" thickBot="1">
      <c r="A230" s="836" t="s">
        <v>528</v>
      </c>
      <c r="B230" s="830" t="s">
        <v>426</v>
      </c>
      <c r="C230" s="1063">
        <v>0.14499999999999999</v>
      </c>
      <c r="D230" s="1063">
        <v>0.14499999999999999</v>
      </c>
      <c r="E230" s="1063">
        <v>0.14399999999999999</v>
      </c>
      <c r="F230" s="1075"/>
    </row>
    <row r="231" spans="1:6" ht="15" thickBot="1">
      <c r="A231" s="836" t="s">
        <v>528</v>
      </c>
      <c r="B231" s="830" t="s">
        <v>953</v>
      </c>
      <c r="C231" s="1063">
        <v>0.128</v>
      </c>
      <c r="D231" s="1063">
        <v>0.125</v>
      </c>
      <c r="E231" s="1063">
        <v>0.13200000000000001</v>
      </c>
      <c r="F231" s="1075"/>
    </row>
    <row r="232" spans="1:6" ht="15" thickBot="1">
      <c r="A232" s="836" t="s">
        <v>528</v>
      </c>
      <c r="B232" s="830" t="s">
        <v>954</v>
      </c>
      <c r="C232" s="1063">
        <v>0.14499999999999999</v>
      </c>
      <c r="D232" s="1063">
        <v>0.14399999999999999</v>
      </c>
      <c r="E232" s="1063">
        <v>0.14599999999999999</v>
      </c>
      <c r="F232" s="1064">
        <v>0.13800000000000001</v>
      </c>
    </row>
    <row r="233" spans="1:6" ht="15" thickBot="1">
      <c r="A233" s="836" t="s">
        <v>528</v>
      </c>
      <c r="B233" s="830" t="s">
        <v>955</v>
      </c>
      <c r="C233" s="1063">
        <v>0.14499999999999999</v>
      </c>
      <c r="D233" s="1063">
        <v>0.14299999999999999</v>
      </c>
      <c r="E233" s="1063">
        <v>0.14199999999999999</v>
      </c>
      <c r="F233" s="1075"/>
    </row>
    <row r="234" spans="1:6" ht="15" thickBot="1">
      <c r="A234" s="836" t="s">
        <v>528</v>
      </c>
      <c r="B234" s="830" t="s">
        <v>956</v>
      </c>
      <c r="C234" s="1063">
        <v>0.14000000000000001</v>
      </c>
      <c r="D234" s="1063">
        <v>0.14000000000000001</v>
      </c>
      <c r="E234" s="1063">
        <v>0.14399999999999999</v>
      </c>
      <c r="F234" s="1075"/>
    </row>
    <row r="235" spans="1:6" ht="15" thickBot="1">
      <c r="A235" s="836" t="s">
        <v>528</v>
      </c>
      <c r="B235" s="830" t="s">
        <v>957</v>
      </c>
      <c r="C235" s="1063">
        <v>0.14099999999999999</v>
      </c>
      <c r="D235" s="1063">
        <v>0.14199999999999999</v>
      </c>
      <c r="E235" s="1063">
        <v>0.14499999999999999</v>
      </c>
      <c r="F235" s="1064">
        <v>0.15</v>
      </c>
    </row>
    <row r="236" spans="1:6" ht="15" thickBot="1">
      <c r="A236" s="836" t="s">
        <v>528</v>
      </c>
      <c r="B236" s="830" t="s">
        <v>461</v>
      </c>
      <c r="C236" s="1076"/>
      <c r="D236" s="1076"/>
      <c r="E236" s="1076"/>
      <c r="F236" s="1064">
        <v>0.14299999999999999</v>
      </c>
    </row>
    <row r="237" spans="1:6" ht="24.6" thickBot="1">
      <c r="A237" s="836" t="s">
        <v>528</v>
      </c>
      <c r="B237" s="830" t="s">
        <v>958</v>
      </c>
      <c r="C237" s="1076"/>
      <c r="D237" s="1076"/>
      <c r="E237" s="1076"/>
      <c r="F237" s="1064">
        <v>0.05</v>
      </c>
    </row>
    <row r="238" spans="1:6" ht="24.6" thickBot="1">
      <c r="A238" s="836" t="s">
        <v>528</v>
      </c>
      <c r="B238" s="830" t="s">
        <v>959</v>
      </c>
      <c r="C238" s="1076"/>
      <c r="D238" s="1076"/>
      <c r="E238" s="1076"/>
      <c r="F238" s="1064">
        <v>0.05</v>
      </c>
    </row>
    <row r="239" spans="1:6" ht="24.6" thickBot="1">
      <c r="A239" s="836" t="s">
        <v>528</v>
      </c>
      <c r="B239" s="830" t="s">
        <v>960</v>
      </c>
      <c r="C239" s="1076"/>
      <c r="D239" s="1076"/>
      <c r="E239" s="1076"/>
      <c r="F239" s="1064">
        <v>0.05</v>
      </c>
    </row>
    <row r="240" spans="1:6" ht="24.6" thickBot="1">
      <c r="A240" s="836" t="s">
        <v>528</v>
      </c>
      <c r="B240" s="830" t="s">
        <v>961</v>
      </c>
      <c r="C240" s="1076"/>
      <c r="D240" s="1076"/>
      <c r="E240" s="1076"/>
      <c r="F240" s="1064">
        <v>0.05</v>
      </c>
    </row>
    <row r="241" spans="1:6" ht="24.6" thickBot="1">
      <c r="A241" s="836" t="s">
        <v>528</v>
      </c>
      <c r="B241" s="830" t="s">
        <v>962</v>
      </c>
      <c r="C241" s="1076"/>
      <c r="D241" s="1076"/>
      <c r="E241" s="1076"/>
      <c r="F241" s="1064">
        <v>0.05</v>
      </c>
    </row>
    <row r="242" spans="1:6" ht="24.6" thickBot="1">
      <c r="A242" s="836" t="s">
        <v>528</v>
      </c>
      <c r="B242" s="830" t="s">
        <v>963</v>
      </c>
      <c r="C242" s="1076"/>
      <c r="D242" s="1076"/>
      <c r="E242" s="1076"/>
      <c r="F242" s="1064">
        <v>0.05</v>
      </c>
    </row>
    <row r="243" spans="1:6" ht="24.6" thickBot="1">
      <c r="A243" s="836" t="s">
        <v>528</v>
      </c>
      <c r="B243" s="830" t="s">
        <v>964</v>
      </c>
      <c r="C243" s="1076"/>
      <c r="D243" s="1076"/>
      <c r="E243" s="1076"/>
      <c r="F243" s="1064">
        <v>0.05</v>
      </c>
    </row>
    <row r="244" spans="1:6" ht="24.6" thickBot="1">
      <c r="A244" s="846" t="s">
        <v>528</v>
      </c>
      <c r="B244" s="842" t="s">
        <v>965</v>
      </c>
      <c r="C244" s="1073"/>
      <c r="D244" s="1073"/>
      <c r="E244" s="1073"/>
      <c r="F244" s="1066">
        <v>0.05</v>
      </c>
    </row>
    <row r="245" spans="1:6" ht="15" thickBot="1">
      <c r="A245" s="836" t="s">
        <v>530</v>
      </c>
      <c r="B245" s="837" t="s">
        <v>966</v>
      </c>
      <c r="C245" s="1061">
        <v>0.15</v>
      </c>
      <c r="D245" s="1061">
        <v>0.15</v>
      </c>
      <c r="E245" s="1061">
        <v>0.15</v>
      </c>
      <c r="F245" s="1062">
        <v>0.14299999999999999</v>
      </c>
    </row>
    <row r="246" spans="1:6" ht="15" thickBot="1">
      <c r="A246" s="836" t="s">
        <v>530</v>
      </c>
      <c r="B246" s="830" t="s">
        <v>195</v>
      </c>
      <c r="C246" s="1063">
        <v>0.15</v>
      </c>
      <c r="D246" s="1063">
        <v>0.15</v>
      </c>
      <c r="E246" s="1063">
        <v>0.15</v>
      </c>
      <c r="F246" s="1064">
        <v>0.114</v>
      </c>
    </row>
    <row r="247" spans="1:6" ht="15" thickBot="1">
      <c r="A247" s="836" t="s">
        <v>530</v>
      </c>
      <c r="B247" s="830" t="s">
        <v>967</v>
      </c>
      <c r="C247" s="1063">
        <v>0.15</v>
      </c>
      <c r="D247" s="1063">
        <v>0.15</v>
      </c>
      <c r="E247" s="1063">
        <v>0.15</v>
      </c>
      <c r="F247" s="1064">
        <v>0.15</v>
      </c>
    </row>
    <row r="248" spans="1:6" ht="15" thickBot="1">
      <c r="A248" s="836" t="s">
        <v>530</v>
      </c>
      <c r="B248" s="830" t="s">
        <v>968</v>
      </c>
      <c r="C248" s="1063">
        <v>0.15</v>
      </c>
      <c r="D248" s="1063">
        <v>0.15</v>
      </c>
      <c r="E248" s="1063">
        <v>0.15</v>
      </c>
      <c r="F248" s="1064">
        <v>0.14000000000000001</v>
      </c>
    </row>
    <row r="249" spans="1:6" ht="15" thickBot="1">
      <c r="A249" s="836" t="s">
        <v>530</v>
      </c>
      <c r="B249" s="830" t="s">
        <v>969</v>
      </c>
      <c r="C249" s="1063">
        <v>0.15</v>
      </c>
      <c r="D249" s="1063">
        <v>0.14899999999999999</v>
      </c>
      <c r="E249" s="1063">
        <v>0.15</v>
      </c>
      <c r="F249" s="1064">
        <v>0.1</v>
      </c>
    </row>
    <row r="250" spans="1:6" ht="15" thickBot="1">
      <c r="A250" s="836" t="s">
        <v>530</v>
      </c>
      <c r="B250" s="830" t="s">
        <v>970</v>
      </c>
      <c r="C250" s="1063">
        <v>0.15</v>
      </c>
      <c r="D250" s="1063">
        <v>0.15</v>
      </c>
      <c r="E250" s="1063">
        <v>0.15</v>
      </c>
      <c r="F250" s="1064">
        <v>0.14399999999999999</v>
      </c>
    </row>
    <row r="251" spans="1:6" ht="15" thickBot="1">
      <c r="A251" s="836" t="s">
        <v>530</v>
      </c>
      <c r="B251" s="830" t="s">
        <v>255</v>
      </c>
      <c r="C251" s="1063">
        <v>0.15</v>
      </c>
      <c r="D251" s="1063">
        <v>0.15</v>
      </c>
      <c r="E251" s="1063">
        <v>0.15</v>
      </c>
      <c r="F251" s="1064">
        <v>0.14299999999999999</v>
      </c>
    </row>
    <row r="252" spans="1:6" ht="15" thickBot="1">
      <c r="A252" s="836" t="s">
        <v>530</v>
      </c>
      <c r="B252" s="830" t="s">
        <v>266</v>
      </c>
      <c r="C252" s="1063">
        <v>0.15</v>
      </c>
      <c r="D252" s="1063">
        <v>0.15</v>
      </c>
      <c r="E252" s="1063">
        <v>0.15</v>
      </c>
      <c r="F252" s="1064">
        <v>0.1</v>
      </c>
    </row>
    <row r="253" spans="1:6" ht="15" thickBot="1">
      <c r="A253" s="836" t="s">
        <v>530</v>
      </c>
      <c r="B253" s="830" t="s">
        <v>278</v>
      </c>
      <c r="C253" s="1063">
        <v>0.15</v>
      </c>
      <c r="D253" s="1063">
        <v>0.15</v>
      </c>
      <c r="E253" s="1063">
        <v>0.15</v>
      </c>
      <c r="F253" s="1064">
        <v>0.1</v>
      </c>
    </row>
    <row r="254" spans="1:6" ht="15" thickBot="1">
      <c r="A254" s="836" t="s">
        <v>530</v>
      </c>
      <c r="B254" s="830" t="s">
        <v>288</v>
      </c>
      <c r="C254" s="1076"/>
      <c r="D254" s="1076"/>
      <c r="E254" s="1076"/>
      <c r="F254" s="1064">
        <v>0.15</v>
      </c>
    </row>
    <row r="255" spans="1:6" ht="15" thickBot="1">
      <c r="A255" s="836" t="s">
        <v>530</v>
      </c>
      <c r="B255" s="830" t="s">
        <v>298</v>
      </c>
      <c r="C255" s="1076"/>
      <c r="D255" s="1076"/>
      <c r="E255" s="1076"/>
      <c r="F255" s="1064">
        <v>0.14299999999999999</v>
      </c>
    </row>
    <row r="256" spans="1:6" ht="15" thickBot="1">
      <c r="A256" s="836" t="s">
        <v>530</v>
      </c>
      <c r="B256" s="830" t="s">
        <v>971</v>
      </c>
      <c r="C256" s="1063">
        <v>0.14599999999999999</v>
      </c>
      <c r="D256" s="1063">
        <v>0.14699999999999999</v>
      </c>
      <c r="E256" s="1063">
        <v>0.15</v>
      </c>
      <c r="F256" s="1064">
        <v>0.13200000000000001</v>
      </c>
    </row>
    <row r="257" spans="1:6" ht="15" thickBot="1">
      <c r="A257" s="836" t="s">
        <v>530</v>
      </c>
      <c r="B257" s="830" t="s">
        <v>318</v>
      </c>
      <c r="C257" s="1063">
        <v>0.15</v>
      </c>
      <c r="D257" s="1063">
        <v>0.15</v>
      </c>
      <c r="E257" s="1063">
        <v>0.15</v>
      </c>
      <c r="F257" s="1064">
        <v>0.13900000000000001</v>
      </c>
    </row>
    <row r="258" spans="1:6" ht="15" thickBot="1">
      <c r="A258" s="836" t="s">
        <v>530</v>
      </c>
      <c r="B258" s="830" t="s">
        <v>329</v>
      </c>
      <c r="C258" s="1063">
        <v>0.15</v>
      </c>
      <c r="D258" s="1063">
        <v>0.15</v>
      </c>
      <c r="E258" s="1063">
        <v>0.15</v>
      </c>
      <c r="F258" s="1064">
        <v>0.13</v>
      </c>
    </row>
    <row r="259" spans="1:6" ht="15" thickBot="1">
      <c r="A259" s="836" t="s">
        <v>530</v>
      </c>
      <c r="B259" s="830" t="s">
        <v>972</v>
      </c>
      <c r="C259" s="1063">
        <v>0.14799999999999999</v>
      </c>
      <c r="D259" s="1063">
        <v>0.14899999999999999</v>
      </c>
      <c r="E259" s="1063">
        <v>0.15</v>
      </c>
      <c r="F259" s="1064">
        <v>0.13700000000000001</v>
      </c>
    </row>
    <row r="260" spans="1:6" ht="15" thickBot="1">
      <c r="A260" s="836" t="s">
        <v>530</v>
      </c>
      <c r="B260" s="830" t="s">
        <v>350</v>
      </c>
      <c r="C260" s="1063">
        <v>0.15</v>
      </c>
      <c r="D260" s="1063">
        <v>0.15</v>
      </c>
      <c r="E260" s="1063">
        <v>0.15</v>
      </c>
      <c r="F260" s="1064">
        <v>0.14199999999999999</v>
      </c>
    </row>
    <row r="261" spans="1:6" ht="15" thickBot="1">
      <c r="A261" s="836" t="s">
        <v>530</v>
      </c>
      <c r="B261" s="830" t="s">
        <v>360</v>
      </c>
      <c r="C261" s="1063">
        <v>0.15</v>
      </c>
      <c r="D261" s="1063">
        <v>0.15</v>
      </c>
      <c r="E261" s="1063">
        <v>0.14899999999999999</v>
      </c>
      <c r="F261" s="1064">
        <v>0.14799999999999999</v>
      </c>
    </row>
    <row r="262" spans="1:6" ht="15" thickBot="1">
      <c r="A262" s="836" t="s">
        <v>530</v>
      </c>
      <c r="B262" s="830" t="s">
        <v>370</v>
      </c>
      <c r="C262" s="1063">
        <v>0.15</v>
      </c>
      <c r="D262" s="1063">
        <v>0.15</v>
      </c>
      <c r="E262" s="1063">
        <v>0.15</v>
      </c>
      <c r="F262" s="1075"/>
    </row>
    <row r="263" spans="1:6" ht="15" thickBot="1">
      <c r="A263" s="836" t="s">
        <v>530</v>
      </c>
      <c r="B263" s="830" t="s">
        <v>973</v>
      </c>
      <c r="C263" s="1063">
        <v>0.14899999999999999</v>
      </c>
      <c r="D263" s="1063">
        <v>0.14899999999999999</v>
      </c>
      <c r="E263" s="1063">
        <v>0.15</v>
      </c>
      <c r="F263" s="1064">
        <v>0.13</v>
      </c>
    </row>
    <row r="264" spans="1:6" ht="15" thickBot="1">
      <c r="A264" s="836" t="s">
        <v>530</v>
      </c>
      <c r="B264" s="830" t="s">
        <v>389</v>
      </c>
      <c r="C264" s="1063">
        <v>0.14799999999999999</v>
      </c>
      <c r="D264" s="1063">
        <v>0.14699999999999999</v>
      </c>
      <c r="E264" s="1063">
        <v>0.15</v>
      </c>
      <c r="F264" s="1064">
        <v>7.8E-2</v>
      </c>
    </row>
    <row r="265" spans="1:6" ht="15" thickBot="1">
      <c r="A265" s="836" t="s">
        <v>530</v>
      </c>
      <c r="B265" s="830" t="s">
        <v>398</v>
      </c>
      <c r="C265" s="1063">
        <v>0.15</v>
      </c>
      <c r="D265" s="1063">
        <v>0.15</v>
      </c>
      <c r="E265" s="1063">
        <v>0.15</v>
      </c>
      <c r="F265" s="1064">
        <v>7.3999999999999996E-2</v>
      </c>
    </row>
    <row r="266" spans="1:6" ht="15" thickBot="1">
      <c r="A266" s="836" t="s">
        <v>530</v>
      </c>
      <c r="B266" s="830" t="s">
        <v>406</v>
      </c>
      <c r="C266" s="1063">
        <v>0.14699999999999999</v>
      </c>
      <c r="D266" s="1063">
        <v>0.14699999999999999</v>
      </c>
      <c r="E266" s="1063">
        <v>0.15</v>
      </c>
      <c r="F266" s="1064">
        <v>0.14299999999999999</v>
      </c>
    </row>
    <row r="267" spans="1:6" ht="15" thickBot="1">
      <c r="A267" s="836" t="s">
        <v>530</v>
      </c>
      <c r="B267" s="830" t="s">
        <v>413</v>
      </c>
      <c r="C267" s="1063">
        <v>0.14199999999999999</v>
      </c>
      <c r="D267" s="1063">
        <v>0.14299999999999999</v>
      </c>
      <c r="E267" s="1063">
        <v>0.15</v>
      </c>
      <c r="F267" s="1075"/>
    </row>
    <row r="268" spans="1:6" ht="15" thickBot="1">
      <c r="A268" s="836" t="s">
        <v>530</v>
      </c>
      <c r="B268" s="830" t="s">
        <v>974</v>
      </c>
      <c r="C268" s="1063">
        <v>0.15</v>
      </c>
      <c r="D268" s="1063">
        <v>0.15</v>
      </c>
      <c r="E268" s="1063">
        <v>0.15</v>
      </c>
      <c r="F268" s="1064">
        <v>0.13</v>
      </c>
    </row>
    <row r="269" spans="1:6" ht="15" thickBot="1">
      <c r="A269" s="836" t="s">
        <v>530</v>
      </c>
      <c r="B269" s="830" t="s">
        <v>427</v>
      </c>
      <c r="C269" s="1063">
        <v>0.15</v>
      </c>
      <c r="D269" s="1063">
        <v>0.15</v>
      </c>
      <c r="E269" s="1063">
        <v>0.15</v>
      </c>
      <c r="F269" s="1064">
        <v>0.14299999999999999</v>
      </c>
    </row>
    <row r="270" spans="1:6" ht="15" thickBot="1">
      <c r="A270" s="836" t="s">
        <v>530</v>
      </c>
      <c r="B270" s="830" t="s">
        <v>434</v>
      </c>
      <c r="C270" s="1063">
        <v>0.14499999999999999</v>
      </c>
      <c r="D270" s="1063">
        <v>0.14499999999999999</v>
      </c>
      <c r="E270" s="1063">
        <v>0.15</v>
      </c>
      <c r="F270" s="1064">
        <v>0.14699999999999999</v>
      </c>
    </row>
    <row r="271" spans="1:6" ht="15" thickBot="1">
      <c r="A271" s="836" t="s">
        <v>530</v>
      </c>
      <c r="B271" s="830" t="s">
        <v>441</v>
      </c>
      <c r="C271" s="1063">
        <v>0.15</v>
      </c>
      <c r="D271" s="1063">
        <v>0.15</v>
      </c>
      <c r="E271" s="1063">
        <v>0.15</v>
      </c>
      <c r="F271" s="1064">
        <v>0.13800000000000001</v>
      </c>
    </row>
    <row r="272" spans="1:6" ht="15" thickBot="1">
      <c r="A272" s="836" t="s">
        <v>530</v>
      </c>
      <c r="B272" s="830" t="s">
        <v>448</v>
      </c>
      <c r="C272" s="1076"/>
      <c r="D272" s="1076"/>
      <c r="E272" s="1076"/>
      <c r="F272" s="1064">
        <v>0.14000000000000001</v>
      </c>
    </row>
    <row r="273" spans="1:6" ht="15" thickBot="1">
      <c r="A273" s="836" t="s">
        <v>530</v>
      </c>
      <c r="B273" s="830" t="s">
        <v>975</v>
      </c>
      <c r="C273" s="1063">
        <v>0.14199999999999999</v>
      </c>
      <c r="D273" s="1063">
        <v>0.14299999999999999</v>
      </c>
      <c r="E273" s="1063">
        <v>0.15</v>
      </c>
      <c r="F273" s="1064">
        <v>0.1</v>
      </c>
    </row>
    <row r="274" spans="1:6" ht="15" thickBot="1">
      <c r="A274" s="836" t="s">
        <v>530</v>
      </c>
      <c r="B274" s="830" t="s">
        <v>976</v>
      </c>
      <c r="C274" s="1063">
        <v>0.14799999999999999</v>
      </c>
      <c r="D274" s="1063">
        <v>0.14799999999999999</v>
      </c>
      <c r="E274" s="1063">
        <v>0.15</v>
      </c>
      <c r="F274" s="1064">
        <v>6.7000000000000004E-2</v>
      </c>
    </row>
    <row r="275" spans="1:6" ht="15" thickBot="1">
      <c r="A275" s="836" t="s">
        <v>530</v>
      </c>
      <c r="B275" s="830" t="s">
        <v>977</v>
      </c>
      <c r="C275" s="1063">
        <v>0.15</v>
      </c>
      <c r="D275" s="1063">
        <v>0.15</v>
      </c>
      <c r="E275" s="1063">
        <v>0.15</v>
      </c>
      <c r="F275" s="1064">
        <v>0.15</v>
      </c>
    </row>
    <row r="276" spans="1:6" ht="15" thickBot="1">
      <c r="A276" s="836" t="s">
        <v>530</v>
      </c>
      <c r="B276" s="830" t="s">
        <v>978</v>
      </c>
      <c r="C276" s="1063">
        <v>0.14499999999999999</v>
      </c>
      <c r="D276" s="1063">
        <v>0.14299999999999999</v>
      </c>
      <c r="E276" s="1063">
        <v>0.15</v>
      </c>
      <c r="F276" s="1064">
        <v>5.8999999999999997E-2</v>
      </c>
    </row>
    <row r="277" spans="1:6" ht="15" thickBot="1">
      <c r="A277" s="836" t="s">
        <v>530</v>
      </c>
      <c r="B277" s="830" t="s">
        <v>979</v>
      </c>
      <c r="C277" s="1063">
        <v>0.15</v>
      </c>
      <c r="D277" s="1063">
        <v>0.15</v>
      </c>
      <c r="E277" s="1063">
        <v>0.15</v>
      </c>
      <c r="F277" s="1064">
        <v>0.121</v>
      </c>
    </row>
    <row r="278" spans="1:6" ht="15" thickBot="1">
      <c r="A278" s="836" t="s">
        <v>530</v>
      </c>
      <c r="B278" s="830" t="s">
        <v>980</v>
      </c>
      <c r="C278" s="1063">
        <v>0.15</v>
      </c>
      <c r="D278" s="1063">
        <v>0.15</v>
      </c>
      <c r="E278" s="1063">
        <v>0.15</v>
      </c>
      <c r="F278" s="1064">
        <v>0.13800000000000001</v>
      </c>
    </row>
    <row r="279" spans="1:6" ht="24.6" thickBot="1">
      <c r="A279" s="836" t="s">
        <v>530</v>
      </c>
      <c r="B279" s="830" t="s">
        <v>981</v>
      </c>
      <c r="C279" s="1076"/>
      <c r="D279" s="1076"/>
      <c r="E279" s="1076"/>
      <c r="F279" s="1064">
        <v>0.05</v>
      </c>
    </row>
    <row r="280" spans="1:6" ht="24.6" thickBot="1">
      <c r="A280" s="836" t="s">
        <v>530</v>
      </c>
      <c r="B280" s="830" t="s">
        <v>982</v>
      </c>
      <c r="C280" s="1076"/>
      <c r="D280" s="1076"/>
      <c r="E280" s="1076"/>
      <c r="F280" s="1064">
        <v>0.05</v>
      </c>
    </row>
    <row r="281" spans="1:6" ht="24.6" thickBot="1">
      <c r="A281" s="836" t="s">
        <v>530</v>
      </c>
      <c r="B281" s="830" t="s">
        <v>983</v>
      </c>
      <c r="C281" s="1076"/>
      <c r="D281" s="1076"/>
      <c r="E281" s="1076"/>
      <c r="F281" s="1064">
        <v>0.05</v>
      </c>
    </row>
    <row r="282" spans="1:6" ht="24.6" thickBot="1">
      <c r="A282" s="836" t="s">
        <v>530</v>
      </c>
      <c r="B282" s="830" t="s">
        <v>984</v>
      </c>
      <c r="C282" s="1076"/>
      <c r="D282" s="1076"/>
      <c r="E282" s="1076"/>
      <c r="F282" s="1064">
        <v>0.05</v>
      </c>
    </row>
    <row r="283" spans="1:6" ht="24.6" thickBot="1">
      <c r="A283" s="836" t="s">
        <v>530</v>
      </c>
      <c r="B283" s="830" t="s">
        <v>985</v>
      </c>
      <c r="C283" s="1076"/>
      <c r="D283" s="1076"/>
      <c r="E283" s="1076"/>
      <c r="F283" s="1064">
        <v>0.05</v>
      </c>
    </row>
    <row r="284" spans="1:6" ht="24.6" thickBot="1">
      <c r="A284" s="836" t="s">
        <v>530</v>
      </c>
      <c r="B284" s="830" t="s">
        <v>986</v>
      </c>
      <c r="C284" s="1076"/>
      <c r="D284" s="1076"/>
      <c r="E284" s="1076"/>
      <c r="F284" s="1064">
        <v>0.05</v>
      </c>
    </row>
    <row r="285" spans="1:6" ht="24.6" thickBot="1">
      <c r="A285" s="836" t="s">
        <v>530</v>
      </c>
      <c r="B285" s="830" t="s">
        <v>987</v>
      </c>
      <c r="C285" s="1076"/>
      <c r="D285" s="1076"/>
      <c r="E285" s="1076"/>
      <c r="F285" s="1064">
        <v>0.05</v>
      </c>
    </row>
    <row r="286" spans="1:6" ht="24.6" thickBot="1">
      <c r="A286" s="836" t="s">
        <v>530</v>
      </c>
      <c r="B286" s="830" t="s">
        <v>988</v>
      </c>
      <c r="C286" s="1076"/>
      <c r="D286" s="1076"/>
      <c r="E286" s="1076"/>
      <c r="F286" s="1064">
        <v>0.05</v>
      </c>
    </row>
    <row r="287" spans="1:6" ht="24.6" thickBot="1">
      <c r="A287" s="836" t="s">
        <v>530</v>
      </c>
      <c r="B287" s="830" t="s">
        <v>989</v>
      </c>
      <c r="C287" s="1076"/>
      <c r="D287" s="1076"/>
      <c r="E287" s="1076"/>
      <c r="F287" s="1064">
        <v>0.05</v>
      </c>
    </row>
    <row r="288" spans="1:6" ht="24.6" thickBot="1">
      <c r="A288" s="836" t="s">
        <v>530</v>
      </c>
      <c r="B288" s="830" t="s">
        <v>990</v>
      </c>
      <c r="C288" s="1076"/>
      <c r="D288" s="1076"/>
      <c r="E288" s="1076"/>
      <c r="F288" s="1064">
        <v>0.05</v>
      </c>
    </row>
    <row r="289" spans="1:6" ht="24.6" thickBot="1">
      <c r="A289" s="846" t="s">
        <v>530</v>
      </c>
      <c r="B289" s="842" t="s">
        <v>991</v>
      </c>
      <c r="C289" s="1073"/>
      <c r="D289" s="1073"/>
      <c r="E289" s="1073"/>
      <c r="F289" s="1066">
        <v>0.05</v>
      </c>
    </row>
    <row r="290" spans="1:6" ht="15" thickBot="1">
      <c r="A290" s="836" t="s">
        <v>534</v>
      </c>
      <c r="B290" s="837" t="s">
        <v>992</v>
      </c>
      <c r="C290" s="1061">
        <v>0.15</v>
      </c>
      <c r="D290" s="1061">
        <v>0.15</v>
      </c>
      <c r="E290" s="1061">
        <v>0.15</v>
      </c>
      <c r="F290" s="1078"/>
    </row>
    <row r="291" spans="1:6" ht="15" thickBot="1">
      <c r="A291" s="836" t="s">
        <v>534</v>
      </c>
      <c r="B291" s="830" t="s">
        <v>196</v>
      </c>
      <c r="C291" s="1063">
        <v>0.15</v>
      </c>
      <c r="D291" s="1063">
        <v>0.15</v>
      </c>
      <c r="E291" s="1063">
        <v>0.15</v>
      </c>
      <c r="F291" s="1075"/>
    </row>
    <row r="292" spans="1:6" ht="15" thickBot="1">
      <c r="A292" s="836" t="s">
        <v>534</v>
      </c>
      <c r="B292" s="830" t="s">
        <v>993</v>
      </c>
      <c r="C292" s="1063">
        <v>0.15</v>
      </c>
      <c r="D292" s="1063">
        <v>0.15</v>
      </c>
      <c r="E292" s="1063">
        <v>0.15</v>
      </c>
      <c r="F292" s="1064">
        <v>0.14699999999999999</v>
      </c>
    </row>
    <row r="293" spans="1:6" ht="15" thickBot="1">
      <c r="A293" s="836" t="s">
        <v>534</v>
      </c>
      <c r="B293" s="830" t="s">
        <v>994</v>
      </c>
      <c r="C293" s="1076"/>
      <c r="D293" s="1076"/>
      <c r="E293" s="1076"/>
      <c r="F293" s="1064">
        <v>0.1</v>
      </c>
    </row>
    <row r="294" spans="1:6" ht="15" thickBot="1">
      <c r="A294" s="836" t="s">
        <v>534</v>
      </c>
      <c r="B294" s="830" t="s">
        <v>995</v>
      </c>
      <c r="C294" s="1063">
        <v>0.15</v>
      </c>
      <c r="D294" s="1063">
        <v>0.15</v>
      </c>
      <c r="E294" s="1063">
        <v>0.15</v>
      </c>
      <c r="F294" s="1064">
        <v>0.15</v>
      </c>
    </row>
    <row r="295" spans="1:6" ht="15" thickBot="1">
      <c r="A295" s="836" t="s">
        <v>534</v>
      </c>
      <c r="B295" s="830" t="s">
        <v>234</v>
      </c>
      <c r="C295" s="1063">
        <v>0.15</v>
      </c>
      <c r="D295" s="1063">
        <v>0.15</v>
      </c>
      <c r="E295" s="1063">
        <v>0.15</v>
      </c>
      <c r="F295" s="1064">
        <v>0.15</v>
      </c>
    </row>
    <row r="296" spans="1:6" ht="15" thickBot="1">
      <c r="A296" s="836" t="s">
        <v>534</v>
      </c>
      <c r="B296" s="830" t="s">
        <v>996</v>
      </c>
      <c r="C296" s="1063">
        <v>0.15</v>
      </c>
      <c r="D296" s="1063">
        <v>0.15</v>
      </c>
      <c r="E296" s="1063">
        <v>0.15</v>
      </c>
      <c r="F296" s="1064">
        <v>0.15</v>
      </c>
    </row>
    <row r="297" spans="1:6" ht="15" thickBot="1">
      <c r="A297" s="836" t="s">
        <v>534</v>
      </c>
      <c r="B297" s="830" t="s">
        <v>997</v>
      </c>
      <c r="C297" s="1063">
        <v>0.14799999999999999</v>
      </c>
      <c r="D297" s="1063">
        <v>0.14899999999999999</v>
      </c>
      <c r="E297" s="1063">
        <v>0.15</v>
      </c>
      <c r="F297" s="1064">
        <v>0.13700000000000001</v>
      </c>
    </row>
    <row r="298" spans="1:6" ht="15" thickBot="1">
      <c r="A298" s="836" t="s">
        <v>534</v>
      </c>
      <c r="B298" s="830" t="s">
        <v>267</v>
      </c>
      <c r="C298" s="1063">
        <v>0.13400000000000001</v>
      </c>
      <c r="D298" s="1063">
        <v>0.13400000000000001</v>
      </c>
      <c r="E298" s="1063">
        <v>0.14499999999999999</v>
      </c>
      <c r="F298" s="1064">
        <v>0.14799999999999999</v>
      </c>
    </row>
    <row r="299" spans="1:6" ht="15" thickBot="1">
      <c r="A299" s="836" t="s">
        <v>534</v>
      </c>
      <c r="B299" s="830" t="s">
        <v>279</v>
      </c>
      <c r="C299" s="1063">
        <v>0.15</v>
      </c>
      <c r="D299" s="1063">
        <v>0.15</v>
      </c>
      <c r="E299" s="1063">
        <v>0.15</v>
      </c>
      <c r="F299" s="1075"/>
    </row>
    <row r="300" spans="1:6" ht="15" thickBot="1">
      <c r="A300" s="836" t="s">
        <v>534</v>
      </c>
      <c r="B300" s="830" t="s">
        <v>998</v>
      </c>
      <c r="C300" s="1063">
        <v>0.15</v>
      </c>
      <c r="D300" s="1063">
        <v>0.15</v>
      </c>
      <c r="E300" s="1063">
        <v>0.15</v>
      </c>
      <c r="F300" s="1064">
        <v>0.15</v>
      </c>
    </row>
    <row r="301" spans="1:6" ht="15" thickBot="1">
      <c r="A301" s="836" t="s">
        <v>534</v>
      </c>
      <c r="B301" s="830" t="s">
        <v>299</v>
      </c>
      <c r="C301" s="1063">
        <v>0.15</v>
      </c>
      <c r="D301" s="1063">
        <v>0.15</v>
      </c>
      <c r="E301" s="1063">
        <v>0.15</v>
      </c>
      <c r="F301" s="1075"/>
    </row>
    <row r="302" spans="1:6" ht="15" thickBot="1">
      <c r="A302" s="836" t="s">
        <v>534</v>
      </c>
      <c r="B302" s="830" t="s">
        <v>999</v>
      </c>
      <c r="C302" s="1063">
        <v>0.15</v>
      </c>
      <c r="D302" s="1063">
        <v>0.15</v>
      </c>
      <c r="E302" s="1063">
        <v>0.15</v>
      </c>
      <c r="F302" s="1064">
        <v>0.15</v>
      </c>
    </row>
    <row r="303" spans="1:6" ht="15" thickBot="1">
      <c r="A303" s="836" t="s">
        <v>534</v>
      </c>
      <c r="B303" s="830" t="s">
        <v>319</v>
      </c>
      <c r="C303" s="1063">
        <v>0.15</v>
      </c>
      <c r="D303" s="1063">
        <v>0.15</v>
      </c>
      <c r="E303" s="1063">
        <v>0.15</v>
      </c>
      <c r="F303" s="1064">
        <v>0.15</v>
      </c>
    </row>
    <row r="304" spans="1:6" ht="15" thickBot="1">
      <c r="A304" s="836" t="s">
        <v>534</v>
      </c>
      <c r="B304" s="830" t="s">
        <v>330</v>
      </c>
      <c r="C304" s="1063">
        <v>0.15</v>
      </c>
      <c r="D304" s="1063">
        <v>0.15</v>
      </c>
      <c r="E304" s="1063">
        <v>0.15</v>
      </c>
      <c r="F304" s="1075"/>
    </row>
    <row r="305" spans="1:6" ht="15" thickBot="1">
      <c r="A305" s="836" t="s">
        <v>534</v>
      </c>
      <c r="B305" s="830" t="s">
        <v>1000</v>
      </c>
      <c r="C305" s="1063">
        <v>0.15</v>
      </c>
      <c r="D305" s="1063">
        <v>0.15</v>
      </c>
      <c r="E305" s="1063">
        <v>0.15</v>
      </c>
      <c r="F305" s="1064">
        <v>0.14000000000000001</v>
      </c>
    </row>
    <row r="306" spans="1:6" ht="15" thickBot="1">
      <c r="A306" s="836" t="s">
        <v>534</v>
      </c>
      <c r="B306" s="830" t="s">
        <v>351</v>
      </c>
      <c r="C306" s="1063">
        <v>0.15</v>
      </c>
      <c r="D306" s="1063">
        <v>0.15</v>
      </c>
      <c r="E306" s="1063">
        <v>0.15</v>
      </c>
      <c r="F306" s="1075"/>
    </row>
    <row r="307" spans="1:6" ht="15" thickBot="1">
      <c r="A307" s="836" t="s">
        <v>534</v>
      </c>
      <c r="B307" s="830" t="s">
        <v>1001</v>
      </c>
      <c r="C307" s="1063">
        <v>0.15</v>
      </c>
      <c r="D307" s="1063">
        <v>0.15</v>
      </c>
      <c r="E307" s="1063">
        <v>0.15</v>
      </c>
      <c r="F307" s="1064">
        <v>0.14299999999999999</v>
      </c>
    </row>
    <row r="308" spans="1:6" ht="15" thickBot="1">
      <c r="A308" s="836" t="s">
        <v>534</v>
      </c>
      <c r="B308" s="830" t="s">
        <v>371</v>
      </c>
      <c r="C308" s="1063">
        <v>0.15</v>
      </c>
      <c r="D308" s="1063">
        <v>0.15</v>
      </c>
      <c r="E308" s="1063">
        <v>0.15</v>
      </c>
      <c r="F308" s="1064">
        <v>0.15</v>
      </c>
    </row>
    <row r="309" spans="1:6" ht="15" thickBot="1">
      <c r="A309" s="836" t="s">
        <v>534</v>
      </c>
      <c r="B309" s="830" t="s">
        <v>381</v>
      </c>
      <c r="C309" s="1063">
        <v>0.15</v>
      </c>
      <c r="D309" s="1063">
        <v>0.15</v>
      </c>
      <c r="E309" s="1063">
        <v>0.15</v>
      </c>
      <c r="F309" s="1075"/>
    </row>
    <row r="310" spans="1:6" ht="15" thickBot="1">
      <c r="A310" s="836" t="s">
        <v>534</v>
      </c>
      <c r="B310" s="830" t="s">
        <v>1002</v>
      </c>
      <c r="C310" s="1063">
        <v>0.15</v>
      </c>
      <c r="D310" s="1063">
        <v>0.15</v>
      </c>
      <c r="E310" s="1063">
        <v>0.15</v>
      </c>
      <c r="F310" s="1064">
        <v>0.13700000000000001</v>
      </c>
    </row>
    <row r="311" spans="1:6" ht="15" thickBot="1">
      <c r="A311" s="836" t="s">
        <v>534</v>
      </c>
      <c r="B311" s="830" t="s">
        <v>1003</v>
      </c>
      <c r="C311" s="1063">
        <v>0.15</v>
      </c>
      <c r="D311" s="1063">
        <v>0.15</v>
      </c>
      <c r="E311" s="1063">
        <v>0.15</v>
      </c>
      <c r="F311" s="1064">
        <v>0.15</v>
      </c>
    </row>
    <row r="312" spans="1:6" ht="15" thickBot="1">
      <c r="A312" s="836" t="s">
        <v>534</v>
      </c>
      <c r="B312" s="830" t="s">
        <v>407</v>
      </c>
      <c r="C312" s="1063">
        <v>0.15</v>
      </c>
      <c r="D312" s="1063">
        <v>0.15</v>
      </c>
      <c r="E312" s="1063">
        <v>0.15</v>
      </c>
      <c r="F312" s="1064">
        <v>0.1</v>
      </c>
    </row>
    <row r="313" spans="1:6" ht="15" thickBot="1">
      <c r="A313" s="836" t="s">
        <v>534</v>
      </c>
      <c r="B313" s="830" t="s">
        <v>1004</v>
      </c>
      <c r="C313" s="1063">
        <v>0.15</v>
      </c>
      <c r="D313" s="1063">
        <v>0.15</v>
      </c>
      <c r="E313" s="1063">
        <v>0.15</v>
      </c>
      <c r="F313" s="1064">
        <v>0.15</v>
      </c>
    </row>
    <row r="314" spans="1:6" ht="24.6" thickBot="1">
      <c r="A314" s="836" t="s">
        <v>534</v>
      </c>
      <c r="B314" s="830" t="s">
        <v>1005</v>
      </c>
      <c r="C314" s="1076"/>
      <c r="D314" s="1076"/>
      <c r="E314" s="1076"/>
      <c r="F314" s="1064">
        <v>0.05</v>
      </c>
    </row>
    <row r="315" spans="1:6" ht="24.6" thickBot="1">
      <c r="A315" s="836" t="s">
        <v>534</v>
      </c>
      <c r="B315" s="830" t="s">
        <v>1006</v>
      </c>
      <c r="C315" s="1076"/>
      <c r="D315" s="1076"/>
      <c r="E315" s="1076"/>
      <c r="F315" s="1064">
        <v>0.05</v>
      </c>
    </row>
    <row r="316" spans="1:6" ht="24.6" thickBot="1">
      <c r="A316" s="846" t="s">
        <v>534</v>
      </c>
      <c r="B316" s="842" t="s">
        <v>1007</v>
      </c>
      <c r="C316" s="1073"/>
      <c r="D316" s="1073"/>
      <c r="E316" s="1073"/>
      <c r="F316" s="1066">
        <v>0.05</v>
      </c>
    </row>
    <row r="317" spans="1:6" ht="15" thickBot="1">
      <c r="A317" s="836" t="s">
        <v>1008</v>
      </c>
      <c r="B317" s="837" t="s">
        <v>1009</v>
      </c>
      <c r="C317" s="1061">
        <v>0.15</v>
      </c>
      <c r="D317" s="1061">
        <v>0.15</v>
      </c>
      <c r="E317" s="1061">
        <v>0.15</v>
      </c>
      <c r="F317" s="1062">
        <v>0.15</v>
      </c>
    </row>
    <row r="318" spans="1:6" ht="15" thickBot="1">
      <c r="A318" s="836" t="s">
        <v>1008</v>
      </c>
      <c r="B318" s="830" t="s">
        <v>1010</v>
      </c>
      <c r="C318" s="1063">
        <v>0.107</v>
      </c>
      <c r="D318" s="1063">
        <v>0.11</v>
      </c>
      <c r="E318" s="1063">
        <v>0.112</v>
      </c>
      <c r="F318" s="1075"/>
    </row>
    <row r="319" spans="1:6" ht="15" thickBot="1">
      <c r="A319" s="836" t="s">
        <v>1008</v>
      </c>
      <c r="B319" s="830" t="s">
        <v>1011</v>
      </c>
      <c r="C319" s="1063">
        <v>0.15</v>
      </c>
      <c r="D319" s="1063">
        <v>0.15</v>
      </c>
      <c r="E319" s="1063">
        <v>0.15</v>
      </c>
      <c r="F319" s="1064">
        <v>0.15</v>
      </c>
    </row>
    <row r="320" spans="1:6" ht="15" thickBot="1">
      <c r="A320" s="836" t="s">
        <v>1008</v>
      </c>
      <c r="B320" s="830" t="s">
        <v>223</v>
      </c>
      <c r="C320" s="1063">
        <v>0.15</v>
      </c>
      <c r="D320" s="1063">
        <v>0.15</v>
      </c>
      <c r="E320" s="1063">
        <v>0.15</v>
      </c>
      <c r="F320" s="1075"/>
    </row>
    <row r="321" spans="1:6" ht="15" thickBot="1">
      <c r="A321" s="836" t="s">
        <v>1008</v>
      </c>
      <c r="B321" s="830" t="s">
        <v>1012</v>
      </c>
      <c r="C321" s="1063">
        <v>0.15</v>
      </c>
      <c r="D321" s="1063">
        <v>0.15</v>
      </c>
      <c r="E321" s="1063">
        <v>0.15</v>
      </c>
      <c r="F321" s="1075"/>
    </row>
    <row r="322" spans="1:6" ht="15" thickBot="1">
      <c r="A322" s="836" t="s">
        <v>1008</v>
      </c>
      <c r="B322" s="830" t="s">
        <v>1013</v>
      </c>
      <c r="C322" s="1063">
        <v>0.15</v>
      </c>
      <c r="D322" s="1063">
        <v>0.15</v>
      </c>
      <c r="E322" s="1063">
        <v>0.15</v>
      </c>
      <c r="F322" s="1064">
        <v>0.15</v>
      </c>
    </row>
    <row r="323" spans="1:6" ht="15" thickBot="1">
      <c r="A323" s="836" t="s">
        <v>1008</v>
      </c>
      <c r="B323" s="830" t="s">
        <v>1014</v>
      </c>
      <c r="C323" s="1063">
        <v>0.15</v>
      </c>
      <c r="D323" s="1063">
        <v>0.15</v>
      </c>
      <c r="E323" s="1063">
        <v>0.15</v>
      </c>
      <c r="F323" s="1075"/>
    </row>
    <row r="324" spans="1:6" ht="15" thickBot="1">
      <c r="A324" s="836" t="s">
        <v>1008</v>
      </c>
      <c r="B324" s="830" t="s">
        <v>1015</v>
      </c>
      <c r="C324" s="1063">
        <v>0.15</v>
      </c>
      <c r="D324" s="1063">
        <v>0.15</v>
      </c>
      <c r="E324" s="1063">
        <v>0.15</v>
      </c>
      <c r="F324" s="1075"/>
    </row>
    <row r="325" spans="1:6" ht="15" thickBot="1">
      <c r="A325" s="836" t="s">
        <v>1008</v>
      </c>
      <c r="B325" s="830" t="s">
        <v>1016</v>
      </c>
      <c r="C325" s="1063">
        <v>0.15</v>
      </c>
      <c r="D325" s="1063">
        <v>0.15</v>
      </c>
      <c r="E325" s="1063">
        <v>0.15</v>
      </c>
      <c r="F325" s="1064">
        <v>0.14699999999999999</v>
      </c>
    </row>
    <row r="326" spans="1:6" ht="15" thickBot="1">
      <c r="A326" s="836" t="s">
        <v>1008</v>
      </c>
      <c r="B326" s="830" t="s">
        <v>290</v>
      </c>
      <c r="C326" s="1063">
        <v>0.15</v>
      </c>
      <c r="D326" s="1063">
        <v>0.15</v>
      </c>
      <c r="E326" s="1063">
        <v>0.15</v>
      </c>
      <c r="F326" s="1075"/>
    </row>
    <row r="327" spans="1:6" ht="15" thickBot="1">
      <c r="A327" s="836" t="s">
        <v>1008</v>
      </c>
      <c r="B327" s="830" t="s">
        <v>1017</v>
      </c>
      <c r="C327" s="1063">
        <v>0.15</v>
      </c>
      <c r="D327" s="1063">
        <v>0.15</v>
      </c>
      <c r="E327" s="1063">
        <v>0.15</v>
      </c>
      <c r="F327" s="1064">
        <v>0.15</v>
      </c>
    </row>
    <row r="328" spans="1:6" ht="15" thickBot="1">
      <c r="A328" s="836" t="s">
        <v>1008</v>
      </c>
      <c r="B328" s="830" t="s">
        <v>310</v>
      </c>
      <c r="C328" s="1063">
        <v>0.15</v>
      </c>
      <c r="D328" s="1063">
        <v>0.15</v>
      </c>
      <c r="E328" s="1063">
        <v>0.15</v>
      </c>
      <c r="F328" s="1064">
        <v>0.14099999999999999</v>
      </c>
    </row>
    <row r="329" spans="1:6" ht="15" thickBot="1">
      <c r="A329" s="836" t="s">
        <v>1008</v>
      </c>
      <c r="B329" s="830" t="s">
        <v>320</v>
      </c>
      <c r="C329" s="1063">
        <v>0.15</v>
      </c>
      <c r="D329" s="1063">
        <v>0.15</v>
      </c>
      <c r="E329" s="1063">
        <v>0.15</v>
      </c>
      <c r="F329" s="1064">
        <v>0.15</v>
      </c>
    </row>
    <row r="330" spans="1:6" ht="15" thickBot="1">
      <c r="A330" s="836" t="s">
        <v>1008</v>
      </c>
      <c r="B330" s="830" t="s">
        <v>331</v>
      </c>
      <c r="C330" s="1063">
        <v>0.15</v>
      </c>
      <c r="D330" s="1063">
        <v>0.15</v>
      </c>
      <c r="E330" s="1063">
        <v>0.15</v>
      </c>
      <c r="F330" s="1075"/>
    </row>
    <row r="331" spans="1:6" ht="15" thickBot="1">
      <c r="A331" s="836" t="s">
        <v>1008</v>
      </c>
      <c r="B331" s="830" t="s">
        <v>1018</v>
      </c>
      <c r="C331" s="1063">
        <v>0.15</v>
      </c>
      <c r="D331" s="1063">
        <v>0.15</v>
      </c>
      <c r="E331" s="1063">
        <v>0.15</v>
      </c>
      <c r="F331" s="1064">
        <v>0.15</v>
      </c>
    </row>
    <row r="332" spans="1:6" ht="15" thickBot="1">
      <c r="A332" s="836" t="s">
        <v>1008</v>
      </c>
      <c r="B332" s="830" t="s">
        <v>352</v>
      </c>
      <c r="C332" s="1063">
        <v>0.15</v>
      </c>
      <c r="D332" s="1063">
        <v>0.15</v>
      </c>
      <c r="E332" s="1063">
        <v>0.15</v>
      </c>
      <c r="F332" s="1064">
        <v>0.15</v>
      </c>
    </row>
    <row r="333" spans="1:6" ht="15" thickBot="1">
      <c r="A333" s="836" t="s">
        <v>1008</v>
      </c>
      <c r="B333" s="830" t="s">
        <v>1019</v>
      </c>
      <c r="C333" s="1063">
        <v>0.15</v>
      </c>
      <c r="D333" s="1063">
        <v>0.15</v>
      </c>
      <c r="E333" s="1063">
        <v>0.15</v>
      </c>
      <c r="F333" s="1064">
        <v>0.14099999999999999</v>
      </c>
    </row>
    <row r="334" spans="1:6" ht="15" thickBot="1">
      <c r="A334" s="836" t="s">
        <v>1008</v>
      </c>
      <c r="B334" s="830" t="s">
        <v>372</v>
      </c>
      <c r="C334" s="1063">
        <v>0.15</v>
      </c>
      <c r="D334" s="1063">
        <v>0.15</v>
      </c>
      <c r="E334" s="1063">
        <v>0.15</v>
      </c>
      <c r="F334" s="1064">
        <v>0.15</v>
      </c>
    </row>
    <row r="335" spans="1:6" ht="15" thickBot="1">
      <c r="A335" s="836" t="s">
        <v>1008</v>
      </c>
      <c r="B335" s="830" t="s">
        <v>382</v>
      </c>
      <c r="C335" s="1063">
        <v>0.15</v>
      </c>
      <c r="D335" s="1063">
        <v>0.15</v>
      </c>
      <c r="E335" s="1063">
        <v>0.15</v>
      </c>
      <c r="F335" s="1075"/>
    </row>
    <row r="336" spans="1:6" ht="15" thickBot="1">
      <c r="A336" s="836" t="s">
        <v>1008</v>
      </c>
      <c r="B336" s="830" t="s">
        <v>1020</v>
      </c>
      <c r="C336" s="1063">
        <v>0.15</v>
      </c>
      <c r="D336" s="1063">
        <v>0.15</v>
      </c>
      <c r="E336" s="1063">
        <v>0.15</v>
      </c>
      <c r="F336" s="1064">
        <v>0.11799999999999999</v>
      </c>
    </row>
    <row r="337" spans="1:6" ht="15" thickBot="1">
      <c r="A337" s="846" t="s">
        <v>1008</v>
      </c>
      <c r="B337" s="842" t="s">
        <v>400</v>
      </c>
      <c r="C337" s="1073"/>
      <c r="D337" s="1073"/>
      <c r="E337" s="1073"/>
      <c r="F337" s="1066">
        <v>0.14299999999999999</v>
      </c>
    </row>
    <row r="338" spans="1:6" ht="15" thickBot="1">
      <c r="A338" s="836" t="s">
        <v>1021</v>
      </c>
      <c r="B338" s="837" t="s">
        <v>1022</v>
      </c>
      <c r="C338" s="1061">
        <v>0.15</v>
      </c>
      <c r="D338" s="1061">
        <v>0.15</v>
      </c>
      <c r="E338" s="1061">
        <v>0.15</v>
      </c>
      <c r="F338" s="1078"/>
    </row>
    <row r="339" spans="1:6" ht="15" thickBot="1">
      <c r="A339" s="836" t="s">
        <v>1021</v>
      </c>
      <c r="B339" s="830" t="s">
        <v>1023</v>
      </c>
      <c r="C339" s="1063">
        <v>0.15</v>
      </c>
      <c r="D339" s="1063">
        <v>0.15</v>
      </c>
      <c r="E339" s="1063">
        <v>0.15</v>
      </c>
      <c r="F339" s="1075"/>
    </row>
    <row r="340" spans="1:6" ht="15" thickBot="1">
      <c r="A340" s="836" t="s">
        <v>1021</v>
      </c>
      <c r="B340" s="830" t="s">
        <v>1024</v>
      </c>
      <c r="C340" s="1063">
        <v>0.15</v>
      </c>
      <c r="D340" s="1063">
        <v>0.15</v>
      </c>
      <c r="E340" s="1063">
        <v>0.15</v>
      </c>
      <c r="F340" s="1075"/>
    </row>
    <row r="341" spans="1:6" ht="15" thickBot="1">
      <c r="A341" s="836" t="s">
        <v>1021</v>
      </c>
      <c r="B341" s="830" t="s">
        <v>1025</v>
      </c>
      <c r="C341" s="1063">
        <v>0.15</v>
      </c>
      <c r="D341" s="1063">
        <v>0.15</v>
      </c>
      <c r="E341" s="1063">
        <v>0.15</v>
      </c>
      <c r="F341" s="1064">
        <v>0.15</v>
      </c>
    </row>
    <row r="342" spans="1:6" ht="15" thickBot="1">
      <c r="A342" s="836" t="s">
        <v>1021</v>
      </c>
      <c r="B342" s="830" t="s">
        <v>1026</v>
      </c>
      <c r="C342" s="1063">
        <v>0.15</v>
      </c>
      <c r="D342" s="1063">
        <v>0.15</v>
      </c>
      <c r="E342" s="1063">
        <v>0.15</v>
      </c>
      <c r="F342" s="1064">
        <v>0.15</v>
      </c>
    </row>
    <row r="343" spans="1:6" ht="15" thickBot="1">
      <c r="A343" s="836" t="s">
        <v>1021</v>
      </c>
      <c r="B343" s="830" t="s">
        <v>1027</v>
      </c>
      <c r="C343" s="1063">
        <v>0.15</v>
      </c>
      <c r="D343" s="1063">
        <v>0.15</v>
      </c>
      <c r="E343" s="1063">
        <v>0.15</v>
      </c>
      <c r="F343" s="1064">
        <v>0.15</v>
      </c>
    </row>
    <row r="344" spans="1:6" ht="1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1300</v>
      </c>
      <c r="C1" s="1693">
        <f>项目基本情况!D3</f>
        <v>43424</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1372</v>
      </c>
      <c r="E1" s="1775" t="s">
        <v>1376</v>
      </c>
      <c r="F1" s="1776" t="s">
        <v>1380</v>
      </c>
    </row>
    <row r="2" spans="1:13" ht="19.8">
      <c r="A2" s="1782" t="s">
        <v>1373</v>
      </c>
    </row>
    <row r="3" spans="1:13" ht="15.6">
      <c r="A3" s="1783" t="s">
        <v>1374</v>
      </c>
    </row>
    <row r="4" spans="1:13">
      <c r="A4" s="1773" t="s">
        <v>1375</v>
      </c>
      <c r="B4" s="1778" t="s">
        <v>1377</v>
      </c>
      <c r="C4" s="1779"/>
      <c r="D4" s="1780"/>
      <c r="E4" s="1778" t="s">
        <v>27</v>
      </c>
      <c r="F4" s="1779"/>
      <c r="G4" s="1780"/>
      <c r="H4" s="1778" t="s">
        <v>1378</v>
      </c>
      <c r="I4" s="1779"/>
      <c r="J4" s="1780"/>
      <c r="K4" s="1778" t="s">
        <v>6</v>
      </c>
      <c r="L4" s="1779"/>
      <c r="M4" s="1780"/>
    </row>
    <row r="5" spans="1:13">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366" t="str">
        <f>IF(项目基本情况!B9="房地产市场价值","估价结果一览表","结果表-2")</f>
        <v>结果表-2</v>
      </c>
      <c r="B1" s="3366"/>
      <c r="C1" s="3366"/>
      <c r="D1" s="3366"/>
      <c r="E1" s="3366"/>
      <c r="F1" s="3366"/>
      <c r="G1" s="3366"/>
      <c r="H1" s="3366"/>
      <c r="I1" s="3366"/>
    </row>
    <row r="2" spans="1:9" ht="30" customHeight="1" thickTop="1">
      <c r="A2" s="3367" t="s">
        <v>1641</v>
      </c>
      <c r="B2" s="3367" t="s">
        <v>1642</v>
      </c>
      <c r="C2" s="3367" t="s">
        <v>1643</v>
      </c>
      <c r="D2" s="3367" t="str">
        <f>结果表!D116</f>
        <v>出让国有建设用地使用权价值</v>
      </c>
      <c r="E2" s="3367"/>
      <c r="F2" s="3367" t="str">
        <f>结果表!F116</f>
        <v>在建建筑物价值</v>
      </c>
      <c r="G2" s="3367"/>
      <c r="H2" s="3367" t="str">
        <f>IF(项目基本情况!B9="房地产市场价值","房地产市场价值","房地产价值")</f>
        <v>房地产价值</v>
      </c>
      <c r="I2" s="3367"/>
    </row>
    <row r="3" spans="1:9" ht="15.6">
      <c r="A3" s="3361"/>
      <c r="B3" s="3361"/>
      <c r="C3" s="3361"/>
      <c r="D3" s="1043" t="s">
        <v>1638</v>
      </c>
      <c r="E3" s="1043" t="s">
        <v>1644</v>
      </c>
      <c r="F3" s="1043" t="s">
        <v>1638</v>
      </c>
      <c r="G3" s="1043" t="s">
        <v>1639</v>
      </c>
      <c r="H3" s="1043" t="s">
        <v>1638</v>
      </c>
      <c r="I3" s="1043" t="s">
        <v>1639</v>
      </c>
    </row>
    <row r="4" spans="1:9" ht="105">
      <c r="A4" s="1972" t="str">
        <f>项目基本情况!S2</f>
        <v>北京市房山区琉璃河镇中心区E-07地块1#综合厂房等3项、2#厂房等18项（中粮科技园标准厂房及配套附属设施建设项目）出让国有建设用地使用权及在建建筑物房地产</v>
      </c>
      <c r="B4" s="1043">
        <f>项目基本情况!C17</f>
        <v>103304.44</v>
      </c>
      <c r="C4" s="1043">
        <f>项目基本情况!C18</f>
        <v>49664.23</v>
      </c>
      <c r="D4" s="1043">
        <f ca="1">结果表!D118</f>
        <v>12232</v>
      </c>
      <c r="E4" s="1043">
        <f ca="1">结果表!E118</f>
        <v>1184</v>
      </c>
      <c r="F4" s="1043">
        <f ca="1">结果表!F118</f>
        <v>24391</v>
      </c>
      <c r="G4" s="1043">
        <f ca="1">结果表!G118</f>
        <v>2361</v>
      </c>
      <c r="H4" s="1043">
        <f ca="1">结果表!H118</f>
        <v>36623</v>
      </c>
      <c r="I4" s="1043">
        <f ca="1">结果表!I118</f>
        <v>3545</v>
      </c>
    </row>
    <row r="5" spans="1:9" ht="30" customHeight="1">
      <c r="A5" s="3361" t="s">
        <v>1640</v>
      </c>
      <c r="B5" s="3361"/>
      <c r="C5" s="3361"/>
      <c r="D5" s="3362" t="str">
        <f ca="1">结果表!D119</f>
        <v>壹亿贰仟贰佰叁拾贰万元整</v>
      </c>
      <c r="E5" s="3362"/>
      <c r="F5" s="3362" t="str">
        <f ca="1">结果表!F119</f>
        <v>贰亿肆仟叁佰玖拾壹万元整</v>
      </c>
      <c r="G5" s="3362"/>
      <c r="H5" s="3362" t="str">
        <f ca="1">结果表!H119</f>
        <v>叁亿陆仟陆佰贰拾叁万元整</v>
      </c>
      <c r="I5" s="3362"/>
    </row>
    <row r="6" spans="1:9" ht="15.6">
      <c r="A6" s="3360" t="str">
        <f>结果表!A120</f>
        <v>估价师知悉的法定优先受偿款</v>
      </c>
      <c r="B6" s="3360"/>
      <c r="C6" s="3360"/>
      <c r="D6" s="3360">
        <f>结果表!D120</f>
        <v>247</v>
      </c>
      <c r="E6" s="3360"/>
      <c r="F6" s="3360"/>
      <c r="G6" s="3360"/>
      <c r="H6" s="3360"/>
      <c r="I6" s="3360"/>
    </row>
    <row r="7" spans="1:9" ht="15">
      <c r="A7" s="3361" t="s">
        <v>1640</v>
      </c>
      <c r="B7" s="3361"/>
      <c r="C7" s="3361"/>
      <c r="D7" s="3363" t="str">
        <f>结果表!D121</f>
        <v>贰佰肆拾柒万元整</v>
      </c>
      <c r="E7" s="3364"/>
      <c r="F7" s="3364"/>
      <c r="G7" s="3364"/>
      <c r="H7" s="3364"/>
      <c r="I7" s="3365"/>
    </row>
    <row r="8" spans="1:9" ht="15.6">
      <c r="A8" s="3360" t="str">
        <f>结果表!A122</f>
        <v>房地产抵押价值</v>
      </c>
      <c r="B8" s="3360"/>
      <c r="C8" s="3360"/>
      <c r="D8" s="3360">
        <f ca="1">结果表!D122</f>
        <v>36376</v>
      </c>
      <c r="E8" s="3360"/>
      <c r="F8" s="3360"/>
      <c r="G8" s="3360"/>
      <c r="H8" s="3360"/>
      <c r="I8" s="3360"/>
    </row>
    <row r="9" spans="1:9" ht="15">
      <c r="A9" s="3361" t="s">
        <v>1640</v>
      </c>
      <c r="B9" s="3361"/>
      <c r="C9" s="3361"/>
      <c r="D9" s="3362" t="str">
        <f ca="1">结果表!D123</f>
        <v>叁亿陆仟叁佰柒拾陆万元整</v>
      </c>
      <c r="E9" s="3362"/>
      <c r="F9" s="3362"/>
      <c r="G9" s="3362"/>
      <c r="H9" s="3362"/>
      <c r="I9" s="3362"/>
    </row>
    <row r="10" spans="1:9" ht="15.6">
      <c r="A10" s="3360" t="str">
        <f>结果表!A124</f>
        <v/>
      </c>
      <c r="B10" s="3360"/>
      <c r="C10" s="3360"/>
      <c r="D10" s="3360" t="str">
        <f>结果表!D124</f>
        <v>——</v>
      </c>
      <c r="E10" s="3360"/>
      <c r="F10" s="3360"/>
      <c r="G10" s="3360"/>
      <c r="H10" s="3360"/>
      <c r="I10" s="3360"/>
    </row>
    <row r="11" spans="1:9" ht="15">
      <c r="A11" s="3361" t="s">
        <v>1640</v>
      </c>
      <c r="B11" s="3361"/>
      <c r="C11" s="3361"/>
      <c r="D11" s="3362" t="e">
        <f>结果表!D125</f>
        <v>#VALUE!</v>
      </c>
      <c r="E11" s="3362"/>
      <c r="F11" s="3362"/>
      <c r="G11" s="3362"/>
      <c r="H11" s="3362"/>
      <c r="I11" s="3362"/>
    </row>
    <row r="12" spans="1:9" ht="15.6">
      <c r="A12" s="3360" t="str">
        <f>结果表!A126</f>
        <v/>
      </c>
      <c r="B12" s="3360"/>
      <c r="C12" s="3360"/>
      <c r="D12" s="3360" t="str">
        <f>结果表!D126</f>
        <v>——</v>
      </c>
      <c r="E12" s="3360"/>
      <c r="F12" s="3360"/>
      <c r="G12" s="3360"/>
      <c r="H12" s="3360"/>
      <c r="I12" s="3360"/>
    </row>
    <row r="13" spans="1:9" ht="15.6" thickBot="1">
      <c r="A13" s="3357" t="s">
        <v>1640</v>
      </c>
      <c r="B13" s="3357"/>
      <c r="C13" s="3357"/>
      <c r="D13" s="3358" t="e">
        <f>结果表!D127</f>
        <v>#VALUE!</v>
      </c>
      <c r="E13" s="3358"/>
      <c r="F13" s="3358"/>
      <c r="G13" s="3358"/>
      <c r="H13" s="3358"/>
      <c r="I13" s="3358"/>
    </row>
    <row r="14" spans="1:9" ht="14.4" thickTop="1">
      <c r="A14" s="3359" t="s">
        <v>1645</v>
      </c>
      <c r="B14" s="3359"/>
      <c r="C14" s="3359"/>
      <c r="D14" s="3359"/>
      <c r="E14" s="3359"/>
      <c r="F14" s="3359"/>
      <c r="G14" s="3359"/>
      <c r="H14" s="3359"/>
      <c r="I14" s="3359"/>
    </row>
    <row r="16" spans="1:9" ht="17.399999999999999">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15" sqref="A15:XFD15"/>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374" t="s">
        <v>1662</v>
      </c>
      <c r="B1" s="3374"/>
      <c r="C1" s="3374"/>
      <c r="D1" s="3374"/>
    </row>
    <row r="2" spans="1:4" ht="17.399999999999999">
      <c r="A2" s="3375" t="s">
        <v>1646</v>
      </c>
      <c r="B2" s="3375"/>
      <c r="C2" s="3375"/>
      <c r="D2" s="3375"/>
    </row>
    <row r="3" spans="1:4" ht="17.399999999999999">
      <c r="A3" s="1976" t="s">
        <v>1647</v>
      </c>
      <c r="B3" s="1976" t="s">
        <v>1648</v>
      </c>
      <c r="C3" s="1976" t="s">
        <v>1649</v>
      </c>
      <c r="D3" s="1976" t="s">
        <v>1650</v>
      </c>
    </row>
    <row r="4" spans="1:4" ht="56.25" customHeight="1">
      <c r="A4" s="1977" t="str">
        <f>项目基本情况!B4</f>
        <v>吴薇</v>
      </c>
      <c r="B4" s="1978">
        <f ca="1">项目基本情况!C4</f>
        <v>1419970001</v>
      </c>
      <c r="C4" s="1979"/>
      <c r="D4" s="1980" t="s">
        <v>1651</v>
      </c>
    </row>
    <row r="5" spans="1:4" ht="56.25" customHeight="1">
      <c r="A5" s="1977" t="str">
        <f>项目基本情况!D4</f>
        <v>崔锴</v>
      </c>
      <c r="B5" s="1978">
        <f ca="1">项目基本情况!E4</f>
        <v>1120100036</v>
      </c>
      <c r="C5" s="1981"/>
      <c r="D5" s="1980" t="s">
        <v>1651</v>
      </c>
    </row>
    <row r="6" spans="1:4" ht="17.399999999999999">
      <c r="A6" s="3375" t="s">
        <v>1652</v>
      </c>
      <c r="B6" s="3375"/>
      <c r="C6" s="3375"/>
      <c r="D6" s="3375"/>
    </row>
    <row r="7" spans="1:4" ht="17.399999999999999">
      <c r="A7" s="1976" t="s">
        <v>1647</v>
      </c>
      <c r="B7" s="1978" t="s">
        <v>1653</v>
      </c>
      <c r="C7" s="1976" t="s">
        <v>1649</v>
      </c>
      <c r="D7" s="1976" t="s">
        <v>1650</v>
      </c>
    </row>
    <row r="8" spans="1:4" ht="56.25" customHeight="1">
      <c r="A8" s="1982" t="s">
        <v>869</v>
      </c>
      <c r="B8" s="1982" t="s">
        <v>1</v>
      </c>
      <c r="C8" s="1979"/>
      <c r="D8" s="1980" t="s">
        <v>1651</v>
      </c>
    </row>
    <row r="9" spans="1:4">
      <c r="A9" s="725"/>
      <c r="B9" s="725"/>
      <c r="C9" s="725"/>
      <c r="D9" s="725"/>
    </row>
    <row r="10" spans="1:4" ht="17.399999999999999">
      <c r="A10" s="1983" t="s">
        <v>1654</v>
      </c>
      <c r="B10" s="725"/>
      <c r="C10" s="725"/>
      <c r="D10" s="725"/>
    </row>
    <row r="11" spans="1:4" ht="30" customHeight="1">
      <c r="A11" s="3376" t="s">
        <v>1655</v>
      </c>
      <c r="B11" s="3368"/>
      <c r="C11" s="3368"/>
      <c r="D11" s="3368"/>
    </row>
    <row r="12" spans="1:4" ht="15.6">
      <c r="A12" s="33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spans="1:4" ht="30" customHeight="1">
      <c r="A13" s="33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spans="1:4" ht="15.75" customHeight="1">
      <c r="A14" s="3368" t="str">
        <f>IF(项目基本情况!B8="抵押","4.本次评估估价师所知悉的法定优先受偿款情况说明如下：","——")</f>
        <v>4.本次评估估价师所知悉的法定优先受偿款情况说明如下：</v>
      </c>
      <c r="B14" s="3373"/>
      <c r="C14" s="3373"/>
      <c r="D14" s="3373"/>
    </row>
    <row r="15" spans="1:4" ht="42" customHeight="1">
      <c r="A15" s="3368"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8"/>
      <c r="C15" s="3368"/>
      <c r="D15" s="3368"/>
    </row>
    <row r="16" spans="1:4" ht="30" customHeight="1">
      <c r="A16" s="3370" t="s">
        <v>1656</v>
      </c>
      <c r="B16" s="3370"/>
      <c r="C16" s="3370"/>
      <c r="D16" s="3370"/>
    </row>
    <row r="17" spans="1:4" ht="144" customHeight="1">
      <c r="A17" s="3370" t="s">
        <v>1657</v>
      </c>
      <c r="B17" s="3370"/>
      <c r="C17" s="3370"/>
      <c r="D17" s="3370"/>
    </row>
    <row r="18" spans="1:4" ht="15.75" customHeight="1">
      <c r="A18" s="3368" t="str">
        <f>IF(项目基本情况!B8="抵押",结果表!K120,"——")</f>
        <v>故，本次评估估价师知悉的法定优先受偿款为人民币247万元整。</v>
      </c>
      <c r="B18" s="3368"/>
      <c r="C18" s="3368"/>
      <c r="D18" s="3368"/>
    </row>
    <row r="19" spans="1:4" ht="46.5" customHeight="1">
      <c r="A19" s="33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57.75" customHeight="1">
      <c r="A20" s="33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8"/>
      <c r="C20" s="3368"/>
      <c r="D20" s="3368"/>
    </row>
    <row r="21" spans="1:4" ht="57.75" customHeight="1">
      <c r="A21" s="33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1"/>
      <c r="C21" s="3371"/>
      <c r="D21" s="3371"/>
    </row>
    <row r="22" spans="1:4" ht="18.75" customHeight="1">
      <c r="A22" s="3372" t="s">
        <v>1658</v>
      </c>
      <c r="B22" s="3372"/>
      <c r="C22" s="3372"/>
      <c r="D22" s="3372"/>
    </row>
    <row r="23" spans="1:4">
      <c r="A23" s="1984"/>
      <c r="B23" s="1956"/>
      <c r="C23" s="1956"/>
      <c r="D23" s="1956"/>
    </row>
    <row r="24" spans="1:4">
      <c r="A24" s="1984"/>
      <c r="B24" s="1956"/>
      <c r="C24" s="1956"/>
      <c r="D24" s="1956"/>
    </row>
    <row r="25" spans="1:4" ht="17.399999999999999">
      <c r="A25" s="1985" t="s">
        <v>1659</v>
      </c>
    </row>
    <row r="26" spans="1:4" ht="17.399999999999999">
      <c r="A26" s="1954"/>
    </row>
    <row r="27" spans="1:4" ht="17.399999999999999">
      <c r="A27" s="1954" t="s">
        <v>1660</v>
      </c>
    </row>
    <row r="30" spans="1:4" ht="17.399999999999999">
      <c r="D30" s="1985" t="s">
        <v>1661</v>
      </c>
    </row>
    <row r="31" spans="1:4" ht="13.5" customHeight="1">
      <c r="C31" s="3369">
        <v>42551</v>
      </c>
      <c r="D31" s="33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870</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4.4">
      <c r="A15" s="3382" t="s">
        <v>1669</v>
      </c>
      <c r="B15" s="3377" t="s">
        <v>136</v>
      </c>
      <c r="C15" s="3378"/>
    </row>
    <row r="16" spans="1:7" ht="14.4">
      <c r="A16" s="3383"/>
      <c r="B16" s="3377" t="s">
        <v>69</v>
      </c>
      <c r="C16" s="3378"/>
    </row>
    <row r="17" spans="1:3" ht="14.4">
      <c r="A17" s="3383"/>
      <c r="B17" s="3380" t="s">
        <v>1670</v>
      </c>
      <c r="C17" s="1999" t="s">
        <v>1669</v>
      </c>
    </row>
    <row r="18" spans="1:3" ht="14.4">
      <c r="A18" s="3383"/>
      <c r="B18" s="3380"/>
      <c r="C18" s="1999" t="s">
        <v>1671</v>
      </c>
    </row>
    <row r="19" spans="1:3" ht="14.4">
      <c r="A19" s="3383"/>
      <c r="B19" s="3380"/>
      <c r="C19" s="1999" t="s">
        <v>1672</v>
      </c>
    </row>
    <row r="20" spans="1:3" ht="14.4">
      <c r="A20" s="3384"/>
      <c r="B20" s="3379" t="s">
        <v>1673</v>
      </c>
      <c r="C20" s="3378"/>
    </row>
    <row r="21" spans="1:3" ht="14.4">
      <c r="A21" s="2000" t="s">
        <v>1674</v>
      </c>
      <c r="B21" s="2001"/>
      <c r="C21" s="2002"/>
    </row>
    <row r="22" spans="1:3" ht="14.4">
      <c r="A22" s="3381" t="s">
        <v>1675</v>
      </c>
      <c r="B22" s="3379" t="s">
        <v>1676</v>
      </c>
      <c r="C22" s="3378"/>
    </row>
    <row r="23" spans="1:3" ht="14.4">
      <c r="A23" s="3381"/>
      <c r="B23" s="3379" t="s">
        <v>1677</v>
      </c>
      <c r="C23" s="3378"/>
    </row>
    <row r="24" spans="1:3" ht="14.4">
      <c r="A24" s="3381"/>
      <c r="B24" s="3379" t="s">
        <v>1678</v>
      </c>
      <c r="C24" s="3378"/>
    </row>
    <row r="25" spans="1:3" ht="14.4">
      <c r="A25" s="3381"/>
      <c r="B25" s="3380" t="s">
        <v>1679</v>
      </c>
      <c r="C25" s="1999" t="s">
        <v>1680</v>
      </c>
    </row>
    <row r="26" spans="1:3" ht="14.4">
      <c r="A26" s="3381"/>
      <c r="B26" s="3380"/>
      <c r="C26" s="1999" t="s">
        <v>1681</v>
      </c>
    </row>
    <row r="27" spans="1:3" ht="14.4">
      <c r="A27" s="3381"/>
      <c r="B27" s="3380"/>
      <c r="C27" s="1999" t="s">
        <v>1682</v>
      </c>
    </row>
    <row r="28" spans="1:3" ht="14.4">
      <c r="A28" s="3381"/>
      <c r="B28" s="3380"/>
      <c r="C28" s="1999" t="s">
        <v>1683</v>
      </c>
    </row>
    <row r="29" spans="1:3" ht="14.4">
      <c r="A29" s="3381"/>
      <c r="B29" s="3380"/>
      <c r="C29" s="1999" t="s">
        <v>1684</v>
      </c>
    </row>
    <row r="30" spans="1:3" ht="14.4">
      <c r="A30" s="3381"/>
      <c r="B30" s="3380"/>
      <c r="C30" s="1999" t="s">
        <v>1685</v>
      </c>
    </row>
    <row r="31" spans="1:3" ht="14.4">
      <c r="A31" s="3381"/>
      <c r="B31" s="3380"/>
      <c r="C31" s="1999" t="s">
        <v>1686</v>
      </c>
    </row>
    <row r="32" spans="1:3" ht="14.4">
      <c r="A32" s="3381"/>
      <c r="B32" s="3380"/>
      <c r="C32" s="1999" t="s">
        <v>1687</v>
      </c>
    </row>
    <row r="33" spans="1:3" ht="14.4">
      <c r="A33" s="3381"/>
      <c r="B33" s="3380"/>
      <c r="C33" s="1999" t="s">
        <v>1688</v>
      </c>
    </row>
    <row r="34" spans="1:3">
      <c r="A34" s="2003" t="s">
        <v>76</v>
      </c>
    </row>
    <row r="37" spans="1:3">
      <c r="A37" s="2003" t="s">
        <v>1689</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43430</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t="str">
        <f ca="1">IF(C7&lt;B2,"已过期",1120050019)</f>
        <v>已过期</v>
      </c>
      <c r="C7" s="2343">
        <v>43359</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43483</v>
      </c>
      <c r="D10" s="2346" t="s">
        <v>838</v>
      </c>
      <c r="E10" s="1021">
        <f ca="1">IF(F10&lt;B2,"已过期",2004110096)</f>
        <v>2004110096</v>
      </c>
      <c r="F10" s="1029">
        <v>47118</v>
      </c>
    </row>
    <row r="11" spans="1:6" ht="24" customHeight="1">
      <c r="A11" s="1701" t="s">
        <v>839</v>
      </c>
      <c r="B11" s="1021">
        <f ca="1">IF(C11&lt;B2,"已过期",1120100036)</f>
        <v>1120100036</v>
      </c>
      <c r="C11" s="2343">
        <v>43622</v>
      </c>
      <c r="D11" s="2346" t="s">
        <v>839</v>
      </c>
      <c r="E11" s="1021">
        <f ca="1">IF(F11&lt;B2,"已过期",2010110070)</f>
        <v>2010110070</v>
      </c>
      <c r="F11" s="1029">
        <v>47907</v>
      </c>
    </row>
    <row r="12" spans="1:6" ht="24" customHeight="1">
      <c r="A12" s="1701" t="s">
        <v>3044</v>
      </c>
      <c r="B12" s="1021">
        <v>1120110054</v>
      </c>
      <c r="C12" s="2939">
        <v>43937</v>
      </c>
      <c r="D12" s="1701" t="s">
        <v>3044</v>
      </c>
      <c r="E12" s="1021">
        <v>2008110060</v>
      </c>
      <c r="F12" s="1029">
        <v>47177</v>
      </c>
    </row>
    <row r="13" spans="1:6" ht="24" customHeight="1">
      <c r="A13" s="1701" t="s">
        <v>840</v>
      </c>
      <c r="B13" s="1021">
        <f ca="1">IF(C13&lt;B2,"已过期",1120070131)</f>
        <v>1120070131</v>
      </c>
      <c r="C13" s="2343">
        <v>43814</v>
      </c>
      <c r="D13" s="2346" t="s">
        <v>840</v>
      </c>
      <c r="E13" s="1021">
        <v>2014110011</v>
      </c>
      <c r="F13" s="1029">
        <v>49302</v>
      </c>
    </row>
    <row r="14" spans="1:6" ht="24" customHeight="1">
      <c r="A14" s="1701" t="s">
        <v>841</v>
      </c>
      <c r="B14" s="1021">
        <f ca="1">IF(C14&lt;B2,"已过期",1120130020)</f>
        <v>1120130020</v>
      </c>
      <c r="C14" s="2343">
        <v>43622</v>
      </c>
      <c r="D14" s="2346"/>
      <c r="E14" s="1021"/>
      <c r="F14" s="1021"/>
    </row>
    <row r="15" spans="1:6" ht="24" customHeight="1">
      <c r="A15" s="1702" t="s">
        <v>1149</v>
      </c>
      <c r="B15" s="1021">
        <v>1120070085</v>
      </c>
      <c r="C15" s="2343">
        <v>43814</v>
      </c>
      <c r="D15" s="2347" t="s">
        <v>1149</v>
      </c>
      <c r="E15" s="1021">
        <v>2004110128</v>
      </c>
      <c r="F15" s="1022">
        <v>47118</v>
      </c>
    </row>
    <row r="16" spans="1:6" ht="24" customHeight="1">
      <c r="A16" s="1701" t="s">
        <v>842</v>
      </c>
      <c r="B16" s="1021">
        <f ca="1">IF(C16&lt;B2,"已过期",1120140022)</f>
        <v>1120140022</v>
      </c>
      <c r="C16" s="2343">
        <v>44029</v>
      </c>
      <c r="D16" s="2346" t="s">
        <v>842</v>
      </c>
      <c r="E16" s="1021">
        <f ca="1">IF(F16&lt;B2,"已过期",2008110059)</f>
        <v>2008110059</v>
      </c>
      <c r="F16" s="1029">
        <v>47177</v>
      </c>
    </row>
    <row r="17" spans="1:7" ht="24" customHeight="1">
      <c r="A17" s="1701"/>
      <c r="B17" s="1021"/>
      <c r="C17" s="2343"/>
      <c r="D17" s="2346"/>
      <c r="E17" s="1021"/>
      <c r="F17" s="1029"/>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843</v>
      </c>
      <c r="E21" s="1021">
        <f ca="1">IF(F21&lt;B2,"已过期",2011110090)</f>
        <v>2011110090</v>
      </c>
      <c r="F21" s="1029">
        <v>48302</v>
      </c>
    </row>
    <row r="22" spans="1:7" ht="24" customHeight="1">
      <c r="A22" s="1701" t="s">
        <v>844</v>
      </c>
      <c r="B22" s="1021" t="str">
        <f ca="1">IF(C22&lt;B2,"已过期",1120020033)</f>
        <v>已过期</v>
      </c>
      <c r="C22" s="2343">
        <v>43304</v>
      </c>
      <c r="D22" s="2346" t="s">
        <v>844</v>
      </c>
      <c r="E22" s="1021">
        <f ca="1">IF(F22&lt;B2,"已过期",2000110137)</f>
        <v>2000110137</v>
      </c>
      <c r="F22" s="1029">
        <v>46387</v>
      </c>
    </row>
    <row r="23" spans="1:7" ht="24" customHeight="1">
      <c r="A23" s="1701" t="s">
        <v>845</v>
      </c>
      <c r="B23" s="1021">
        <f ca="1">IF(C23&lt;B2,"已过期",1120130048)</f>
        <v>1120130048</v>
      </c>
      <c r="C23" s="2343">
        <v>43686</v>
      </c>
      <c r="D23" s="2346"/>
      <c r="E23" s="1021"/>
      <c r="F23" s="1021"/>
    </row>
    <row r="24" spans="1:7" s="1023" customFormat="1" ht="24" customHeight="1">
      <c r="A24" s="1702" t="s">
        <v>1333</v>
      </c>
      <c r="B24" s="1702" t="s">
        <v>1333</v>
      </c>
      <c r="C24" s="2344" t="s">
        <v>1333</v>
      </c>
      <c r="D24" s="2347" t="s">
        <v>1333</v>
      </c>
      <c r="E24" s="1702" t="s">
        <v>1333</v>
      </c>
      <c r="F24" s="1702" t="s">
        <v>1333</v>
      </c>
    </row>
    <row r="25" spans="1:7" ht="24" customHeight="1">
      <c r="A25" s="3385" t="s">
        <v>846</v>
      </c>
      <c r="B25" s="3385"/>
      <c r="C25" s="3385"/>
      <c r="D25" s="3385"/>
      <c r="E25" s="3385"/>
      <c r="F25" s="3385"/>
      <c r="G25" s="3385"/>
    </row>
    <row r="26" spans="1:7" s="1024" customFormat="1" ht="24" customHeight="1">
      <c r="A26" s="3386" t="s">
        <v>847</v>
      </c>
      <c r="B26" s="3386"/>
      <c r="C26" s="3387"/>
      <c r="D26" s="3388" t="s">
        <v>848</v>
      </c>
      <c r="E26" s="3386"/>
      <c r="F26" s="3386"/>
    </row>
    <row r="27" spans="1:7" s="1026" customFormat="1" ht="24" customHeight="1">
      <c r="A27" s="1025" t="s">
        <v>849</v>
      </c>
      <c r="B27" s="1020" t="s">
        <v>850</v>
      </c>
      <c r="C27" s="2342" t="s">
        <v>851</v>
      </c>
      <c r="D27" s="2350" t="s">
        <v>849</v>
      </c>
      <c r="E27" s="1020" t="s">
        <v>850</v>
      </c>
      <c r="F27" s="1020" t="s">
        <v>851</v>
      </c>
    </row>
    <row r="28" spans="1:7" s="1026" customFormat="1" ht="24" customHeight="1">
      <c r="A28" s="1027" t="s">
        <v>852</v>
      </c>
      <c r="B28" s="1028" t="s">
        <v>853</v>
      </c>
      <c r="C28" s="2348">
        <v>43725</v>
      </c>
      <c r="D28" s="2351" t="s">
        <v>854</v>
      </c>
      <c r="E28" s="1027" t="s">
        <v>855</v>
      </c>
      <c r="F28" s="1057">
        <v>44377</v>
      </c>
    </row>
    <row r="29" spans="1:7" s="1026" customFormat="1" ht="24" customHeight="1">
      <c r="A29" s="1027"/>
      <c r="B29" s="1027"/>
      <c r="C29" s="2349"/>
      <c r="D29" s="2351"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0" priority="62">
      <formula>AND($C28-TODAY()&lt;30,TODAY()&lt;$C28)</formula>
    </cfRule>
  </conditionalFormatting>
  <conditionalFormatting sqref="C28 F4">
    <cfRule type="cellIs" dxfId="219" priority="64" stopIfTrue="1" operator="lessThan">
      <formula>$B$2</formula>
    </cfRule>
  </conditionalFormatting>
  <conditionalFormatting sqref="C5">
    <cfRule type="expression" dxfId="218" priority="59">
      <formula>AND($C5-TODAY()&lt;30,TODAY()&lt;$C5)</formula>
    </cfRule>
  </conditionalFormatting>
  <conditionalFormatting sqref="C5 F5">
    <cfRule type="cellIs" dxfId="217" priority="60" stopIfTrue="1" operator="lessThan">
      <formula>$B$2</formula>
    </cfRule>
  </conditionalFormatting>
  <conditionalFormatting sqref="F6 F8 F10">
    <cfRule type="cellIs" dxfId="216" priority="58" stopIfTrue="1" operator="lessThan">
      <formula>$B$2</formula>
    </cfRule>
  </conditionalFormatting>
  <conditionalFormatting sqref="C4:C11 C13:C23">
    <cfRule type="expression" dxfId="215" priority="56">
      <formula>AND($C4-TODAY()&lt;30,TODAY()&lt;$C4)</formula>
    </cfRule>
  </conditionalFormatting>
  <conditionalFormatting sqref="F7 F9 F11 C4:C11 C13:C23">
    <cfRule type="cellIs" dxfId="214" priority="57" stopIfTrue="1" operator="lessThan">
      <formula>$B$2</formula>
    </cfRule>
  </conditionalFormatting>
  <conditionalFormatting sqref="C14">
    <cfRule type="expression" dxfId="213" priority="50">
      <formula>AND($C14-TODAY()&lt;30,TODAY()&lt;$C14)</formula>
    </cfRule>
  </conditionalFormatting>
  <conditionalFormatting sqref="C14">
    <cfRule type="cellIs" dxfId="212" priority="51" stopIfTrue="1" operator="lessThan">
      <formula>$B$2</formula>
    </cfRule>
  </conditionalFormatting>
  <conditionalFormatting sqref="C16">
    <cfRule type="expression" dxfId="211" priority="48">
      <formula>AND($C16-TODAY()&lt;30,TODAY()&lt;$C16)</formula>
    </cfRule>
  </conditionalFormatting>
  <conditionalFormatting sqref="C16">
    <cfRule type="cellIs" dxfId="210" priority="49" stopIfTrue="1" operator="lessThan">
      <formula>$B$2</formula>
    </cfRule>
  </conditionalFormatting>
  <conditionalFormatting sqref="C18">
    <cfRule type="expression" dxfId="209" priority="46">
      <formula>AND($C18-TODAY()&lt;30,TODAY()&lt;$C18)</formula>
    </cfRule>
  </conditionalFormatting>
  <conditionalFormatting sqref="C18">
    <cfRule type="cellIs" dxfId="208" priority="47" stopIfTrue="1" operator="lessThan">
      <formula>$B$2</formula>
    </cfRule>
  </conditionalFormatting>
  <conditionalFormatting sqref="C20">
    <cfRule type="expression" dxfId="207" priority="44">
      <formula>AND($C20-TODAY()&lt;30,TODAY()&lt;$C20)</formula>
    </cfRule>
  </conditionalFormatting>
  <conditionalFormatting sqref="C20">
    <cfRule type="cellIs" dxfId="206" priority="45" stopIfTrue="1" operator="lessThan">
      <formula>$B$2</formula>
    </cfRule>
  </conditionalFormatting>
  <conditionalFormatting sqref="C22">
    <cfRule type="expression" dxfId="205" priority="42">
      <formula>AND($C22-TODAY()&lt;30,TODAY()&lt;$C22)</formula>
    </cfRule>
  </conditionalFormatting>
  <conditionalFormatting sqref="C22">
    <cfRule type="cellIs" dxfId="204" priority="43" stopIfTrue="1" operator="lessThan">
      <formula>$B$2</formula>
    </cfRule>
  </conditionalFormatting>
  <conditionalFormatting sqref="C15">
    <cfRule type="expression" dxfId="203" priority="40">
      <formula>AND($C15-TODAY()&lt;30,TODAY()&lt;$C15)</formula>
    </cfRule>
  </conditionalFormatting>
  <conditionalFormatting sqref="C15">
    <cfRule type="cellIs" dxfId="202" priority="41" stopIfTrue="1" operator="lessThan">
      <formula>$B$2</formula>
    </cfRule>
  </conditionalFormatting>
  <conditionalFormatting sqref="C17">
    <cfRule type="expression" dxfId="201" priority="38">
      <formula>AND($C17-TODAY()&lt;30,TODAY()&lt;$C17)</formula>
    </cfRule>
  </conditionalFormatting>
  <conditionalFormatting sqref="C17">
    <cfRule type="cellIs" dxfId="200" priority="39" stopIfTrue="1" operator="lessThan">
      <formula>$B$2</formula>
    </cfRule>
  </conditionalFormatting>
  <conditionalFormatting sqref="C19">
    <cfRule type="expression" dxfId="199" priority="36">
      <formula>AND($C19-TODAY()&lt;30,TODAY()&lt;$C19)</formula>
    </cfRule>
  </conditionalFormatting>
  <conditionalFormatting sqref="C19">
    <cfRule type="cellIs" dxfId="198" priority="37" stopIfTrue="1" operator="lessThan">
      <formula>$B$2</formula>
    </cfRule>
  </conditionalFormatting>
  <conditionalFormatting sqref="C21">
    <cfRule type="expression" dxfId="197" priority="34">
      <formula>AND($C21-TODAY()&lt;30,TODAY()&lt;$C21)</formula>
    </cfRule>
  </conditionalFormatting>
  <conditionalFormatting sqref="C21">
    <cfRule type="cellIs" dxfId="196" priority="35" stopIfTrue="1" operator="lessThan">
      <formula>$B$2</formula>
    </cfRule>
  </conditionalFormatting>
  <conditionalFormatting sqref="C23">
    <cfRule type="expression" dxfId="195" priority="32">
      <formula>AND($C23-TODAY()&lt;30,TODAY()&lt;$C23)</formula>
    </cfRule>
  </conditionalFormatting>
  <conditionalFormatting sqref="C23">
    <cfRule type="cellIs" dxfId="194" priority="33" stopIfTrue="1" operator="lessThan">
      <formula>$B$2</formula>
    </cfRule>
  </conditionalFormatting>
  <conditionalFormatting sqref="F16">
    <cfRule type="cellIs" dxfId="193" priority="30" stopIfTrue="1" operator="lessThan">
      <formula>$B$2</formula>
    </cfRule>
  </conditionalFormatting>
  <conditionalFormatting sqref="F18">
    <cfRule type="cellIs" dxfId="192" priority="29" stopIfTrue="1" operator="lessThan">
      <formula>$B$2</formula>
    </cfRule>
  </conditionalFormatting>
  <conditionalFormatting sqref="F22">
    <cfRule type="cellIs" dxfId="191" priority="28" stopIfTrue="1" operator="lessThan">
      <formula>$B$2</formula>
    </cfRule>
  </conditionalFormatting>
  <conditionalFormatting sqref="F21">
    <cfRule type="cellIs" dxfId="190" priority="27" stopIfTrue="1" operator="lessThan">
      <formula>$B$2</formula>
    </cfRule>
  </conditionalFormatting>
  <conditionalFormatting sqref="F17">
    <cfRule type="cellIs" dxfId="189" priority="26" stopIfTrue="1" operator="lessThan">
      <formula>$B$2</formula>
    </cfRule>
  </conditionalFormatting>
  <conditionalFormatting sqref="B4:B11 E4:E11 B16:B23 E16:E23 B13:B14 E13:E14">
    <cfRule type="cellIs" dxfId="188" priority="25" stopIfTrue="1" operator="equal">
      <formula>"已过期"</formula>
    </cfRule>
  </conditionalFormatting>
  <conditionalFormatting sqref="A24:F24">
    <cfRule type="cellIs" dxfId="187" priority="21" stopIfTrue="1" operator="equal">
      <formula>"已过期"</formula>
    </cfRule>
  </conditionalFormatting>
  <conditionalFormatting sqref="F28">
    <cfRule type="expression" dxfId="186" priority="19">
      <formula>AND($E28-TODAY()&lt;30,TODAY()&lt;$E28)</formula>
    </cfRule>
  </conditionalFormatting>
  <conditionalFormatting sqref="F28">
    <cfRule type="cellIs" dxfId="185" priority="20" stopIfTrue="1" operator="lessThan">
      <formula>$B$2</formula>
    </cfRule>
  </conditionalFormatting>
  <conditionalFormatting sqref="F29">
    <cfRule type="expression" dxfId="184" priority="15" stopIfTrue="1">
      <formula>AND($E29-TODAY()&lt;30,TODAY()&lt;$E29)</formula>
    </cfRule>
  </conditionalFormatting>
  <conditionalFormatting sqref="F29">
    <cfRule type="cellIs" dxfId="183" priority="16" stopIfTrue="1" operator="lessThan">
      <formula>$B$2</formula>
    </cfRule>
  </conditionalFormatting>
  <conditionalFormatting sqref="B15">
    <cfRule type="cellIs" dxfId="182" priority="13" stopIfTrue="1" operator="equal">
      <formula>"已过期"</formula>
    </cfRule>
  </conditionalFormatting>
  <conditionalFormatting sqref="A15">
    <cfRule type="cellIs" dxfId="181" priority="12" stopIfTrue="1" operator="equal">
      <formula>"已过期"</formula>
    </cfRule>
  </conditionalFormatting>
  <conditionalFormatting sqref="C15">
    <cfRule type="expression" dxfId="180" priority="11">
      <formula>AND($C15-TODAY()&lt;30,TODAY()&lt;$C15)</formula>
    </cfRule>
  </conditionalFormatting>
  <conditionalFormatting sqref="E15">
    <cfRule type="cellIs" dxfId="179" priority="10" stopIfTrue="1" operator="equal">
      <formula>"已过期"</formula>
    </cfRule>
  </conditionalFormatting>
  <conditionalFormatting sqref="D15">
    <cfRule type="cellIs" dxfId="178" priority="9" stopIfTrue="1" operator="equal">
      <formula>"已过期"</formula>
    </cfRule>
  </conditionalFormatting>
  <conditionalFormatting sqref="F13">
    <cfRule type="cellIs" dxfId="177" priority="8" stopIfTrue="1" operator="lessThan">
      <formula>$B$2</formula>
    </cfRule>
  </conditionalFormatting>
  <conditionalFormatting sqref="C12">
    <cfRule type="expression" dxfId="176" priority="6">
      <formula>AND($C12-TODAY()&lt;30,TODAY()&lt;$C12)</formula>
    </cfRule>
  </conditionalFormatting>
  <conditionalFormatting sqref="C12">
    <cfRule type="cellIs" dxfId="175" priority="7" stopIfTrue="1" operator="lessThan">
      <formula>$B$2</formula>
    </cfRule>
  </conditionalFormatting>
  <conditionalFormatting sqref="C12">
    <cfRule type="expression" dxfId="174" priority="4">
      <formula>AND($C12-TODAY()&lt;30,TODAY()&lt;$C12)</formula>
    </cfRule>
  </conditionalFormatting>
  <conditionalFormatting sqref="C12">
    <cfRule type="cellIs" dxfId="173" priority="5" stopIfTrue="1" operator="lessThan">
      <formula>$B$2</formula>
    </cfRule>
  </conditionalFormatting>
  <conditionalFormatting sqref="B12">
    <cfRule type="cellIs" dxfId="172" priority="3" stopIfTrue="1" operator="equal">
      <formula>"已过期"</formula>
    </cfRule>
  </conditionalFormatting>
  <conditionalFormatting sqref="E12">
    <cfRule type="cellIs" dxfId="171" priority="2" stopIfTrue="1" operator="equal">
      <formula>"已过期"</formula>
    </cfRule>
  </conditionalFormatting>
  <conditionalFormatting sqref="F12">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比较法-工业</vt:lpstr>
      <vt:lpstr>土地案例</vt:lpstr>
      <vt:lpstr>土地比较法-工业</vt:lpstr>
      <vt:lpstr>比较法-工业2</vt:lpstr>
      <vt:lpstr>基准地价修正</vt:lpstr>
      <vt:lpstr>假设开发法</vt:lpstr>
      <vt:lpstr>收益法</vt:lpstr>
      <vt:lpstr>收益法地下厂房</vt:lpstr>
      <vt:lpstr>收益法地下车库</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收益法地下厂房!Print_Area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'比较法-工业2'!套工土地级别</vt:lpstr>
      <vt:lpstr>套工土地级别</vt:lpstr>
      <vt:lpstr>'比较法-工业2'!套工用途</vt:lpstr>
      <vt:lpstr>套工用途</vt:lpstr>
      <vt:lpstr>套工宗地开发程度</vt:lpstr>
      <vt:lpstr>'比较法-工业2'!套工宗地形状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2018-11-26T07:34:23Z</dcterms:modified>
</cp:coreProperties>
</file>