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103净值)" sheetId="81" r:id="rId23"/>
    <sheet name="结果表(1104净值)" sheetId="82"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'结果表(1103净值)'!$A$1:$I$127</definedName>
    <definedName name="_xlnm.Print_Area" localSheetId="23">'结果表(1104净值)'!$A$1:$I$127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75" i="82"/>
  <c r="C75" i="81"/>
  <c r="A124" i="82"/>
  <c r="A120" i="82"/>
  <c r="A118" i="82"/>
  <c r="H112" i="82"/>
  <c r="E111" i="82"/>
  <c r="A126" i="82" s="1"/>
  <c r="H109" i="82"/>
  <c r="D124" i="82" s="1"/>
  <c r="D125" i="82" s="1"/>
  <c r="E109" i="82"/>
  <c r="E107" i="82"/>
  <c r="A122" i="82" s="1"/>
  <c r="H106" i="82"/>
  <c r="H103" i="82" s="1"/>
  <c r="D120" i="82" s="1"/>
  <c r="H105" i="82"/>
  <c r="H104" i="82"/>
  <c r="D101" i="82"/>
  <c r="C101" i="82"/>
  <c r="D93" i="82"/>
  <c r="C91" i="82"/>
  <c r="E90" i="82"/>
  <c r="D89" i="82"/>
  <c r="C89" i="82"/>
  <c r="C87" i="82"/>
  <c r="C92" i="82" s="1"/>
  <c r="D78" i="82"/>
  <c r="H77" i="82"/>
  <c r="D77" i="82"/>
  <c r="C77" i="82"/>
  <c r="C74" i="82" s="1"/>
  <c r="C76" i="82"/>
  <c r="D68" i="82"/>
  <c r="C66" i="82"/>
  <c r="F59" i="82"/>
  <c r="E59" i="82"/>
  <c r="N55" i="82" s="1"/>
  <c r="D59" i="82"/>
  <c r="M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7" i="81" s="1"/>
  <c r="C74" i="81" s="1"/>
  <c r="C76" i="81"/>
  <c r="D68" i="81"/>
  <c r="C66" i="81"/>
  <c r="F59" i="81"/>
  <c r="E59" i="81"/>
  <c r="D59" i="81"/>
  <c r="M55" i="81" s="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C66" i="9"/>
  <c r="C75" i="9"/>
  <c r="B25" i="31"/>
  <c r="B26" i="31"/>
  <c r="B24" i="31"/>
  <c r="A25" i="31"/>
  <c r="A26" i="31"/>
  <c r="A24" i="31"/>
  <c r="I34" i="34"/>
  <c r="I7" i="34"/>
  <c r="I48" i="34"/>
  <c r="I5" i="34"/>
  <c r="I37" i="34"/>
  <c r="G37" i="34"/>
  <c r="C37" i="34"/>
  <c r="C34" i="34"/>
  <c r="D105" i="34"/>
  <c r="E105" i="34" s="1"/>
  <c r="F105" i="34" s="1"/>
  <c r="G7" i="34"/>
  <c r="E7" i="34"/>
  <c r="G5" i="34"/>
  <c r="D35" i="81"/>
  <c r="D34" i="82"/>
  <c r="D34" i="81"/>
  <c r="D35" i="82"/>
  <c r="D121" i="82" l="1"/>
  <c r="K120" i="82"/>
  <c r="H111" i="82"/>
  <c r="D126" i="82" s="1"/>
  <c r="D127" i="82" s="1"/>
  <c r="C94" i="82"/>
  <c r="H110" i="82"/>
  <c r="C92" i="81"/>
  <c r="C94" i="81"/>
  <c r="D121" i="81"/>
  <c r="K120" i="81"/>
  <c r="H111" i="81"/>
  <c r="D126" i="81" s="1"/>
  <c r="D127" i="81" s="1"/>
  <c r="A126" i="81"/>
  <c r="H109" i="81"/>
  <c r="Y6" i="1"/>
  <c r="N6" i="1"/>
  <c r="B58" i="1"/>
  <c r="F21" i="6"/>
  <c r="F20" i="6"/>
  <c r="F19" i="6"/>
  <c r="D124" i="81" l="1"/>
  <c r="D125" i="81" s="1"/>
  <c r="H110"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AB36" i="34" s="1"/>
  <c r="F37" i="34"/>
  <c r="AA37" i="34" s="1"/>
  <c r="F28" i="34"/>
  <c r="AA28" i="34"/>
  <c r="F27" i="34"/>
  <c r="AA27" i="34" s="1"/>
  <c r="F25" i="34"/>
  <c r="S25" i="34"/>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AC36" i="34" s="1"/>
  <c r="H37" i="34"/>
  <c r="U37" i="34" s="1"/>
  <c r="H25" i="34"/>
  <c r="AB25" i="34"/>
  <c r="J25" i="34"/>
  <c r="AC25" i="34"/>
  <c r="F23" i="34"/>
  <c r="S23"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U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AB41" i="34"/>
  <c r="AA45" i="34"/>
  <c r="AA2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c r="BL13" i="3"/>
  <c r="J56" i="9"/>
  <c r="J57" i="9" s="1"/>
  <c r="J59" i="9" s="1"/>
  <c r="J61" i="9" s="1"/>
  <c r="A24" i="51"/>
  <c r="B18" i="72" s="1"/>
  <c r="U29" i="34"/>
  <c r="E5" i="6"/>
  <c r="E32" i="6"/>
  <c r="E19" i="69"/>
  <c r="E19" i="68"/>
  <c r="E19" i="11"/>
  <c r="E1" i="73"/>
  <c r="G22" i="69"/>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C14" i="34"/>
  <c r="AC32" i="34"/>
  <c r="AC29" i="34"/>
  <c r="W29" i="34"/>
  <c r="W46" i="34"/>
  <c r="AC46" i="34"/>
  <c r="S32" i="34"/>
  <c r="AA32" i="34"/>
  <c r="U30" i="34"/>
  <c r="AB30" i="34"/>
  <c r="S37" i="34"/>
  <c r="U38" i="34"/>
  <c r="AC40" i="34"/>
  <c r="W40" i="34"/>
  <c r="AA8" i="34"/>
  <c r="S8"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E7" i="76"/>
  <c r="M6" i="67"/>
  <c r="E2" i="69"/>
  <c r="F7" i="67"/>
  <c r="E8" i="76"/>
  <c r="E10" i="76"/>
  <c r="F16" i="67"/>
  <c r="E2" i="68"/>
  <c r="F43" i="67"/>
  <c r="F5" i="73"/>
  <c r="E11" i="76"/>
  <c r="F26" i="67"/>
  <c r="E12" i="76"/>
  <c r="M28" i="67"/>
  <c r="F36" i="67"/>
  <c r="E9" i="76"/>
  <c r="F20" i="31"/>
  <c r="F37" i="67"/>
  <c r="M26" i="67"/>
  <c r="F6" i="67"/>
  <c r="F38" i="67"/>
  <c r="F6" i="73"/>
  <c r="D3" i="73"/>
  <c r="D7" i="73"/>
  <c r="M23" i="67"/>
  <c r="L48" i="67"/>
  <c r="C76" i="67"/>
  <c r="D6" i="73"/>
  <c r="B9" i="76"/>
  <c r="F42" i="67"/>
  <c r="D34" i="9"/>
  <c r="AO13" i="1"/>
  <c r="B12" i="76"/>
  <c r="M29" i="67"/>
  <c r="D35" i="9"/>
  <c r="F40" i="67"/>
  <c r="F8" i="67"/>
  <c r="B10" i="76"/>
  <c r="M9" i="67"/>
  <c r="F4" i="73"/>
  <c r="F7" i="73"/>
  <c r="F3" i="73"/>
  <c r="J15" i="67"/>
  <c r="D4" i="73"/>
  <c r="F13" i="67"/>
  <c r="M8" i="67"/>
  <c r="M24" i="67"/>
  <c r="E13" i="76"/>
  <c r="B11" i="76"/>
  <c r="D5" i="73"/>
  <c r="B8" i="76"/>
  <c r="L47" i="67"/>
  <c r="B13" i="76"/>
  <c r="B7" i="76"/>
  <c r="F9" i="67"/>
  <c r="U9" i="34" l="1"/>
  <c r="AC44" i="34"/>
  <c r="AB44" i="34"/>
  <c r="S44" i="34"/>
  <c r="W43" i="34"/>
  <c r="U39" i="34"/>
  <c r="U36" i="34"/>
  <c r="AA33" i="34"/>
  <c r="S43" i="34"/>
  <c r="U43" i="34"/>
  <c r="AA39" i="34"/>
  <c r="AC39" i="34"/>
  <c r="W36" i="34"/>
  <c r="S36" i="34"/>
  <c r="AB35" i="34"/>
  <c r="S35" i="34"/>
  <c r="W33" i="34"/>
  <c r="AB33" i="34"/>
  <c r="S27" i="34"/>
  <c r="U27" i="34"/>
  <c r="AC23" i="34"/>
  <c r="AA23" i="34"/>
  <c r="AB23" i="34"/>
  <c r="U21" i="34"/>
  <c r="AA21" i="34"/>
  <c r="U19" i="34"/>
  <c r="S19" i="34"/>
  <c r="W19" i="34"/>
  <c r="S17" i="34"/>
  <c r="H15" i="34"/>
  <c r="F15" i="34"/>
  <c r="AA15" i="34" s="1"/>
  <c r="F78" i="34"/>
  <c r="G78" i="34" s="1"/>
  <c r="J15" i="34"/>
  <c r="AC15" i="34" s="1"/>
  <c r="W15" i="34"/>
  <c r="S15" i="34"/>
  <c r="W8" i="34"/>
  <c r="F34" i="15"/>
  <c r="F62" i="15" s="1"/>
  <c r="M20" i="67"/>
  <c r="C24" i="12"/>
  <c r="B41" i="1"/>
  <c r="C40" i="11"/>
  <c r="C21" i="68"/>
  <c r="G22" i="68"/>
  <c r="G1" i="69"/>
  <c r="K1" i="12"/>
  <c r="G1" i="15"/>
  <c r="G1" i="68"/>
  <c r="K8" i="1"/>
  <c r="M8" i="1" s="1"/>
  <c r="F3" i="35"/>
  <c r="AZ15" i="3"/>
  <c r="BA5" i="3"/>
  <c r="G5" i="3"/>
  <c r="B3" i="3" s="1"/>
  <c r="BL5" i="3"/>
  <c r="G28" i="6"/>
  <c r="A2" i="9"/>
  <c r="A4" i="52"/>
  <c r="B41" i="72" s="1"/>
  <c r="A118" i="9"/>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M23" i="15"/>
  <c r="L48" i="15"/>
  <c r="F6" i="15"/>
  <c r="F40" i="15"/>
  <c r="M22" i="15"/>
  <c r="F37" i="15"/>
  <c r="G1" i="73"/>
  <c r="F43" i="15"/>
  <c r="C76" i="15"/>
  <c r="F16" i="15"/>
  <c r="C16" i="67"/>
  <c r="F42" i="15"/>
  <c r="M6" i="15"/>
  <c r="M29" i="15"/>
  <c r="F8" i="15"/>
  <c r="J15" i="15"/>
  <c r="F13" i="15"/>
  <c r="F7" i="15"/>
  <c r="L47" i="15"/>
  <c r="M9" i="15"/>
  <c r="M8" i="15"/>
  <c r="F38" i="15"/>
  <c r="F36" i="15"/>
  <c r="F26" i="15"/>
  <c r="M24" i="15"/>
  <c r="F9" i="15"/>
  <c r="M28" i="15"/>
  <c r="M26" i="15"/>
  <c r="AB15" i="34" l="1"/>
  <c r="U15" i="34"/>
  <c r="F48" i="9"/>
  <c r="O52" i="9" s="1"/>
  <c r="F32" i="67"/>
  <c r="F60" i="67" s="1"/>
  <c r="F31" i="12"/>
  <c r="C31" i="12" s="1"/>
  <c r="F30" i="69"/>
  <c r="D68" i="9"/>
  <c r="F30" i="68"/>
  <c r="F52" i="9"/>
  <c r="F32" i="15"/>
  <c r="F60" i="15" s="1"/>
  <c r="F54" i="9"/>
  <c r="F30" i="11"/>
  <c r="M18" i="67"/>
  <c r="M18" i="15"/>
  <c r="F28" i="67"/>
  <c r="C28" i="67" s="1"/>
  <c r="F28" i="15"/>
  <c r="C28" i="15" s="1"/>
  <c r="N370" i="46"/>
  <c r="H16" i="1"/>
  <c r="F26" i="43"/>
  <c r="H26" i="43"/>
  <c r="G26" i="43"/>
  <c r="E26" i="43"/>
  <c r="N94" i="46"/>
  <c r="F50" i="15"/>
  <c r="M7" i="15"/>
  <c r="J6" i="15" s="1"/>
  <c r="J18" i="15" s="1"/>
  <c r="F65" i="15"/>
  <c r="F66" i="15"/>
  <c r="C27" i="15"/>
  <c r="F68" i="15"/>
  <c r="F51" i="15"/>
  <c r="C6" i="15"/>
  <c r="C32" i="15" s="1"/>
  <c r="F64" i="15"/>
  <c r="J57" i="15"/>
  <c r="J55" i="15" s="1"/>
  <c r="J58" i="15" s="1"/>
  <c r="Q50" i="15" s="1"/>
  <c r="I54" i="15"/>
  <c r="J53" i="15"/>
  <c r="L56" i="15" s="1"/>
  <c r="Q71" i="15"/>
  <c r="N59" i="15"/>
  <c r="M59" i="15"/>
  <c r="L59" i="15"/>
  <c r="Q74" i="15" s="1"/>
  <c r="L58" i="15"/>
  <c r="Q60" i="15" s="1"/>
  <c r="F71" i="15"/>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152" i="3"/>
  <c r="E132" i="3"/>
  <c r="E192" i="3"/>
  <c r="E258" i="3"/>
  <c r="E363" i="3"/>
  <c r="E389" i="3"/>
  <c r="E76" i="3"/>
  <c r="E409" i="3"/>
  <c r="E467"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5" i="3"/>
  <c r="E241" i="3"/>
  <c r="E292" i="3"/>
  <c r="E349" i="3"/>
  <c r="E544" i="3"/>
  <c r="E59" i="3"/>
  <c r="E484" i="3"/>
  <c r="E425" i="3"/>
  <c r="E64" i="3"/>
  <c r="E103" i="3"/>
  <c r="E167" i="3"/>
  <c r="E542" i="3"/>
  <c r="E487" i="3"/>
  <c r="E374" i="3"/>
  <c r="E413" i="3"/>
  <c r="E39" i="3"/>
  <c r="E187" i="3"/>
  <c r="E259" i="3"/>
  <c r="E504" i="3"/>
  <c r="E462" i="3"/>
  <c r="E98" i="3"/>
  <c r="E195" i="3"/>
  <c r="E248" i="3"/>
  <c r="E266" i="3"/>
  <c r="E386" i="3"/>
  <c r="E584" i="3"/>
  <c r="E24" i="3"/>
  <c r="E87" i="3"/>
  <c r="E250" i="3"/>
  <c r="E341" i="3"/>
  <c r="E51" i="3"/>
  <c r="E154" i="3"/>
  <c r="E222" i="3"/>
  <c r="E373" i="3"/>
  <c r="E144" i="3"/>
  <c r="E141" i="3"/>
  <c r="E552" i="3"/>
  <c r="E398" i="3"/>
  <c r="E566" i="3"/>
  <c r="E460" i="3"/>
  <c r="E90" i="3"/>
  <c r="E155" i="3"/>
  <c r="E348" i="3"/>
  <c r="E58" i="3"/>
  <c r="E521" i="3"/>
  <c r="E65" i="3"/>
  <c r="E142" i="3"/>
  <c r="E267" i="3"/>
  <c r="E300" i="3"/>
  <c r="E310" i="3"/>
  <c r="E23" i="3"/>
  <c r="E67" i="3"/>
  <c r="E233" i="3"/>
  <c r="E381" i="3"/>
  <c r="E63" i="3"/>
  <c r="E118" i="3"/>
  <c r="E283" i="3"/>
  <c r="E513" i="3"/>
  <c r="E244" i="3"/>
  <c r="E312" i="3"/>
  <c r="E421" i="3"/>
  <c r="E416" i="3"/>
  <c r="E500" i="3"/>
  <c r="E520" i="3"/>
  <c r="E57" i="3"/>
  <c r="E240" i="3"/>
  <c r="E378" i="3"/>
  <c r="E110" i="3"/>
  <c r="E446" i="3"/>
  <c r="E138" i="3"/>
  <c r="E163" i="3"/>
  <c r="E209" i="3"/>
  <c r="E307" i="3"/>
  <c r="E354" i="3"/>
  <c r="E66" i="3"/>
  <c r="E48" i="3"/>
  <c r="E127" i="3"/>
  <c r="E284" i="3"/>
  <c r="Y6" i="3"/>
  <c r="H6" i="3" s="1"/>
  <c r="E19" i="3"/>
  <c r="E179" i="3"/>
  <c r="E323" i="3"/>
  <c r="E82" i="3"/>
  <c r="E149" i="3"/>
  <c r="AD6" i="3"/>
  <c r="E464" i="3"/>
  <c r="E459" i="3"/>
  <c r="E582" i="3"/>
  <c r="E436" i="3"/>
  <c r="E131" i="3"/>
  <c r="E297" i="3"/>
  <c r="E375" i="3"/>
  <c r="E488" i="3"/>
  <c r="E47" i="3"/>
  <c r="E160" i="3"/>
  <c r="E200" i="3"/>
  <c r="E249" i="3"/>
  <c r="E371" i="3"/>
  <c r="E492" i="3"/>
  <c r="E84" i="3"/>
  <c r="E33" i="3"/>
  <c r="E184" i="3"/>
  <c r="E355" i="3"/>
  <c r="E68" i="3"/>
  <c r="E81" i="3"/>
  <c r="E264" i="3"/>
  <c r="E309" i="3"/>
  <c r="E21"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K16" i="1"/>
  <c r="D18" i="53"/>
  <c r="B35" i="72" s="1"/>
  <c r="C7" i="74"/>
  <c r="D17" i="53"/>
  <c r="B36"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C16" i="15"/>
  <c r="AE6" i="1"/>
  <c r="F41" i="67" s="1"/>
  <c r="J5" i="15" l="1"/>
  <c r="J24" i="15" s="1"/>
  <c r="F48" i="69"/>
  <c r="C48" i="69"/>
  <c r="C30" i="69"/>
  <c r="C48" i="11"/>
  <c r="C30" i="11"/>
  <c r="F48" i="68"/>
  <c r="C30" i="68"/>
  <c r="C48" i="68"/>
  <c r="C49" i="15"/>
  <c r="Q73" i="15"/>
  <c r="Q52" i="15"/>
  <c r="F1" i="15"/>
  <c r="Q61" i="15"/>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15"/>
  <c r="M27" i="67"/>
  <c r="F41" i="15"/>
  <c r="R50" i="34" l="1"/>
  <c r="C50" i="34" s="1"/>
  <c r="E49" i="34"/>
  <c r="E53" i="34" s="1"/>
  <c r="F53" i="34" s="1"/>
  <c r="C48" i="15"/>
  <c r="C66" i="15"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49" i="34" l="1"/>
  <c r="I54" i="34"/>
  <c r="J54" i="34" s="1"/>
  <c r="C60" i="15"/>
  <c r="C25" i="11"/>
  <c r="C22" i="11" s="1"/>
  <c r="C31" i="11" s="1"/>
  <c r="H21" i="6"/>
  <c r="H24" i="6"/>
  <c r="R24" i="6" s="1"/>
  <c r="R11"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82"/>
  <c r="D2" i="35"/>
  <c r="D2" i="34"/>
  <c r="D19" i="81"/>
  <c r="L51" i="15"/>
  <c r="D19" i="9"/>
  <c r="D2" i="37"/>
  <c r="D21" i="82" l="1"/>
  <c r="D102" i="82"/>
  <c r="D21" i="81"/>
  <c r="D102" i="8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81"/>
  <c r="C19" i="82"/>
  <c r="D20" i="81"/>
  <c r="AO9" i="1"/>
  <c r="AO8" i="1"/>
  <c r="AO12" i="1"/>
  <c r="C19" i="9"/>
  <c r="AO6" i="1"/>
  <c r="D20" i="82"/>
  <c r="AO11" i="1"/>
  <c r="AO10" i="1"/>
  <c r="AO7" i="1"/>
  <c r="D20" i="9"/>
  <c r="C102" i="82" l="1"/>
  <c r="C21" i="82"/>
  <c r="D22" i="82"/>
  <c r="G19" i="82"/>
  <c r="G21" i="82" s="1"/>
  <c r="C102" i="81"/>
  <c r="C21" i="81"/>
  <c r="D22" i="81"/>
  <c r="G19" i="81"/>
  <c r="G21" i="81" s="1"/>
  <c r="D103" i="82"/>
  <c r="D103" i="81"/>
  <c r="D103" i="9"/>
  <c r="D22" i="9"/>
  <c r="C10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1"/>
  <c r="C20" i="82"/>
  <c r="C20" i="9"/>
  <c r="C103" i="82" l="1"/>
  <c r="G20" i="82"/>
  <c r="C32" i="82" s="1"/>
  <c r="I118" i="82" s="1"/>
  <c r="C103" i="81"/>
  <c r="G20" i="81"/>
  <c r="C32" i="81" s="1"/>
  <c r="I118" i="81" s="1"/>
  <c r="G20" i="9"/>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1" l="1"/>
  <c r="G118" i="81" s="1"/>
  <c r="F118" i="81" s="1"/>
  <c r="F119" i="81" s="1"/>
  <c r="C35" i="82"/>
  <c r="G118" i="82" s="1"/>
  <c r="F118" i="82" s="1"/>
  <c r="F119" i="82" s="1"/>
  <c r="C34" i="82"/>
  <c r="E118" i="82"/>
  <c r="D118" i="82" s="1"/>
  <c r="D119" i="82" s="1"/>
  <c r="C105" i="82"/>
  <c r="H118" i="82"/>
  <c r="H102" i="82"/>
  <c r="C34" i="81"/>
  <c r="E118" i="81"/>
  <c r="D118" i="81" s="1"/>
  <c r="D119" i="81" s="1"/>
  <c r="C105" i="81"/>
  <c r="H118" i="81"/>
  <c r="H102" i="81"/>
  <c r="C32" i="9"/>
  <c r="C35" i="9" s="1"/>
  <c r="C34" i="9" s="1"/>
  <c r="R24" i="31"/>
  <c r="C42" i="40"/>
  <c r="C43" i="40"/>
  <c r="E47" i="40"/>
  <c r="F47" i="40" s="1"/>
  <c r="E46" i="40"/>
  <c r="F46" i="40" s="1"/>
  <c r="I47" i="40"/>
  <c r="J47" i="40" s="1"/>
  <c r="H119" i="82" l="1"/>
  <c r="H101" i="82"/>
  <c r="C104" i="82"/>
  <c r="H119" i="81"/>
  <c r="H101" i="81"/>
  <c r="C104" i="81"/>
  <c r="S24" i="31"/>
  <c r="R26" i="31"/>
  <c r="S26" i="31" s="1"/>
  <c r="R25" i="31"/>
  <c r="S25" i="31" s="1"/>
  <c r="D15" i="74" s="1"/>
  <c r="B58" i="40"/>
  <c r="F58" i="40" s="1"/>
  <c r="B54" i="40"/>
  <c r="F54" i="40" s="1"/>
  <c r="B53" i="40"/>
  <c r="F53" i="40" s="1"/>
  <c r="B59" i="40"/>
  <c r="F59" i="40" s="1"/>
  <c r="B52" i="40"/>
  <c r="F52" i="40" s="1"/>
  <c r="B56" i="40"/>
  <c r="F56" i="40" s="1"/>
  <c r="B60" i="40"/>
  <c r="F60" i="40" s="1"/>
  <c r="B57" i="40"/>
  <c r="F57" i="40" s="1"/>
  <c r="B51" i="40"/>
  <c r="F51" i="40" s="1"/>
  <c r="F61" i="40"/>
  <c r="B2" i="40" s="1"/>
  <c r="B3" i="40" s="1"/>
  <c r="M48" i="82" l="1"/>
  <c r="M49" i="82"/>
  <c r="M48" i="81"/>
  <c r="M49" i="81"/>
  <c r="D45" i="82"/>
  <c r="D45" i="81"/>
  <c r="H107" i="82"/>
  <c r="H107" i="81"/>
  <c r="S22" i="31"/>
  <c r="E14" i="74"/>
  <c r="F14" i="74"/>
  <c r="B5" i="74" l="1"/>
  <c r="D5" i="74" s="1"/>
  <c r="E16" i="74"/>
  <c r="F16" i="74"/>
  <c r="E15" i="74"/>
  <c r="F15" i="74"/>
  <c r="D122" i="82"/>
  <c r="D123" i="82" s="1"/>
  <c r="H108" i="82"/>
  <c r="D52" i="82"/>
  <c r="D55" i="82"/>
  <c r="M53" i="82" s="1"/>
  <c r="C78" i="82"/>
  <c r="C73" i="82" s="1"/>
  <c r="C72" i="82"/>
  <c r="C93" i="82"/>
  <c r="C86" i="82" s="1"/>
  <c r="C85" i="82"/>
  <c r="C64" i="82"/>
  <c r="C63" i="82" s="1"/>
  <c r="C67" i="82" s="1"/>
  <c r="C68" i="82" s="1"/>
  <c r="D54" i="82" s="1"/>
  <c r="D48" i="82" s="1"/>
  <c r="M52" i="82" s="1"/>
  <c r="D53" i="82"/>
  <c r="D52" i="81"/>
  <c r="D55" i="81"/>
  <c r="M53" i="81" s="1"/>
  <c r="C78" i="81"/>
  <c r="C73" i="81" s="1"/>
  <c r="C72" i="81"/>
  <c r="C93" i="81"/>
  <c r="C86" i="81" s="1"/>
  <c r="C85" i="81"/>
  <c r="C64" i="81"/>
  <c r="C63" i="81" s="1"/>
  <c r="C67" i="81" s="1"/>
  <c r="C68" i="81" s="1"/>
  <c r="D54" i="81" s="1"/>
  <c r="D48" i="81" s="1"/>
  <c r="M52" i="81" s="1"/>
  <c r="D53" i="81"/>
  <c r="D122" i="81"/>
  <c r="D123" i="81" s="1"/>
  <c r="H108" i="81"/>
  <c r="R22" i="31"/>
  <c r="B20" i="31"/>
  <c r="B21" i="31" s="1"/>
  <c r="B6" i="74"/>
  <c r="D6" i="74" s="1"/>
  <c r="C79" i="82" l="1"/>
  <c r="C95" i="81"/>
  <c r="C96" i="81" s="1"/>
  <c r="E96" i="81" s="1"/>
  <c r="E97" i="81" s="1"/>
  <c r="C95" i="82"/>
  <c r="L65" i="82"/>
  <c r="M65" i="82" s="1"/>
  <c r="L66" i="82"/>
  <c r="M66" i="82" s="1"/>
  <c r="L63" i="82"/>
  <c r="M63" i="82" s="1"/>
  <c r="L68" i="82"/>
  <c r="M68" i="82" s="1"/>
  <c r="L67" i="82"/>
  <c r="M67" i="82" s="1"/>
  <c r="L64" i="82"/>
  <c r="M64" i="82" s="1"/>
  <c r="C79" i="81"/>
  <c r="L65" i="81"/>
  <c r="M65" i="81" s="1"/>
  <c r="L66" i="81"/>
  <c r="M66" i="81" s="1"/>
  <c r="L63" i="81"/>
  <c r="M63" i="81" s="1"/>
  <c r="L68" i="81"/>
  <c r="M68" i="81" s="1"/>
  <c r="L67" i="81"/>
  <c r="M67" i="81" s="1"/>
  <c r="L64" i="81"/>
  <c r="M64" i="81" s="1"/>
  <c r="C96" i="82" l="1"/>
  <c r="E96" i="82" s="1"/>
  <c r="E97" i="82" s="1"/>
  <c r="M69" i="82"/>
  <c r="N69" i="82" s="1"/>
  <c r="C81" i="82"/>
  <c r="D58" i="82" s="1"/>
  <c r="D56" i="82" s="1"/>
  <c r="M54" i="82" s="1"/>
  <c r="N57" i="82" s="1"/>
  <c r="C80" i="82"/>
  <c r="E80" i="82" s="1"/>
  <c r="E81" i="82" s="1"/>
  <c r="M69" i="81"/>
  <c r="N69" i="81" s="1"/>
  <c r="C97" i="81"/>
  <c r="C81" i="81"/>
  <c r="D58" i="81" s="1"/>
  <c r="D56" i="81" s="1"/>
  <c r="M54" i="81" s="1"/>
  <c r="N57" i="81" s="1"/>
  <c r="C80" i="81"/>
  <c r="E80" i="81" s="1"/>
  <c r="E81" i="81" s="1"/>
  <c r="P57" i="82" l="1"/>
  <c r="N58" i="82"/>
  <c r="N59" i="82"/>
  <c r="C97" i="82"/>
  <c r="P57" i="81"/>
  <c r="N58" i="81"/>
  <c r="N59" i="81"/>
  <c r="I15" i="74" s="1"/>
  <c r="J16" i="74" l="1"/>
  <c r="J15" i="74"/>
  <c r="N60" i="82"/>
  <c r="N61" i="82"/>
  <c r="N60" i="81"/>
  <c r="N61" i="81"/>
  <c r="G118" i="9" l="1"/>
  <c r="G4" i="52" s="1"/>
  <c r="B52" i="72" s="1"/>
  <c r="I118" i="9"/>
  <c r="I4" i="52" s="1"/>
  <c r="F118" i="9" l="1"/>
  <c r="F119" i="9" s="1"/>
  <c r="F5" i="52" s="1"/>
  <c r="B53" i="72" s="1"/>
  <c r="E118" i="9"/>
  <c r="H102" i="9"/>
  <c r="C105" i="9"/>
  <c r="H118" i="9"/>
  <c r="F4" i="52" l="1"/>
  <c r="B51" i="72" s="1"/>
  <c r="D7" i="53"/>
  <c r="B21" i="72" s="1"/>
  <c r="C5" i="74"/>
  <c r="H4" i="52"/>
  <c r="H119" i="9"/>
  <c r="H5" i="52" s="1"/>
  <c r="H101" i="9"/>
  <c r="C104" i="9"/>
  <c r="E4" i="52"/>
  <c r="B48" i="72" s="1"/>
  <c r="D118" i="9"/>
  <c r="D5" i="53" l="1"/>
  <c r="M48" i="9"/>
  <c r="D45" i="9"/>
  <c r="D55" i="9" s="1"/>
  <c r="H107" i="9"/>
  <c r="D4" i="52"/>
  <c r="B47" i="72" s="1"/>
  <c r="D119" i="9"/>
  <c r="D5" i="52" s="1"/>
  <c r="B49" i="72" s="1"/>
  <c r="M49" i="9" l="1"/>
  <c r="D122" i="9"/>
  <c r="D13" i="53"/>
  <c r="H108" i="9"/>
  <c r="C93" i="9"/>
  <c r="C86" i="9" s="1"/>
  <c r="C78" i="9"/>
  <c r="C73" i="9" s="1"/>
  <c r="D52" i="9"/>
  <c r="D53" i="9"/>
  <c r="C72" i="9"/>
  <c r="M53" i="9"/>
  <c r="C64" i="9"/>
  <c r="C63" i="9" s="1"/>
  <c r="C67" i="9" s="1"/>
  <c r="C85" i="9"/>
  <c r="D6" i="53"/>
  <c r="B22" i="72" s="1"/>
  <c r="B20" i="72"/>
  <c r="C79" i="9" l="1"/>
  <c r="C80" i="9" s="1"/>
  <c r="E80" i="9" s="1"/>
  <c r="E81" i="9" s="1"/>
  <c r="L68" i="9"/>
  <c r="M68" i="9" s="1"/>
  <c r="L66" i="9"/>
  <c r="M66" i="9" s="1"/>
  <c r="L64" i="9"/>
  <c r="M64" i="9" s="1"/>
  <c r="L65" i="9"/>
  <c r="M65" i="9" s="1"/>
  <c r="L67" i="9"/>
  <c r="M67" i="9" s="1"/>
  <c r="L63" i="9"/>
  <c r="M63" i="9" s="1"/>
  <c r="C95" i="9"/>
  <c r="D15" i="53"/>
  <c r="B31" i="72" s="1"/>
  <c r="C6" i="74"/>
  <c r="C68" i="9"/>
  <c r="D54" i="9" s="1"/>
  <c r="D48" i="9" s="1"/>
  <c r="M52" i="9" s="1"/>
  <c r="D59" i="9"/>
  <c r="M55" i="9" s="1"/>
  <c r="D14" i="53"/>
  <c r="B32" i="72" s="1"/>
  <c r="B30" i="72"/>
  <c r="D123" i="9"/>
  <c r="D9" i="52" s="1"/>
  <c r="D8" i="52"/>
  <c r="C81" i="9" l="1"/>
  <c r="M69" i="9"/>
  <c r="N69" i="9" s="1"/>
  <c r="C96" i="9"/>
  <c r="E96" i="9" s="1"/>
  <c r="E97" i="9" s="1"/>
  <c r="C97" i="9" l="1"/>
  <c r="D58" i="9" s="1"/>
  <c r="D56" i="9" s="1"/>
  <c r="M54" i="9" s="1"/>
  <c r="N57" i="9" s="1"/>
  <c r="N58" i="9" l="1"/>
  <c r="P57" i="9"/>
  <c r="N59" i="9"/>
  <c r="J14" i="74" s="1"/>
  <c r="B8" i="74" l="1"/>
  <c r="C8" i="74" s="1"/>
  <c r="N60" i="9"/>
  <c r="N61" i="9"/>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<sst xmlns="http://schemas.openxmlformats.org/spreadsheetml/2006/main" count="8499" uniqueCount="3429">
  <si>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</si>
  <si>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</si>
  <si>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</si>
  <si>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</si>
  <si>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</si>
  <si>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</si>
  <si>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</si>
  <si>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</si>
  <si>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</si>
  <si>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</si>
  <si>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</si>
  <si>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</si>
  <si>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</si>
  <si>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</si>
  <si>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</si>
  <si>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</si>
  <si>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</si>
  <si>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</si>
  <si>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</si>
  <si>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</si>
  <si>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</si>
  <si>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</si>
  <si>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</si>
  <si>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</si>
  <si>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</si>
  <si>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</si>
  <si>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</si>
  <si>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</si>
  <si>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</si>
  <si>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</si>
  <si>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</si>
  <si>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</si>
  <si>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</si>
  <si>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</si>
  <si>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</si>
  <si>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</si>
  <si>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</si>
  <si>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</si>
  <si>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</si>
  <si>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</si>
  <si>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</si>
  <si>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</si>
  <si>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</si>
  <si>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</si>
  <si>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</si>
  <si>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</si>
  <si>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</si>
  <si>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</si>
  <si>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</si>
  <si>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</si>
  <si>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</si>
  <si>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</si>
  <si>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</si>
  <si>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</si>
  <si>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</si>
  <si>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</si>
  <si>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</si>
  <si>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</si>
  <si>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</si>
  <si>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</si>
  <si>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</si>
  <si>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</si>
  <si>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</si>
  <si>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</si>
  <si>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</si>
  <si>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</si>
  <si>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</si>
  <si>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</si>
  <si>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</si>
  <si>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</si>
  <si>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</si>
  <si>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</si>
  <si>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</si>
  <si>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</si>
  <si>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</si>
  <si>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</si>
  <si>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</si>
  <si>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</si>
  <si>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</si>
  <si>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</si>
  <si>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</si>
  <si>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</si>
  <si>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</si>
  <si>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</si>
  <si>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</si>
  <si>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</si>
  <si>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</si>
  <si>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</si>
  <si>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</si>
  <si>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</si>
  <si>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</si>
  <si>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</si>
  <si>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</si>
  <si>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</si>
  <si>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</si>
  <si>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</si>
  <si>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</si>
  <si>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</si>
  <si>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</si>
  <si>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</si>
  <si>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</si>
  <si>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</si>
  <si>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</si>
  <si>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</si>
  <si>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</si>
  <si>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</si>
  <si>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</si>
  <si>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</si>
  <si>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</si>
  <si>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</si>
  <si>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</si>
  <si>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</si>
  <si>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</si>
  <si>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</si>
  <si>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</si>
  <si>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</si>
  <si>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</si>
  <si>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</si>
  <si>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</si>
  <si>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</si>
  <si>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</si>
  <si>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</si>
  <si>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</si>
  <si>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</si>
  <si>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</si>
  <si>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</si>
  <si>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</si>
  <si>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</si>
  <si>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</si>
  <si>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</si>
  <si>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</si>
  <si>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</si>
  <si>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</si>
  <si>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</si>
  <si>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</si>
  <si>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</si>
  <si>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</si>
  <si>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</si>
  <si>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</si>
  <si>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</si>
  <si>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</si>
  <si>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</si>
  <si>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</si>
  <si>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</si>
  <si>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</si>
  <si>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</si>
  <si>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</si>
  <si>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</si>
  <si>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</si>
  <si>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</si>
  <si>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</si>
  <si>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</si>
  <si>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</si>
  <si>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</si>
  <si>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</si>
  <si>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</si>
  <si>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</si>
  <si>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</si>
  <si>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</si>
  <si>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</si>
  <si>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</si>
  <si>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</si>
  <si>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</si>
  <si>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</si>
  <si>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</si>
  <si>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</si>
  <si>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</si>
  <si>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</si>
  <si>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</si>
  <si>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</si>
  <si>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</si>
  <si>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</si>
  <si>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</si>
  <si>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</si>
  <si>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</si>
  <si>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</si>
  <si>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</si>
  <si>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</si>
  <si>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</si>
  <si>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</si>
  <si>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</si>
  <si>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</si>
  <si>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</si>
  <si>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</si>
  <si>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</si>
  <si>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</si>
  <si>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</si>
  <si>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</si>
  <si>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</si>
  <si>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</si>
  <si>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</si>
  <si>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</si>
  <si>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</si>
  <si>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</si>
  <si>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</si>
  <si>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</si>
  <si>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</si>
  <si>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</si>
  <si>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</si>
  <si>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</si>
  <si>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</si>
  <si>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</si>
  <si>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</si>
  <si>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</si>
  <si>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</si>
  <si>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</si>
  <si>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</si>
  <si>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</si>
  <si>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</si>
  <si>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</si>
  <si>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</si>
  <si>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</si>
  <si>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</si>
  <si>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</si>
  <si>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</si>
  <si>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</si>
  <si>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</si>
  <si>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</si>
  <si>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</si>
  <si>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</si>
  <si>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</si>
  <si>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</si>
  <si>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</si>
  <si>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</si>
  <si>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</si>
  <si>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</si>
  <si>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</si>
  <si>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</si>
  <si>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</si>
  <si>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</si>
  <si>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</si>
  <si>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</si>
  <si>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</si>
  <si>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</si>
  <si>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</si>
  <si>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</si>
  <si>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</si>
  <si>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</si>
  <si>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</si>
  <si>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</si>
  <si>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</si>
  <si>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</si>
  <si>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</si>
  <si>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</si>
  <si>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</si>
  <si>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</si>
  <si>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</si>
  <si>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</si>
  <si>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</si>
  <si>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</si>
  <si>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</si>
  <si>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</si>
  <si>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</si>
  <si>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</si>
  <si>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</si>
  <si>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</si>
  <si>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</si>
  <si>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</si>
  <si>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</si>
  <si>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</si>
  <si>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</si>
  <si>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</si>
  <si>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</si>
  <si>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</si>
  <si>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</si>
  <si>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</si>
  <si>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</si>
  <si>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</si>
  <si>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</si>
  <si>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</si>
  <si>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</si>
  <si>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</si>
  <si>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</si>
  <si>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</si>
  <si>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</si>
  <si>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</si>
  <si>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</si>
  <si>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</si>
  <si>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</si>
  <si>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</si>
  <si>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</si>
  <si>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</si>
  <si>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</si>
  <si>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</si>
  <si>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</si>
  <si>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</si>
  <si>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</si>
  <si>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</si>
  <si>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</si>
  <si>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</si>
  <si>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</si>
  <si>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</si>
  <si>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</si>
  <si>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</si>
  <si>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</si>
  <si>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</si>
  <si>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</si>
  <si>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</si>
  <si>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</si>
  <si>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</si>
  <si>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</si>
  <si>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</si>
  <si>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</si>
  <si>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</si>
  <si>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</si>
  <si>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</si>
  <si>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</si>
  <si>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</si>
  <si>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</si>
  <si>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</si>
  <si>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</si>
  <si>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</si>
  <si>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</si>
  <si>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</si>
  <si>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</si>
  <si>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</si>
  <si>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</si>
  <si>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</si>
  <si>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</si>
  <si>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</si>
  <si>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</si>
  <si>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</si>
  <si>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</si>
  <si>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</si>
  <si>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</si>
  <si>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</si>
  <si>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</si>
  <si>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</si>
  <si>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</si>
  <si>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</si>
  <si>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</si>
  <si>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</si>
  <si>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</si>
  <si>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</si>
  <si>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</si>
  <si>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</si>
  <si>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</si>
  <si>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</si>
  <si>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</si>
  <si>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</si>
  <si>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</si>
  <si>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</si>
  <si>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</si>
  <si>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</si>
  <si>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</si>
  <si>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</si>
  <si>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</si>
  <si>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</si>
  <si>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</si>
  <si>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</si>
  <si>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</si>
  <si>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</si>
  <si>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</si>
  <si>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</si>
  <si>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</si>
  <si>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</si>
  <si>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</si>
  <si>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</si>
  <si>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</si>
  <si>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</si>
  <si>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</si>
  <si>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</si>
  <si>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</si>
  <si>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</si>
  <si>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</si>
  <si>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</si>
  <si>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</si>
  <si>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</si>
  <si>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</si>
  <si>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</si>
  <si>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</si>
  <si>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</si>
  <si>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</si>
  <si>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</si>
  <si>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</si>
  <si>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</si>
  <si>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</si>
  <si>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</si>
  <si>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</si>
  <si>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</si>
  <si>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</si>
  <si>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</si>
  <si>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</si>
  <si>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</si>
  <si>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</si>
  <si>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</si>
  <si>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</si>
  <si>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</si>
  <si>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</si>
  <si>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</si>
  <si>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</si>
  <si>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</si>
  <si>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</si>
  <si>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</si>
  <si>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</si>
  <si>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</si>
  <si>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</si>
  <si>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</si>
  <si>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</si>
  <si>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</si>
  <si>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</si>
  <si>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</si>
  <si>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</si>
  <si>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</si>
  <si>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</si>
  <si>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</si>
  <si>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</si>
  <si>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</si>
  <si>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</si>
  <si>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</si>
  <si>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</si>
  <si>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</si>
  <si>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</si>
  <si>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</si>
  <si>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</si>
  <si>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</si>
  <si>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</si>
  <si>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</si>
  <si>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</si>
  <si>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</si>
  <si>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</si>
  <si>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</si>
  <si>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</si>
  <si>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</si>
  <si>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</si>
  <si>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</si>
  <si>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</si>
  <si>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</si>
  <si>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</si>
  <si>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</si>
  <si>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</si>
  <si>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</si>
  <si>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</si>
  <si>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</si>
  <si>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</si>
  <si>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</si>
  <si>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</si>
  <si>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</si>
  <si>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</si>
  <si>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</si>
  <si>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</si>
  <si>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</si>
  <si>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</si>
  <si>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</si>
  <si>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</si>
  <si>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</si>
  <si>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</si>
  <si>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</si>
  <si>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</si>
  <si>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</si>
  <si>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</si>
  <si>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</si>
  <si>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</si>
  <si>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</si>
  <si>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</si>
  <si>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</si>
  <si>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</si>
  <si>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</si>
  <si>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</si>
  <si>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</si>
  <si>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</si>
  <si>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</si>
  <si>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</si>
  <si>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</si>
  <si>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</si>
  <si>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</si>
  <si>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</si>
  <si>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</si>
  <si>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</si>
  <si>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</si>
  <si>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</si>
  <si>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</si>
  <si>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</si>
  <si>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</si>
  <si>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</si>
  <si>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</si>
  <si>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</si>
  <si>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</si>
  <si>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</si>
  <si>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</si>
  <si>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</si>
  <si>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</si>
  <si>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</si>
  <si>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</si>
  <si>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</si>
  <si>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</si>
  <si>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</si>
  <si>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</si>
  <si>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</si>
  <si>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</si>
  <si>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</si>
  <si>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</si>
  <si>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</si>
  <si>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</si>
  <si>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</si>
  <si>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</si>
  <si>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</si>
  <si>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</si>
  <si>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</si>
  <si>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</si>
  <si>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</si>
  <si>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</si>
  <si>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</si>
  <si>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</si>
  <si>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</si>
  <si>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</si>
  <si>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</si>
  <si>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</si>
  <si>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</si>
  <si>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</si>
  <si>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</si>
  <si>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</si>
  <si>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</si>
  <si>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</si>
  <si>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</si>
  <si>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</si>
  <si>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</si>
  <si>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</si>
  <si>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</si>
  <si>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</si>
  <si>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</si>
  <si>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</si>
  <si>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</si>
  <si>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</si>
  <si>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</si>
  <si>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</si>
  <si>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</si>
  <si>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</si>
  <si>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</si>
  <si>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</si>
  <si>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</si>
  <si>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</si>
  <si>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</si>
  <si>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</si>
  <si>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</si>
  <si>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</si>
  <si>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</si>
  <si>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</si>
  <si>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</si>
  <si>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</si>
  <si>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</si>
  <si>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</si>
  <si>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</si>
  <si>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</si>
  <si>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</si>
  <si>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</si>
  <si>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</si>
  <si>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</si>
  <si>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</si>
  <si>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</si>
  <si>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</si>
  <si>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</si>
  <si>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</si>
  <si>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</si>
  <si>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</si>
  <si>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</si>
  <si>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</si>
  <si>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</si>
  <si>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</si>
  <si>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</si>
  <si>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</si>
  <si>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</si>
  <si>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</si>
  <si>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</si>
  <si>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</si>
  <si>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</si>
  <si>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</si>
  <si>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</si>
  <si>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</si>
  <si>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</si>
  <si>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</si>
  <si>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</si>
  <si>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</si>
  <si>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</si>
  <si>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</si>
  <si>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</si>
  <si>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</si>
  <si>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</si>
  <si>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</si>
  <si>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</si>
  <si>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</si>
  <si>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</si>
  <si>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</si>
  <si>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</si>
  <si>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</si>
  <si>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</si>
  <si>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</si>
  <si>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</si>
  <si>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</si>
  <si>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</si>
  <si>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</si>
  <si>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</si>
  <si>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</si>
  <si>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</si>
  <si>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</si>
  <si>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</si>
  <si>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</si>
  <si>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</si>
  <si>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</si>
  <si>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</si>
  <si>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</si>
  <si>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</si>
  <si>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</si>
  <si>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</si>
  <si>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</si>
  <si>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</si>
  <si>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</si>
  <si>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</si>
  <si>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</si>
  <si>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</si>
  <si>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</si>
  <si>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</si>
  <si>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</si>
  <si>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</si>
  <si>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</si>
  <si>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</si>
  <si>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</si>
  <si>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</si>
  <si>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</si>
  <si>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</si>
  <si>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</si>
  <si>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</si>
  <si>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</si>
  <si>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</si>
  <si>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</si>
  <si>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</si>
  <si>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</si>
  <si>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</si>
  <si>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</si>
  <si>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</si>
  <si>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</si>
  <si>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</si>
  <si>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</si>
  <si>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</si>
  <si>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</si>
  <si>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</si>
  <si>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</si>
  <si>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</si>
  <si>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</si>
  <si>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</si>
  <si>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</si>
  <si>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</si>
  <si>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</si>
  <si>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</si>
  <si>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</si>
  <si>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</si>
  <si>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</si>
  <si>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</si>
  <si>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</si>
  <si>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</si>
  <si>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</si>
  <si>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</si>
  <si>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</si>
  <si>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</si>
  <si>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</si>
  <si>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</si>
  <si>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</si>
  <si>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</si>
  <si>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</si>
  <si>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</si>
  <si>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</si>
  <si>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</si>
  <si>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</si>
  <si>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</si>
  <si>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</si>
  <si>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</si>
  <si>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</si>
  <si>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</si>
  <si>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</si>
  <si>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</si>
  <si>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</si>
  <si>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</si>
  <si>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</si>
  <si>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</si>
  <si>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</si>
  <si>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</si>
  <si>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</si>
  <si>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</si>
  <si>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</si>
  <si>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</si>
  <si>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</si>
  <si>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</si>
  <si>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</si>
  <si>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</si>
  <si>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</si>
  <si>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</si>
  <si>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</si>
  <si>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</si>
  <si>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</si>
  <si>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</si>
  <si>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</si>
  <si>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</si>
  <si>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</si>
  <si>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</si>
  <si>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</si>
  <si>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</si>
  <si>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</si>
  <si>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</si>
  <si>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</si>
  <si>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</si>
  <si>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</si>
  <si>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</si>
  <si>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</si>
  <si>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</si>
  <si>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</si>
  <si>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</si>
  <si>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</si>
  <si>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</si>
  <si>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</si>
  <si>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</si>
  <si>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</si>
  <si>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</si>
  <si>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</si>
  <si>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</si>
  <si>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</si>
  <si>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</si>
  <si>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</si>
  <si>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</si>
  <si>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</si>
  <si>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</si>
  <si>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</si>
  <si>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</si>
  <si>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</si>
  <si>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</si>
  <si>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</si>
  <si>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</si>
  <si>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</si>
  <si>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</si>
  <si>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</si>
  <si>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</si>
  <si>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</si>
  <si>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</si>
  <si>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</si>
  <si>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</si>
  <si>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</si>
  <si>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</si>
  <si>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</si>
  <si>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</si>
  <si>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</si>
  <si>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</si>
  <si>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</si>
  <si>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</si>
  <si>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</si>
  <si>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</si>
  <si>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</si>
  <si>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</si>
  <si>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</si>
  <si>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</si>
  <si>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</si>
  <si>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</si>
  <si>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</si>
  <si>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</si>
  <si>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</si>
  <si>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</si>
  <si>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</si>
  <si>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</si>
  <si>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</si>
  <si>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</si>
  <si>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</si>
  <si>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</si>
  <si>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</si>
  <si>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</si>
  <si>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</si>
  <si>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</si>
  <si>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</si>
  <si>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</si>
  <si>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</si>
  <si>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</si>
  <si>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</si>
  <si>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</si>
  <si>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</si>
  <si>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</si>
  <si>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</si>
  <si>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</si>
  <si>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</si>
  <si>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</si>
  <si>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</si>
  <si>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</si>
  <si>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</si>
  <si>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</si>
  <si>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</si>
  <si>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</si>
  <si>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</si>
  <si>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</si>
  <si>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</si>
  <si>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</si>
  <si>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</si>
  <si>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</si>
  <si>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</si>
  <si>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</si>
  <si>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</si>
  <si>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</si>
  <si>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</si>
  <si>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</si>
  <si>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</si>
  <si>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</si>
  <si>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</si>
  <si>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</si>
  <si>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</si>
  <si>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</si>
  <si>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</si>
  <si>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</si>
  <si>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</si>
  <si>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</si>
  <si>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</si>
  <si>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</si>
  <si>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</si>
  <si>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</si>
  <si>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</si>
  <si>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</si>
  <si>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</si>
  <si>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</si>
  <si>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</si>
  <si>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</si>
  <si>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</si>
  <si>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</si>
  <si>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</si>
  <si>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</si>
  <si>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</si>
  <si>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</si>
  <si>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</si>
  <si>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</si>
  <si>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</si>
  <si>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</si>
  <si>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</si>
  <si>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</si>
  <si>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</si>
  <si>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</si>
  <si>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</si>
  <si>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</si>
  <si>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</si>
  <si>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</si>
  <si>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</si>
  <si>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</si>
  <si>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</si>
  <si>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</si>
  <si>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</si>
  <si>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</si>
  <si>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</si>
  <si>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</si>
  <si>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</si>
  <si>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</si>
  <si>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</si>
  <si>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</si>
  <si>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</si>
  <si>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</si>
  <si>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</si>
  <si>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</si>
  <si>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</si>
  <si>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</si>
  <si>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</si>
  <si>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</si>
  <si>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</si>
  <si>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</si>
  <si>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</si>
  <si>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</si>
  <si>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</si>
  <si>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</si>
  <si>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</si>
  <si>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</si>
  <si>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</si>
  <si>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</si>
  <si>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</si>
  <si>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</si>
  <si>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</si>
  <si>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</si>
  <si>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</si>
  <si>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</si>
  <si>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</si>
  <si>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</si>
  <si>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</si>
  <si>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</si>
  <si>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</si>
  <si>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</si>
  <si>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</si>
  <si>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</si>
  <si>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</si>
  <si>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</si>
  <si>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</si>
  <si>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</si>
  <si>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</si>
  <si>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</si>
  <si>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</si>
  <si>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</si>
  <si>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</si>
  <si>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</si>
  <si>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</si>
  <si>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</si>
  <si>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</si>
  <si>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</si>
  <si>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</si>
  <si>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</si>
  <si>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</si>
  <si>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</si>
  <si>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</si>
  <si>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</si>
  <si>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</si>
  <si>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</si>
  <si>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</si>
  <si>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</si>
  <si>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</si>
  <si>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</si>
  <si>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</si>
  <si>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</si>
  <si>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</si>
  <si>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</si>
  <si>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</si>
  <si>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</si>
  <si>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</si>
  <si>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</si>
  <si>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</si>
  <si>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</si>
  <si>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</si>
  <si>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</si>
  <si>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</si>
  <si>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</si>
  <si>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</si>
  <si>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</si>
  <si>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</si>
  <si>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</si>
  <si>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</si>
  <si>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</si>
  <si>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</si>
  <si>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</si>
  <si>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</si>
  <si>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</si>
  <si>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</si>
  <si>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</si>
  <si>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</si>
  <si>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</si>
  <si>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</si>
  <si>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</si>
  <si>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</si>
  <si>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</si>
  <si>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</si>
  <si>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</si>
  <si>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</si>
  <si>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</si>
  <si>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</si>
  <si>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</si>
  <si>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</si>
  <si>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</si>
  <si>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</si>
  <si>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</si>
  <si>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</si>
  <si>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</si>
  <si>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</si>
  <si>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</si>
  <si>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</si>
  <si>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</si>
  <si>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</si>
  <si>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</si>
  <si>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</si>
  <si>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</si>
  <si>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</si>
  <si>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</si>
  <si>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</si>
  <si>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</si>
  <si>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</si>
  <si>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</si>
  <si>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</si>
  <si>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</si>
  <si>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</si>
  <si>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</si>
  <si>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</si>
  <si>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</si>
  <si>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</si>
  <si>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</si>
  <si>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</si>
  <si>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</si>
  <si>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</si>
  <si>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</si>
  <si>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</si>
  <si>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</si>
  <si>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</si>
  <si>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</si>
  <si>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</si>
  <si>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</si>
  <si>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</si>
  <si>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</si>
  <si>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</si>
  <si>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</si>
  <si>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</si>
  <si>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</si>
  <si>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</si>
  <si>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</si>
  <si>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</si>
  <si>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</si>
  <si>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</si>
  <si>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</si>
  <si>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</si>
  <si>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</si>
  <si>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</si>
  <si>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</si>
  <si>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</si>
  <si>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</si>
  <si>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</si>
  <si>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</si>
  <si>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</si>
  <si>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</si>
  <si>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</si>
  <si>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</si>
  <si>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</si>
  <si>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</si>
  <si>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</si>
  <si>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</si>
  <si>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</si>
  <si>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</si>
  <si>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</si>
  <si>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</si>
  <si>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</si>
  <si>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</si>
  <si>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</si>
  <si>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</si>
  <si>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</si>
  <si>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</si>
  <si>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</si>
  <si>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</si>
  <si>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</si>
  <si>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</si>
  <si>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</si>
  <si>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</si>
  <si>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</si>
  <si>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</si>
  <si>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</si>
  <si>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</si>
  <si>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</si>
  <si>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</si>
  <si>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</si>
  <si>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</si>
  <si>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</si>
  <si>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</si>
  <si>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</si>
  <si>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</si>
  <si>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</si>
  <si>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</si>
  <si>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</si>
  <si>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</si>
  <si>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</si>
  <si>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</si>
  <si>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</si>
  <si>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</si>
  <si>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</si>
  <si>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</si>
  <si>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</si>
  <si>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</si>
  <si>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</si>
  <si>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</si>
  <si>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</si>
  <si>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</si>
  <si>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</si>
  <si>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</si>
  <si>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</si>
  <si>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</si>
  <si>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</si>
  <si>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</si>
  <si>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</si>
  <si>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</si>
  <si>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</si>
  <si>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</si>
  <si>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</si>
  <si>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</si>
  <si>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</si>
  <si>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</si>
  <si>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</si>
  <si>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</si>
  <si>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</si>
  <si>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</si>
  <si>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</si>
  <si>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</si>
  <si>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</si>
  <si>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</si>
  <si>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</si>
  <si>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</si>
  <si>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</si>
  <si>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</si>
  <si>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</si>
  <si>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</si>
  <si>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</si>
  <si>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</si>
  <si>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</si>
  <si>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</si>
  <si>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</si>
  <si>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</si>
  <si>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</si>
  <si>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</si>
  <si>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</si>
  <si>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</si>
  <si>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</si>
  <si>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</si>
  <si>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</si>
  <si>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</si>
  <si>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</si>
  <si>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</si>
  <si>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</si>
  <si>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</si>
  <si>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</si>
  <si>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</si>
  <si>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</si>
  <si>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</si>
  <si>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</si>
  <si>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</si>
  <si>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</si>
  <si>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</si>
  <si>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</si>
  <si>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</si>
  <si>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</si>
  <si>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</si>
  <si>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</si>
  <si>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</si>
  <si>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</si>
  <si>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</si>
  <si>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</si>
  <si>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</si>
  <si>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</si>
  <si>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</si>
  <si>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</si>
  <si>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</si>
  <si>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</si>
  <si>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</si>
  <si>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</si>
  <si>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</si>
  <si>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</si>
  <si>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</si>
  <si>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</si>
  <si>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</si>
  <si>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</si>
  <si>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</si>
  <si>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</si>
  <si>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</si>
  <si>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</si>
  <si>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</si>
  <si>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</si>
  <si>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</si>
  <si>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</si>
  <si>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</si>
  <si>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</si>
  <si>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</si>
  <si>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</si>
  <si>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</si>
  <si>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</si>
  <si>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</si>
  <si>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</si>
  <si>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</si>
  <si>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</si>
  <si>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</si>
  <si>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</si>
  <si>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</si>
  <si>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</si>
  <si>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</si>
  <si>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</si>
  <si>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</si>
  <si>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</si>
  <si>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</si>
  <si>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</si>
  <si>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</si>
  <si>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</si>
  <si>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</si>
  <si>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</si>
  <si>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</si>
  <si>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</si>
  <si>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</si>
  <si>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</si>
  <si>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</si>
  <si>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</si>
  <si>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</si>
  <si>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</si>
  <si>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</si>
  <si>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</si>
  <si>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</si>
  <si>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</si>
  <si>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</si>
  <si>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</si>
  <si>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</si>
  <si>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</si>
  <si>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</si>
  <si>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</si>
  <si>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</si>
  <si>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</si>
  <si>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</si>
  <si>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</si>
  <si>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</si>
  <si>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</si>
  <si>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</si>
  <si>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</si>
  <si>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</si>
  <si>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</si>
  <si>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</si>
  <si>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</si>
  <si>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</si>
  <si>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</si>
  <si>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</si>
  <si>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</si>
  <si>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</si>
  <si>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</si>
  <si>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</si>
  <si>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</si>
  <si>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</si>
  <si>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</si>
  <si>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</si>
  <si>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</si>
  <si>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</si>
  <si>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</si>
  <si>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</si>
  <si>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</si>
  <si>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</si>
  <si>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</si>
  <si>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</si>
  <si>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</si>
  <si>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</si>
  <si>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</si>
  <si>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</si>
  <si>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</si>
  <si>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</si>
  <si>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</si>
  <si>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</si>
  <si>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</si>
  <si>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</si>
  <si>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</si>
  <si>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</si>
  <si>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</si>
  <si>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</si>
  <si>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</si>
  <si>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</si>
  <si>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</si>
  <si>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</si>
  <si>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</si>
  <si>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</si>
  <si>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</si>
  <si>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</si>
  <si>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</si>
  <si>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</si>
  <si>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</si>
  <si>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</si>
  <si>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</si>
  <si>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</si>
  <si>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</si>
  <si>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</si>
  <si>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</si>
  <si>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</si>
  <si>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</si>
  <si>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</si>
  <si>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</si>
  <si>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</si>
  <si>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</si>
  <si>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</si>
  <si>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</si>
  <si>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</si>
  <si>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</si>
  <si>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</si>
  <si>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</si>
  <si>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</si>
  <si>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</si>
  <si>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</si>
  <si>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</si>
  <si>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</si>
  <si>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</si>
  <si>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</si>
  <si>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</si>
  <si>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</si>
  <si>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</si>
  <si>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</si>
  <si>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</si>
  <si>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</si>
  <si>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</si>
  <si>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</si>
  <si>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</si>
  <si>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</si>
  <si>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</si>
  <si>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</si>
  <si>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</si>
  <si>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</si>
  <si>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</si>
  <si>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</si>
  <si>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</si>
  <si>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</si>
  <si>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</si>
  <si>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</si>
  <si>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</si>
  <si>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</si>
  <si>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</si>
  <si>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</si>
  <si>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</si>
  <si>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</si>
  <si>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</si>
  <si>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</si>
  <si>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</si>
  <si>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</si>
  <si>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</si>
  <si>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</si>
  <si>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</si>
  <si>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</si>
  <si>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</si>
  <si>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</si>
  <si>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</si>
  <si>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</si>
  <si>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</si>
  <si>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</si>
  <si>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</si>
  <si>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</si>
  <si>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</si>
  <si>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</si>
  <si>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</si>
  <si>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</si>
  <si>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</si>
  <si>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</si>
  <si>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</si>
  <si>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</si>
  <si>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</si>
  <si>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</si>
  <si>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</si>
  <si>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</si>
  <si>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</si>
  <si>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</si>
  <si>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</si>
  <si>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</si>
  <si>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</si>
  <si>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</si>
  <si>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</si>
  <si>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</si>
  <si>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</si>
  <si>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</si>
  <si>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</si>
  <si>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</si>
  <si>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</si>
  <si>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</si>
  <si>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</si>
  <si>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</si>
  <si>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</si>
  <si>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</si>
  <si>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</si>
  <si>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</si>
  <si>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</si>
  <si>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</si>
  <si>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</si>
  <si>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</si>
  <si>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</si>
  <si>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</si>
  <si>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</si>
  <si>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</si>
  <si>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</si>
  <si>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</si>
  <si>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</si>
  <si>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</si>
  <si>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</si>
  <si>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</si>
  <si>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</si>
  <si>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</si>
  <si>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</si>
  <si>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</si>
  <si>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</si>
  <si>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</si>
  <si>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</si>
  <si>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</si>
  <si>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</si>
  <si>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</si>
  <si>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</si>
  <si>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</si>
  <si>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</si>
  <si>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</si>
  <si>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</si>
  <si>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</si>
  <si>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</si>
  <si>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</si>
  <si>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</si>
  <si>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</si>
  <si>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</si>
  <si>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</si>
  <si>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</si>
  <si>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</si>
  <si>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</si>
  <si>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</si>
  <si>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</si>
  <si>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</si>
  <si>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</si>
  <si>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</si>
  <si>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</si>
  <si>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</si>
  <si>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</si>
  <si>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</si>
  <si>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</si>
  <si>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</si>
  <si>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</si>
  <si>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</si>
  <si>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</si>
  <si>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</si>
  <si>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</si>
  <si>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</si>
  <si>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</si>
  <si>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</si>
  <si>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</si>
  <si>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</si>
  <si>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</si>
  <si>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</si>
  <si>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</si>
  <si>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</si>
  <si>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</si>
  <si>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</si>
  <si>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</si>
  <si>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</si>
  <si>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</si>
  <si>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</si>
  <si>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</si>
  <si>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</si>
  <si>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</si>
  <si>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</si>
  <si>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</si>
  <si>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</si>
  <si>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</si>
  <si>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</si>
  <si>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</si>
  <si>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</si>
  <si>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</si>
  <si>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</si>
  <si>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</si>
  <si>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</si>
  <si>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</si>
  <si>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</si>
  <si>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</si>
  <si>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</si>
  <si>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</si>
  <si>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</si>
  <si>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</si>
  <si>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</si>
  <si>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</si>
  <si>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</si>
  <si>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</si>
  <si>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</si>
  <si>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</si>
  <si>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</si>
  <si>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</si>
  <si>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</si>
  <si>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</si>
  <si>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</si>
  <si>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</si>
  <si>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</si>
  <si>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</si>
  <si>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</si>
  <si>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</si>
  <si>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</si>
  <si>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</si>
  <si>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</si>
  <si>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</si>
  <si>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</si>
  <si>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</si>
  <si>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</si>
  <si>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</si>
  <si>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</si>
  <si>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</si>
  <si>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</si>
  <si>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</si>
  <si>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</si>
  <si>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</si>
  <si>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</si>
  <si>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</si>
  <si>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</si>
  <si>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</si>
  <si>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</si>
  <si>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</si>
  <si>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</si>
  <si>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</si>
  <si>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</si>
  <si>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</si>
  <si>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</si>
  <si>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</si>
  <si>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</si>
  <si>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</si>
  <si>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</si>
  <si>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</si>
  <si>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</si>
  <si>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</si>
  <si>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</si>
  <si>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</si>
  <si>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</si>
  <si>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</si>
  <si>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</si>
  <si>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</si>
  <si>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</si>
  <si>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</si>
  <si>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</si>
  <si>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</si>
  <si>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</si>
  <si>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</si>
  <si>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</si>
  <si>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</si>
  <si>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</si>
  <si>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</si>
  <si>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</si>
  <si>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</si>
  <si>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</si>
  <si>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</si>
  <si>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</si>
  <si>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</si>
  <si>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</si>
  <si>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</si>
  <si>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</si>
  <si>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</si>
  <si>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</si>
  <si>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</si>
  <si>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</si>
  <si>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</si>
  <si>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</si>
  <si>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</si>
  <si>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</si>
  <si>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</si>
  <si>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</si>
  <si>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</si>
  <si>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</si>
  <si>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</si>
  <si>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</si>
  <si>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</si>
  <si>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</si>
  <si>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</si>
  <si>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</si>
  <si>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</si>
  <si>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</si>
  <si>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</si>
  <si>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</si>
  <si>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</si>
  <si>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</si>
  <si>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</si>
  <si>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</si>
  <si>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</si>
  <si>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</si>
  <si>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</si>
  <si>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</si>
  <si>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</si>
  <si>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</si>
  <si>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</si>
  <si>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</si>
  <si>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</si>
  <si>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</si>
  <si>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</si>
  <si>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</si>
  <si>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</si>
  <si>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</si>
  <si>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</si>
  <si>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</si>
  <si>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</si>
  <si>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</si>
  <si>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</si>
  <si>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</si>
  <si>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</si>
  <si>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</si>
  <si>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</si>
  <si>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</si>
  <si>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</si>
  <si>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</si>
  <si>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</si>
  <si>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</si>
  <si>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</si>
  <si>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</si>
  <si>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</si>
  <si>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</si>
  <si>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</si>
  <si>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</si>
  <si>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</si>
  <si>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</si>
  <si>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</si>
  <si>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</si>
  <si>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</si>
  <si>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</si>
  <si>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</si>
  <si>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</si>
  <si>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</si>
  <si>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</si>
  <si>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</si>
  <si>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</si>
  <si>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</si>
  <si>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</si>
  <si>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</si>
  <si>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</si>
  <si>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</si>
  <si>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</si>
  <si>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</si>
  <si>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</si>
  <si>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</si>
  <si>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</si>
  <si>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</si>
  <si>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</si>
  <si>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</si>
  <si>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</si>
  <si>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</si>
  <si>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</si>
  <si>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</si>
  <si>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</si>
  <si>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</si>
  <si>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</si>
  <si>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</si>
  <si>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</si>
  <si>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</si>
  <si>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</si>
  <si>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</si>
  <si>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</si>
  <si>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</si>
  <si>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</si>
  <si>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</si>
  <si>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</si>
  <si>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</si>
  <si>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</si>
  <si>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</si>
  <si>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</si>
  <si>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</si>
  <si>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</si>
  <si>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</si>
  <si>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</si>
  <si>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</si>
  <si>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</si>
  <si>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</si>
  <si>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</si>
  <si>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</si>
  <si>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</si>
  <si>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</si>
  <si>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</si>
  <si>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</si>
  <si>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</si>
  <si>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</si>
  <si>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</si>
  <si>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</si>
  <si>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</si>
  <si>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</si>
  <si>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</si>
  <si>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</si>
  <si>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</si>
  <si>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</si>
  <si>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</si>
  <si>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</si>
  <si>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</si>
  <si>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</si>
  <si>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</si>
  <si>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</si>
  <si>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</si>
  <si>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</si>
  <si>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</si>
  <si>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</si>
  <si>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</si>
  <si>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</si>
  <si>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</si>
  <si>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</si>
  <si>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</si>
  <si>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</si>
  <si>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</si>
  <si>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</si>
  <si>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</si>
  <si>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</si>
  <si>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</si>
  <si>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</si>
  <si>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</si>
  <si>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</si>
  <si>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</si>
  <si>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</si>
  <si>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</si>
  <si>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</si>
  <si>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</si>
  <si>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</si>
  <si>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</si>
  <si>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</si>
  <si>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</si>
  <si>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</si>
  <si>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</si>
  <si>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</si>
  <si>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</si>
  <si>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</si>
  <si>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</si>
  <si>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</si>
  <si>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</si>
  <si>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</si>
  <si>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</si>
  <si>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</si>
  <si>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</si>
  <si>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</si>
  <si>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</si>
  <si>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</si>
  <si>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</si>
  <si>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</si>
  <si>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</si>
  <si>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</si>
  <si>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</si>
  <si>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</si>
  <si>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</si>
  <si>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</si>
  <si>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</si>
  <si>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</si>
  <si>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</si>
  <si>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</si>
  <si>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</si>
  <si>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</si>
  <si>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</si>
  <si>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</si>
  <si>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</si>
  <si>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</si>
  <si>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</si>
  <si>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</si>
  <si>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</si>
  <si>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</si>
  <si>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</si>
  <si>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</si>
  <si>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</si>
  <si>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</si>
  <si>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</si>
  <si>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</si>
  <si>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</si>
  <si>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</si>
  <si>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</si>
  <si>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</si>
  <si>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</si>
  <si>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</si>
  <si>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</si>
  <si>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</si>
  <si>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</si>
  <si>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</si>
  <si>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</si>
  <si>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</si>
  <si>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</si>
  <si>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</si>
  <si>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</si>
  <si>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</si>
  <si>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</si>
  <si>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</si>
  <si>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</si>
  <si>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</si>
  <si>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</si>
  <si>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</si>
  <si>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</si>
  <si>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</si>
  <si>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</si>
  <si>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</si>
  <si>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</si>
  <si>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</si>
  <si>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</si>
  <si>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</si>
  <si>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</si>
  <si>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</si>
  <si>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</si>
  <si>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</si>
  <si>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</si>
  <si>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</si>
  <si>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</si>
  <si>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</si>
  <si>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</si>
  <si>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</si>
  <si>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</si>
  <si>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</si>
  <si>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</si>
  <si>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</si>
  <si>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</si>
  <si>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</si>
  <si>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</si>
  <si>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</si>
  <si>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</si>
  <si>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</si>
  <si>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</si>
  <si>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</si>
  <si>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</si>
  <si>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</si>
  <si>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</si>
  <si>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</si>
  <si>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</si>
  <si>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</si>
  <si>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</si>
  <si>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</si>
  <si>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</si>
  <si>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</si>
  <si>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</si>
  <si>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</si>
  <si>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</si>
  <si>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</si>
  <si>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</si>
  <si>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</si>
  <si>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</si>
  <si>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</si>
  <si>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</si>
  <si>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</si>
  <si>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</si>
  <si>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</si>
  <si>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</si>
  <si>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</si>
  <si>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</si>
  <si>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</si>
  <si>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</si>
  <si>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</si>
  <si>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</si>
  <si>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</si>
  <si>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</si>
  <si>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</si>
  <si>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</si>
  <si>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</si>
  <si>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</si>
  <si>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</si>
  <si>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</si>
  <si>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</si>
  <si>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</si>
  <si>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</si>
  <si>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</si>
  <si>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</si>
  <si>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</si>
  <si>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</si>
  <si>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</si>
  <si>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</si>
  <si>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</si>
  <si>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</si>
  <si>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</si>
  <si>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</si>
  <si>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</si>
  <si>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</si>
  <si>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</si>
  <si>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</si>
  <si>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</si>
  <si>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</si>
  <si>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</si>
  <si>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</si>
  <si>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</si>
  <si>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</si>
  <si>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</si>
  <si>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</si>
  <si>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</si>
  <si>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</si>
  <si>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</si>
  <si>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</si>
  <si>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</si>
  <si>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</si>
  <si>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</si>
  <si>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</si>
  <si>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</si>
  <si>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</si>
  <si>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</si>
  <si>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</si>
  <si>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</si>
  <si>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</si>
  <si>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</si>
  <si>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</si>
  <si>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</si>
  <si>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</si>
  <si>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</si>
  <si>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</si>
  <si>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</si>
  <si>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</si>
  <si>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</si>
  <si>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</si>
  <si>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</si>
  <si>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</si>
  <si>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</si>
  <si>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</si>
  <si>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</si>
  <si>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</si>
  <si>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</si>
  <si>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</si>
  <si>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</si>
  <si>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</si>
  <si>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</si>
  <si>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</si>
  <si>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</si>
  <si>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</si>
  <si>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</si>
  <si>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</si>
  <si>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</si>
  <si>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</si>
  <si>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</si>
  <si>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</si>
  <si>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</si>
  <si>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</si>
  <si>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</si>
  <si>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</si>
  <si>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</si>
  <si>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</si>
  <si>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</si>
  <si>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</si>
  <si>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</si>
  <si>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</si>
  <si>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</si>
  <si>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</si>
  <si>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</si>
  <si>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</si>
  <si>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</si>
  <si>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</si>
  <si>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</si>
  <si>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</si>
  <si>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</si>
  <si>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</si>
  <si>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</si>
  <si>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</si>
  <si>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</si>
  <si>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</si>
  <si>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</si>
  <si>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</si>
  <si>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</si>
  <si>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</si>
  <si>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</si>
  <si>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</si>
  <si>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</si>
  <si>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</si>
  <si>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</si>
  <si>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</si>
  <si>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</si>
  <si>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</si>
  <si>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</si>
  <si>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</si>
  <si>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</si>
  <si>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</si>
  <si>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</si>
  <si>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</si>
  <si>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</si>
  <si>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</si>
  <si>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</si>
  <si>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</si>
  <si>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</si>
  <si>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</si>
  <si>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</si>
  <si>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</si>
  <si>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</si>
  <si>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</si>
  <si>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</si>
  <si>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</si>
  <si>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</si>
  <si>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</si>
  <si>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</si>
  <si>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</si>
  <si>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</si>
  <si>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</si>
  <si>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</si>
  <si>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</si>
  <si>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</si>
  <si>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</si>
  <si>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</si>
  <si>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</si>
  <si>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</si>
  <si>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</si>
  <si>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</si>
  <si>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</si>
  <si>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</si>
  <si>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</si>
  <si>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</si>
  <si>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</si>
  <si>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</si>
  <si>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</si>
  <si>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</si>
  <si>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</si>
  <si>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</si>
  <si>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</si>
  <si>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</si>
  <si>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</si>
  <si>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</si>
  <si>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</si>
  <si>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</si>
  <si>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</si>
  <si>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</si>
  <si>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</si>
  <si>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</si>
  <si>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</si>
  <si>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</si>
  <si>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</si>
  <si>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</si>
  <si>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</si>
  <si>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</si>
  <si>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</si>
  <si>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</si>
  <si>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</si>
  <si>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</si>
  <si>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</si>
  <si>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</si>
  <si>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</si>
  <si>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</si>
  <si>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</si>
  <si>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</si>
  <si>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</si>
  <si>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</si>
  <si>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</si>
  <si>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</si>
  <si>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</si>
  <si>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</si>
  <si>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</si>
  <si>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</si>
  <si>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</si>
  <si>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</si>
  <si>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</si>
  <si>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</si>
  <si>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</si>
  <si>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</si>
  <si>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</si>
  <si>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</si>
  <si>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</si>
  <si>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</si>
  <si>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</si>
  <si>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</si>
  <si>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</si>
  <si>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</si>
  <si>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</si>
  <si>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</si>
  <si>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</si>
  <si>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</si>
  <si>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</si>
  <si>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</si>
  <si>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</si>
  <si>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</si>
  <si>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</si>
  <si>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</si>
  <si>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</si>
  <si>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</si>
  <si>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</si>
  <si>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</si>
  <si>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</si>
  <si>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</si>
  <si>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</si>
  <si>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</si>
  <si>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</si>
  <si>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</si>
  <si>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</si>
  <si>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</si>
  <si>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</si>
  <si>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</si>
  <si>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</si>
  <si>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</si>
  <si>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</si>
  <si>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</si>
  <si>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</si>
  <si>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</si>
  <si>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</si>
  <si>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</si>
  <si>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</si>
  <si>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</si>
  <si>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</si>
  <si>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</si>
  <si>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</si>
  <si>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</si>
  <si>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</si>
  <si>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</si>
  <si>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</si>
  <si>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</si>
  <si>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</si>
  <si>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</si>
  <si>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</si>
  <si>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</si>
  <si>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</si>
  <si>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</si>
  <si>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</si>
  <si>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</si>
  <si>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</si>
  <si>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</si>
  <si>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</si>
  <si>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</si>
  <si>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</si>
  <si>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</si>
  <si>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</si>
  <si>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</si>
  <si>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</si>
  <si>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</si>
  <si>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</si>
  <si>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</si>
  <si>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</si>
  <si>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</si>
  <si>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</si>
  <si>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</si>
  <si>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</si>
  <si>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</si>
  <si>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</si>
  <si>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</si>
  <si>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</si>
  <si>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</si>
  <si>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</si>
  <si>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</si>
  <si>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</si>
  <si>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</si>
  <si>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</si>
  <si>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</si>
  <si>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</si>
  <si>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</si>
  <si>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</si>
  <si>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</si>
  <si>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</si>
  <si>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</si>
  <si>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</si>
  <si>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</si>
  <si>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</si>
  <si>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</si>
  <si>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</si>
  <si>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</si>
  <si>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</si>
  <si>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</si>
  <si>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</si>
  <si>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</si>
  <si>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</si>
  <si>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</si>
  <si>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</si>
  <si>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</si>
  <si>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</si>
  <si>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</si>
  <si>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</si>
  <si>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</si>
  <si>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</si>
  <si>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</si>
  <si>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</si>
  <si>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</si>
  <si>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</si>
  <si>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</si>
  <si>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</si>
  <si>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</si>
  <si>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</si>
  <si>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</si>
  <si>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</si>
  <si>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</si>
  <si>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</si>
  <si>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</si>
  <si>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</si>
  <si>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</si>
  <si>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</si>
  <si>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</si>
  <si>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</si>
  <si>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</si>
  <si>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</si>
  <si>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</si>
  <si>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</si>
  <si>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</si>
  <si>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</si>
  <si>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</si>
  <si>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</si>
  <si>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</si>
  <si>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</si>
  <si>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</si>
  <si>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</si>
  <si>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</si>
  <si>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</si>
  <si>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</si>
  <si>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</si>
  <si>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</si>
  <si>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</si>
  <si>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</si>
  <si>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</si>
  <si>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</si>
  <si>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</si>
  <si>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</si>
  <si>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</si>
  <si>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</si>
  <si>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</si>
  <si>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</si>
  <si>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</si>
  <si>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</si>
  <si>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</si>
  <si>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</si>
  <si>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</si>
  <si>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</si>
  <si>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</si>
  <si>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</si>
  <si>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</si>
  <si>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</si>
  <si>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</si>
  <si>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</si>
  <si>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</si>
  <si>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</si>
  <si>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</si>
  <si>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</si>
  <si>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</si>
  <si>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</si>
  <si>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</si>
  <si>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</si>
  <si>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</si>
  <si>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</si>
  <si>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</si>
  <si>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</si>
  <si>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</si>
  <si>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</si>
  <si>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</si>
  <si>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</si>
  <si>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</si>
  <si>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</si>
  <si>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</si>
  <si>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</si>
  <si>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</si>
  <si>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</si>
  <si>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</si>
  <si>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</si>
  <si>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</si>
  <si>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</si>
  <si>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</si>
  <si>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</si>
  <si>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</si>
  <si>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</si>
  <si>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</si>
  <si>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</si>
  <si>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</si>
  <si>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</si>
  <si>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</si>
  <si>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</si>
  <si>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</si>
  <si>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</si>
  <si>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</si>
  <si>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</si>
  <si>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</si>
  <si>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</si>
  <si>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</si>
  <si>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</si>
  <si>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</si>
  <si>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</si>
  <si>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</si>
  <si>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</si>
  <si>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</si>
  <si>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</si>
  <si>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</si>
  <si>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</si>
  <si>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</si>
  <si>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</si>
  <si>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</si>
  <si>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</si>
  <si>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</si>
  <si>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</si>
  <si>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</si>
  <si>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</si>
  <si>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</si>
  <si>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</si>
  <si>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</si>
  <si>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</si>
  <si>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</si>
  <si>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</si>
  <si>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</si>
  <si>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</si>
  <si>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</si>
  <si>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</si>
  <si>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</si>
  <si>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</si>
  <si>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</si>
  <si>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</si>
  <si>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</si>
  <si>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</si>
  <si>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</si>
  <si>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</si>
  <si>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</si>
  <si>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</si>
  <si>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</si>
  <si>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</si>
  <si>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</si>
  <si>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</si>
  <si>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</si>
  <si>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</si>
  <si>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</si>
  <si>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</si>
  <si>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</si>
  <si>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</si>
  <si>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</si>
  <si>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</si>
  <si>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</si>
  <si>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</si>
  <si>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</si>
  <si>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</si>
  <si>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</si>
  <si>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</si>
  <si>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</si>
  <si>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</si>
  <si>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</si>
  <si>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</si>
  <si>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</si>
  <si>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</si>
  <si>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</si>
  <si>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</si>
  <si>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</si>
  <si>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</si>
  <si>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</si>
  <si>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</si>
  <si>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</si>
  <si>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</si>
  <si>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</si>
  <si>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</si>
  <si>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</si>
  <si>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</si>
  <si>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</si>
  <si>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</si>
  <si>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</si>
  <si>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</si>
  <si>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</si>
  <si>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</si>
  <si>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</si>
  <si>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</si>
  <si>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</si>
  <si>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</si>
  <si>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</si>
  <si>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</si>
  <si>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</si>
  <si>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</si>
  <si>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</si>
  <si>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</si>
  <si>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</si>
  <si>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</si>
  <si>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</si>
  <si>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</si>
  <si>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</si>
  <si>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</si>
  <si>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</si>
  <si>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</si>
  <si>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</si>
  <si>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</si>
  <si>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</si>
  <si>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</si>
  <si>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</si>
  <si>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</si>
  <si>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</si>
  <si>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</si>
  <si>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</si>
  <si>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</si>
  <si>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</si>
  <si>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</si>
  <si>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</si>
  <si>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</si>
  <si>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</si>
  <si>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</si>
  <si>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</si>
  <si>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</si>
  <si>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</si>
  <si>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</si>
  <si>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</si>
  <si>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</si>
  <si>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</si>
  <si>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</si>
  <si>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</si>
  <si>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</si>
  <si>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</si>
  <si>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</si>
  <si>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</si>
  <si>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</si>
  <si>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</si>
  <si>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</si>
  <si>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</si>
  <si>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</si>
  <si>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</si>
  <si>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</si>
  <si>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</si>
  <si>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</si>
  <si>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</si>
  <si>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</si>
  <si>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</si>
  <si>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</si>
  <si>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</si>
  <si>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</si>
  <si>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</si>
  <si>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</si>
  <si>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</si>
  <si>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</si>
  <si>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</si>
  <si>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</si>
  <si>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</si>
  <si>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</si>
  <si>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</si>
  <si>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</si>
  <si>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</si>
  <si>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</si>
  <si>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</si>
  <si>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</si>
  <si>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</si>
  <si>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</si>
  <si>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</si>
  <si>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</si>
  <si>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</si>
  <si>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</si>
  <si>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</si>
  <si>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</si>
  <si>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</si>
  <si>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</si>
  <si>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</si>
  <si>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</si>
  <si>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</si>
  <si>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</si>
  <si>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</si>
  <si>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</si>
  <si>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</si>
  <si>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</si>
  <si>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</si>
  <si>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</si>
  <si>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</si>
  <si>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</si>
  <si>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</si>
  <si>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</si>
  <si>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</si>
  <si>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</si>
  <si>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</si>
  <si>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</si>
  <si>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</si>
  <si>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</si>
  <si>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</si>
  <si>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</si>
  <si>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</si>
  <si>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</si>
  <si>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</si>
  <si>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</si>
  <si>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</si>
  <si>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</si>
  <si>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</si>
  <si>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</si>
  <si>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</si>
  <si>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</si>
  <si>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</si>
  <si>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</si>
  <si>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</si>
  <si>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</si>
  <si>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</si>
  <si>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</si>
  <si>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</si>
  <si>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</si>
  <si>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</si>
  <si>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</si>
  <si>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</si>
  <si>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</si>
  <si>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</si>
  <si>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</si>
  <si>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</si>
  <si>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</si>
  <si>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</si>
  <si>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</si>
  <si>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</si>
  <si>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</si>
  <si>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</si>
  <si>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</si>
  <si>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</si>
  <si>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</si>
  <si>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</si>
  <si>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</si>
  <si>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</si>
  <si>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</si>
  <si>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</si>
  <si>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</si>
  <si>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</si>
  <si>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</si>
  <si>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</si>
  <si>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</si>
  <si>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</si>
  <si>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</si>
  <si>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</si>
  <si>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</si>
  <si>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</si>
  <si>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</si>
  <si>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</si>
  <si>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</si>
  <si>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</si>
  <si>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</si>
  <si>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</si>
  <si>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</si>
  <si>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</si>
  <si>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</si>
  <si>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</si>
  <si>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</si>
  <si>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</si>
  <si>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</si>
  <si>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</si>
  <si>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</si>
  <si>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</si>
  <si>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</si>
  <si>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</si>
  <si>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</si>
  <si>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</si>
  <si>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</si>
  <si>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</si>
  <si>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</si>
  <si>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</si>
  <si>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</si>
  <si>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</si>
  <si>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</si>
  <si>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</si>
  <si>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</si>
  <si>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</si>
  <si>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</si>
  <si>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</si>
  <si>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</si>
  <si>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</si>
  <si>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</si>
  <si>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</si>
  <si>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</si>
  <si>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</si>
  <si>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</si>
  <si>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</si>
  <si>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</si>
  <si>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</si>
  <si>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</si>
  <si>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</si>
  <si>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</si>
  <si>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</si>
  <si>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</si>
  <si>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</si>
  <si>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</si>
  <si>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</si>
  <si>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</si>
  <si>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</si>
  <si>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</si>
  <si>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</si>
  <si>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</si>
  <si>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</si>
  <si>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</si>
  <si>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</si>
  <si>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</si>
  <si>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</si>
  <si>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</si>
  <si>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</si>
  <si>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</si>
  <si>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</si>
  <si>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</si>
  <si>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</si>
  <si>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</si>
  <si>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</si>
  <si>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</si>
  <si>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</si>
  <si>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</si>
  <si>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</si>
  <si>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</si>
  <si>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</si>
  <si>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</si>
  <si>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</si>
  <si>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</si>
  <si>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</si>
  <si>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</si>
  <si>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</si>
  <si>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</si>
  <si>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</si>
  <si>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</si>
  <si>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</si>
  <si>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</si>
  <si>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</si>
  <si>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</si>
  <si>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</si>
  <si>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</si>
  <si>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</si>
  <si>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</si>
  <si>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</si>
  <si>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</si>
  <si>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</si>
  <si>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</si>
  <si>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</si>
  <si>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</si>
  <si>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</si>
  <si>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</si>
  <si>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</si>
  <si>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</si>
  <si>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</si>
  <si>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</si>
  <si>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</si>
  <si>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</si>
  <si>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</si>
  <si>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</si>
  <si>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</si>
  <si>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</si>
  <si>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</si>
  <si>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</si>
  <si>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</si>
  <si>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</si>
  <si>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</si>
  <si>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</si>
  <si>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</si>
  <si>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</si>
  <si>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</si>
  <si>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</si>
  <si>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</si>
  <si>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</si>
  <si>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</si>
  <si>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</si>
  <si>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</si>
  <si>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</si>
  <si>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</si>
  <si>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</si>
  <si>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</si>
  <si>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</si>
  <si>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</si>
  <si>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</si>
  <si>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</si>
  <si>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</si>
  <si>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</si>
  <si>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</si>
  <si>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</si>
  <si>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</si>
  <si>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</si>
  <si>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</si>
  <si>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</si>
  <si>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</si>
  <si>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</si>
  <si>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</si>
  <si>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</si>
  <si>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</si>
  <si>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</si>
  <si>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</si>
  <si>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</si>
  <si>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</si>
  <si>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</si>
  <si>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</si>
  <si>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</si>
  <si>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</si>
  <si>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</si>
  <si>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</si>
  <si>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</si>
  <si>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</si>
  <si>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</si>
  <si>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</si>
  <si>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</si>
  <si>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</si>
  <si>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</si>
  <si>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</si>
  <si>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</si>
  <si>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</si>
  <si>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</si>
  <si>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</si>
  <si>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</si>
  <si>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</si>
  <si>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</si>
  <si>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</si>
  <si>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</si>
  <si>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</si>
  <si>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</si>
  <si>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</si>
  <si>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</si>
  <si>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</si>
  <si>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</si>
  <si>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</si>
  <si>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</si>
  <si>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</si>
  <si>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</si>
  <si>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</si>
  <si>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</si>
  <si>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</si>
  <si>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</si>
  <si>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</si>
  <si>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</si>
  <si>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</si>
  <si>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</si>
  <si>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</si>
  <si>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</si>
  <si>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</si>
  <si>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</si>
  <si>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</si>
  <si>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</si>
  <si>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</si>
  <si>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</si>
  <si>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</si>
  <si>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</si>
  <si>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</si>
  <si>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</si>
  <si>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</si>
  <si>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</si>
  <si>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</si>
  <si>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</si>
  <si>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</si>
  <si>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</si>
  <si>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</si>
  <si>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</si>
  <si>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</si>
  <si>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</si>
  <si>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</si>
  <si>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</si>
  <si>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</si>
  <si>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</si>
  <si>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</si>
  <si>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</si>
  <si>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</si>
  <si>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</si>
  <si>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</si>
  <si>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</si>
  <si>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</si>
  <si>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</si>
  <si>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</si>
  <si>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</si>
  <si>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</si>
  <si>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</si>
  <si>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</si>
  <si>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</si>
  <si>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</si>
  <si>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</si>
  <si>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</si>
  <si>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</si>
  <si>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</si>
  <si>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</si>
  <si>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</si>
  <si>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</si>
  <si>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</si>
  <si>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</si>
  <si>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</si>
  <si>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</si>
  <si>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</si>
  <si>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</si>
  <si>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</si>
  <si>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</si>
  <si>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</si>
  <si>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</si>
  <si>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</si>
  <si>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</si>
  <si>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</si>
  <si>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</si>
  <si>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</si>
  <si>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</si>
  <si>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</si>
  <si>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</si>
  <si>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</si>
  <si>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</si>
  <si>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</si>
  <si>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</si>
  <si>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</si>
  <si>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</si>
  <si>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</si>
  <si>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</si>
  <si>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</si>
  <si>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</si>
  <si>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</si>
  <si>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</si>
  <si>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</si>
  <si>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</si>
  <si>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</si>
  <si>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</si>
  <si>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</si>
  <si>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</si>
  <si>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</si>
  <si>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</si>
  <si>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</si>
  <si>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</si>
  <si>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</si>
  <si>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</si>
  <si>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</si>
  <si>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</si>
  <si>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</si>
  <si>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</si>
  <si>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</si>
  <si>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</si>
  <si>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</si>
  <si>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</si>
  <si>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</si>
  <si>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</si>
  <si>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</si>
  <si>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</si>
  <si>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</si>
  <si>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</si>
  <si>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</si>
  <si>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</si>
  <si>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</si>
  <si>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</si>
  <si>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</si>
  <si>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</si>
  <si>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</si>
  <si>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</si>
  <si>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</si>
  <si>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</si>
  <si>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</si>
  <si>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</si>
  <si>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</si>
  <si>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</si>
  <si>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</si>
  <si>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</si>
  <si>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</si>
  <si>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</si>
  <si>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</si>
  <si>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</si>
  <si>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</si>
  <si>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</si>
  <si>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</si>
  <si>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</si>
  <si>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</si>
  <si>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</si>
  <si>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</si>
  <si>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</si>
  <si>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</si>
  <si>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</si>
  <si>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</si>
  <si>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</si>
  <si>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</si>
  <si>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</si>
  <si>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</si>
  <si>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</si>
  <si>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</si>
  <si>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</si>
  <si>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</si>
  <si>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</si>
  <si>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</si>
  <si>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</si>
  <si>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</si>
  <si>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</si>
  <si>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</si>
  <si>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</si>
  <si>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</si>
  <si>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</si>
  <si>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</si>
  <si>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</si>
  <si>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</si>
  <si>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</si>
  <si>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</si>
  <si>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</si>
  <si>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</si>
  <si>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</si>
  <si>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</si>
  <si>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</si>
  <si>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</si>
  <si>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</si>
  <si>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</si>
  <si>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</si>
  <si>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</si>
  <si>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</si>
  <si>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</si>
  <si>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</si>
  <si>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</si>
  <si>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</si>
  <si>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</si>
  <si>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</si>
  <si>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</si>
  <si>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</si>
  <si>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</si>
  <si>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</si>
  <si>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</si>
  <si>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</si>
  <si>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</si>
  <si>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</si>
  <si>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</si>
  <si>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</si>
  <si>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</si>
  <si>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</si>
  <si>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</si>
  <si>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</si>
  <si>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</si>
  <si>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</si>
  <si>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</si>
  <si>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</si>
  <si>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</si>
  <si>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</si>
  <si>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</si>
  <si>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</si>
  <si>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</si>
  <si>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</si>
  <si>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</si>
  <si>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</si>
  <si>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</si>
  <si>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</si>
  <si>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</si>
  <si>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</si>
  <si>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</si>
  <si>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</si>
  <si>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</si>
  <si>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</si>
  <si>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</si>
  <si>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</si>
  <si>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</si>
  <si>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</si>
  <si>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</si>
  <si>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</si>
  <si>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</si>
  <si>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</si>
  <si>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</si>
  <si>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</si>
  <si>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</si>
  <si>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</si>
  <si>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</si>
  <si>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</si>
  <si>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</si>
  <si>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</si>
  <si>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</si>
  <si>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</si>
  <si>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</si>
  <si>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</si>
  <si>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</si>
  <si>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</si>
  <si>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</si>
  <si>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</si>
  <si>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</si>
  <si>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</si>
  <si>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</si>
  <si>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</si>
  <si>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</si>
  <si>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</si>
  <si>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</si>
  <si>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</si>
  <si>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</si>
  <si>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</si>
  <si>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</si>
  <si>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</si>
  <si>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</si>
  <si>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</si>
  <si>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</si>
  <si>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</si>
  <si>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</si>
  <si>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</si>
  <si>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</si>
  <si>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</si>
  <si>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</si>
  <si>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</si>
  <si>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</si>
  <si>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</si>
  <si>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</si>
  <si>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</si>
  <si>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</si>
  <si>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</si>
  <si>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</si>
  <si>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</si>
  <si>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</si>
  <si>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</si>
  <si>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</si>
  <si>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</si>
  <si>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</si>
  <si>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</si>
  <si>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</si>
  <si>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</si>
  <si>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</si>
  <si>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</si>
  <si>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</si>
  <si>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</si>
  <si>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</si>
  <si>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</si>
  <si>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</si>
  <si>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</si>
  <si>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</si>
  <si>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</si>
  <si>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</si>
  <si>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</si>
  <si>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</si>
  <si>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</si>
  <si>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</si>
  <si>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</si>
  <si>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</si>
  <si>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</si>
  <si>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</si>
  <si>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</si>
  <si>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</si>
  <si>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</si>
  <si>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</si>
  <si>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</si>
  <si>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</si>
  <si>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</si>
  <si>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</si>
  <si>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</si>
  <si>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</si>
  <si>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</si>
  <si>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</si>
  <si>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</si>
  <si>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</si>
  <si>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</si>
  <si>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</si>
  <si>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</si>
  <si>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</si>
  <si>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</si>
  <si>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</si>
  <si>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</si>
  <si>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</si>
  <si>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</si>
  <si>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</si>
  <si>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</si>
  <si>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</si>
  <si>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</si>
  <si>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</si>
  <si>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</si>
  <si>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</si>
  <si>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</si>
  <si>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</si>
  <si>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</si>
  <si>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</si>
  <si>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</si>
  <si>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</si>
  <si>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</si>
  <si>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</si>
  <si>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</si>
  <si>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</si>
  <si>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</si>
  <si>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</si>
  <si>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</si>
  <si>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</si>
  <si>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</si>
  <si>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</si>
  <si>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</si>
  <si>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</si>
  <si>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</si>
  <si>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</si>
  <si>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</si>
  <si>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</si>
  <si>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</si>
  <si>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</si>
  <si>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</si>
  <si>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</si>
  <si>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</si>
  <si>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</si>
  <si>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</si>
  <si>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</si>
  <si>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</si>
  <si>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</si>
  <si>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</si>
  <si>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</si>
  <si>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</si>
  <si>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</si>
  <si>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</si>
  <si>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</si>
  <si>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</si>
  <si>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</si>
  <si>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</si>
  <si>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</si>
  <si>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</si>
  <si>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</si>
  <si>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</si>
  <si>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</si>
  <si>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</si>
  <si>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</si>
  <si>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</si>
  <si>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</si>
  <si>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</si>
  <si>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</si>
  <si>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</si>
  <si>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</si>
  <si>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</si>
  <si>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</si>
  <si>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</si>
  <si>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</si>
  <si>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</si>
  <si>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</si>
  <si>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</si>
  <si>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</si>
  <si>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</si>
  <si>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</si>
  <si>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</si>
  <si>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</si>
  <si>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</si>
  <si>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</si>
  <si>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</si>
  <si>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</si>
  <si>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</si>
  <si>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</si>
  <si>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</si>
  <si>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</si>
  <si>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</si>
  <si>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</si>
  <si>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</si>
  <si>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</si>
  <si>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</si>
  <si>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</si>
  <si>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</si>
  <si>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</si>
  <si>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</si>
  <si>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</si>
  <si>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</si>
  <si>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</si>
  <si>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</si>
  <si>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</si>
  <si>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</si>
  <si>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</si>
  <si>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</si>
  <si>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</si>
  <si>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</si>
  <si>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</si>
  <si>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</si>
  <si>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</si>
  <si>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</si>
  <si>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</si>
  <si>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</si>
  <si>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</si>
  <si>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</si>
  <si>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</si>
  <si>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</si>
  <si>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</si>
  <si>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</si>
  <si>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</si>
  <si>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</si>
  <si>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</si>
  <si>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</si>
  <si>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</si>
  <si>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</si>
  <si>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</si>
  <si>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</si>
  <si>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</si>
  <si>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</si>
  <si>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</si>
  <si>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</si>
  <si>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</si>
  <si>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</si>
  <si>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</si>
  <si>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</si>
  <si>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</si>
  <si>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</si>
  <si>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</si>
  <si>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</si>
  <si>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</si>
  <si>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</si>
  <si>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</si>
  <si>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</si>
  <si>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</si>
  <si>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</si>
  <si>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</si>
  <si>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</si>
  <si>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</si>
  <si>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</si>
  <si>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</si>
  <si>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</si>
  <si>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</si>
  <si>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</si>
  <si>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</si>
  <si>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</si>
  <si>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</si>
  <si>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</si>
  <si>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</si>
  <si>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</si>
  <si>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</si>
  <si>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</si>
  <si>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</si>
  <si>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</si>
  <si>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</si>
  <si>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</si>
  <si>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</si>
  <si>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</si>
  <si>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</si>
  <si>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</si>
  <si>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</si>
  <si>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</si>
  <si>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</si>
  <si>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</si>
  <si>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</si>
  <si>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</si>
  <si>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</si>
  <si>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</si>
  <si>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</si>
  <si>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</si>
  <si>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</si>
  <si>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</si>
  <si>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</si>
  <si>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</si>
  <si>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</si>
  <si>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</si>
  <si>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</si>
  <si>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</si>
  <si>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</si>
  <si>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</si>
  <si>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</si>
  <si>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</si>
  <si>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</si>
  <si>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</si>
  <si>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</si>
  <si>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</si>
  <si>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</si>
  <si>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</si>
  <si>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</si>
  <si>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</si>
  <si>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</si>
  <si>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</si>
  <si>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</si>
  <si>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</si>
  <si>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</si>
  <si>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</si>
  <si>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</si>
  <si>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</si>
  <si>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</si>
  <si>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</si>
  <si>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</si>
  <si>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</si>
  <si>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</si>
  <si>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</si>
  <si>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</si>
  <si>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</si>
  <si>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</si>
  <si>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</si>
  <si>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</si>
  <si>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</si>
  <si>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</si>
  <si>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</si>
  <si>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</si>
  <si>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</si>
  <si>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</si>
  <si>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</si>
  <si>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</si>
  <si>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</si>
  <si>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</si>
  <si>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</si>
  <si>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</si>
  <si>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</si>
  <si>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</si>
  <si>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</si>
  <si>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</si>
  <si>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</si>
  <si>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</si>
  <si>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</si>
  <si>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</si>
  <si>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</si>
  <si>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</si>
  <si>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</si>
  <si>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</si>
  <si>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</si>
  <si>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</si>
  <si>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</si>
  <si>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</si>
  <si>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</si>
  <si>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</si>
  <si>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</si>
  <si>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</si>
  <si>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</si>
  <si>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</si>
  <si>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</si>
  <si>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</si>
  <si>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</si>
  <si>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</si>
  <si>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</si>
  <si>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</si>
  <si>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</si>
  <si>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</si>
  <si>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</si>
  <si>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</si>
  <si>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</si>
  <si>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</si>
  <si>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</si>
  <si>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</si>
  <si>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</si>
  <si>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</si>
  <si>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</si>
  <si>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</si>
  <si>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</si>
  <si>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</si>
  <si>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</si>
  <si>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</si>
  <si>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</si>
  <si>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</si>
  <si>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</si>
  <si>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</si>
  <si>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</si>
  <si>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</si>
  <si>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</si>
  <si>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</si>
  <si>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</si>
  <si>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</si>
  <si>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</si>
  <si>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</si>
  <si>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</si>
  <si>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</si>
  <si>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</si>
  <si>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</si>
  <si>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</si>
  <si>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</si>
  <si>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</si>
  <si>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</si>
  <si>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</si>
  <si>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</si>
  <si>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</si>
  <si>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</si>
  <si>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</si>
  <si>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</si>
  <si>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</si>
  <si>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</si>
  <si>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</si>
  <si>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</si>
  <si>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</si>
  <si>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</si>
  <si>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</si>
  <si>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</si>
  <si>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</si>
  <si>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</si>
  <si>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</si>
  <si>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</si>
  <si>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</si>
  <si>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</si>
  <si>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</si>
  <si>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</si>
  <si>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</si>
  <si>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</si>
  <si>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</si>
  <si>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</si>
  <si>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</si>
  <si>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</si>
  <si>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</si>
  <si>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</si>
  <si>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</si>
  <si>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</si>
  <si>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</si>
  <si>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</si>
  <si>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</si>
  <si>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</si>
  <si>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</si>
  <si>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</si>
  <si>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</si>
  <si>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</si>
  <si>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</si>
  <si>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</si>
  <si>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</si>
  <si>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</si>
  <si>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</si>
  <si>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</si>
  <si>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</si>
  <si>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</si>
  <si>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</si>
  <si>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</si>
  <si>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</si>
  <si>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</si>
  <si>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</si>
  <si>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</si>
  <si>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</si>
  <si>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</si>
  <si>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</si>
  <si>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</si>
  <si>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</si>
  <si>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</si>
  <si>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</si>
  <si>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</si>
  <si>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</si>
  <si>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</si>
  <si>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</si>
  <si>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</si>
  <si>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</si>
  <si>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</si>
  <si>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</si>
  <si>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</si>
  <si>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</si>
  <si>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</si>
  <si>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</si>
  <si>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</si>
  <si>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</si>
  <si>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</si>
  <si>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</si>
  <si>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</si>
  <si>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</si>
  <si>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</si>
  <si>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</si>
  <si>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</si>
  <si>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</si>
  <si>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</si>
  <si>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</si>
  <si>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</si>
  <si>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</si>
  <si>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</si>
  <si>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</si>
  <si>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</si>
  <si>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</si>
  <si>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</si>
  <si>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</si>
  <si>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</si>
  <si>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</si>
  <si>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</si>
  <si>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</si>
  <si>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</si>
  <si>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</si>
  <si>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</si>
  <si>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</si>
  <si>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</si>
  <si>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</si>
  <si>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</si>
  <si>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</si>
  <si>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</si>
  <si>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</si>
  <si>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</si>
  <si>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</si>
  <si>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</si>
  <si>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</si>
  <si>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</si>
  <si>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</si>
  <si>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</si>
  <si>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</si>
  <si>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</si>
  <si>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</si>
  <si>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</si>
  <si>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</si>
  <si>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</si>
  <si>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</si>
  <si>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</si>
  <si>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</si>
  <si>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</si>
  <si>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</si>
  <si>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</si>
  <si>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</si>
  <si>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</si>
  <si>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</si>
  <si>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</si>
  <si>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</si>
  <si>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</si>
  <si>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</si>
  <si>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</si>
  <si>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</si>
  <si>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</si>
  <si>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</si>
  <si>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</si>
  <si>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</si>
  <si>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</si>
  <si>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</si>
  <si>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</si>
  <si>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</si>
  <si>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</si>
  <si>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</si>
  <si>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</si>
  <si>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</si>
  <si>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</si>
  <si>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</si>
  <si>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</si>
  <si>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</si>
  <si>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</si>
  <si>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</si>
  <si>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</si>
  <si>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</si>
  <si>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</si>
  <si>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</si>
  <si>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</si>
  <si>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</si>
  <si>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</si>
  <si>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</si>
  <si>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</si>
  <si>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</si>
  <si>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</si>
  <si>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</si>
  <si>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</si>
  <si>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</si>
  <si>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</si>
  <si>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</si>
  <si>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</si>
  <si>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是</t>
  </si>
  <si>
    <t>地上</t>
  </si>
  <si>
    <t>成新度</t>
  </si>
  <si>
    <t>收益法 (元)</t>
  </si>
  <si>
    <t>押一</t>
  </si>
  <si>
    <t>钢混</t>
  </si>
  <si>
    <t>非生产用房</t>
  </si>
  <si>
    <t>否</t>
  </si>
  <si>
    <t>单套模式</t>
  </si>
  <si>
    <t>售价</t>
  </si>
  <si>
    <t>金融街长安中心</t>
    <phoneticPr fontId="3" type="noConversion"/>
  </si>
  <si>
    <t>正常</t>
  </si>
  <si>
    <t>一般</t>
  </si>
  <si>
    <t>较好</t>
  </si>
  <si>
    <t>七通</t>
  </si>
  <si>
    <t>高区</t>
    <phoneticPr fontId="3" type="noConversion"/>
  </si>
  <si>
    <t>中区</t>
    <phoneticPr fontId="3" type="noConversion"/>
  </si>
  <si>
    <t>低区</t>
    <phoneticPr fontId="3" type="noConversion"/>
  </si>
  <si>
    <t>中区</t>
  </si>
  <si>
    <t>标准写字楼</t>
  </si>
  <si>
    <t>标准写字楼</t>
    <phoneticPr fontId="31" type="noConversion"/>
  </si>
  <si>
    <t>钢混</t>
    <phoneticPr fontId="31" type="noConversion"/>
  </si>
  <si>
    <t>精装</t>
    <phoneticPr fontId="3" type="noConversion"/>
  </si>
  <si>
    <t>普装</t>
    <phoneticPr fontId="3" type="noConversion"/>
  </si>
  <si>
    <t>简装</t>
    <phoneticPr fontId="3" type="noConversion"/>
  </si>
  <si>
    <t>毛坯</t>
    <phoneticPr fontId="3" type="noConversion"/>
  </si>
  <si>
    <t>专业</t>
  </si>
  <si>
    <t>专业</t>
    <phoneticPr fontId="31" type="noConversion"/>
  </si>
  <si>
    <t>精装</t>
  </si>
  <si>
    <t>比较法-办公</t>
  </si>
  <si>
    <t xml:space="preserve">市调 </t>
    <phoneticPr fontId="134" type="noConversion"/>
  </si>
  <si>
    <r>
      <t>融科创意中心中间层3</t>
    </r>
    <r>
      <rPr>
        <sz val="11"/>
        <color theme="1"/>
        <rFont val="宋体"/>
        <family val="3"/>
        <charset val="134"/>
        <scheme val="minor"/>
      </rPr>
      <t>50平米，单价29000.</t>
    </r>
    <phoneticPr fontId="134" type="noConversion"/>
  </si>
  <si>
    <t>租金4块钱</t>
    <phoneticPr fontId="134" type="noConversion"/>
  </si>
  <si>
    <t>挂牌</t>
  </si>
  <si>
    <t>挂牌</t>
    <phoneticPr fontId="31" type="noConversion"/>
  </si>
  <si>
    <t>中海寰宇天下天赋</t>
    <phoneticPr fontId="134" type="noConversion"/>
  </si>
  <si>
    <t>低区</t>
  </si>
  <si>
    <t>楼面单价</t>
  </si>
  <si>
    <t>情况4</t>
  </si>
  <si>
    <t>转让取得</t>
  </si>
  <si>
    <t>非个人房产</t>
  </si>
  <si>
    <t>买卖合同</t>
  </si>
  <si>
    <t>2016年5月1日前购买</t>
  </si>
  <si>
    <t>商业</t>
    <phoneticPr fontId="31" type="noConversion"/>
  </si>
  <si>
    <t>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</si>
</sst>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503905</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361905" cy="2742857"/>
        </a:xfrm>
        <a:prstGeom prst="rect">
          <a:avLst/>
        </a:prstGeom>
      </xdr:spPr>
    </xdr:pic>
    <xdr:clientData/>
  </xdr:twoCellAnchor>
  <xdr:twoCellAnchor editAs="oneCell">
    <xdr:from>
      <xdr:col>1</xdr:col>
      <xdr:colOff>9525</xdr:colOff>
      <xdr:row>17</xdr:row>
      <xdr:rowOff>38100</xdr:rowOff>
    </xdr:from>
    <xdr:to>
      <xdr:col>11</xdr:col>
      <xdr:colOff>503906</xdr:colOff>
      <xdr:row>32</xdr:row>
      <xdr:rowOff>171112</xdr:rowOff>
    </xdr:to>
    <xdr:pic>
      <xdr:nvPicPr>
        <xdr:cNvPr id="3" name="图片 2"/>
        <xdr:cNvPicPr>
          <a:picLocks noChangeAspect="1"/>
        </xdr:cNvPicPr>
      </xdr:nvPicPr>
      <xdr:blipFill>
        <a:blip xmlns:r="http://schemas.openxmlformats.org/officeDocument/2006/relationships" r:embed="rId2"/>
        <a:stretch>
          <a:fillRect/>
        </a:stretch>
      </xdr:blipFill>
      <xdr:spPr>
        <a:xfrm>
          <a:off x="695325" y="2952750"/>
          <a:ext cx="7352381" cy="2704762"/>
        </a:xfrm>
        <a:prstGeom prst="rect">
          <a:avLst/>
        </a:prstGeom>
      </xdr:spPr>
    </xdr:pic>
    <xdr:clientData/>
  </xdr:twoCellAnchor>
  <xdr:twoCellAnchor editAs="oneCell">
    <xdr:from>
      <xdr:col>1</xdr:col>
      <xdr:colOff>0</xdr:colOff>
      <xdr:row>33</xdr:row>
      <xdr:rowOff>0</xdr:rowOff>
    </xdr:from>
    <xdr:to>
      <xdr:col>11</xdr:col>
      <xdr:colOff>256286</xdr:colOff>
      <xdr:row>57</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657850"/>
          <a:ext cx="7114286"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北京市石景山区八角东街65号院主楼北座2号楼1102、1103、1104房地产抵押价值预评估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受贵公司委托，我公司对北京市石景山区八角东街65号院主楼北座2号楼1102、1103、1104房地产抵押价值进行了预评估。</v>
      </c>
    </row>
    <row r="7" spans="1:2" s="1203" customFormat="1">
      <c r="A7" s="1201" t="s">
        <v>566</v>
      </c>
      <c r="B7" s="1202" t="str">
        <f>'预评函-1'!A7</f>
        <v>估价对象为北京市石景山区八角东街65号院主楼北座2号楼1102、1103、1104房地产，为所有。根据《国有土地使用证》[]，估价对象（分摊）出让国有建设用地使用权面积为0平方米，建筑面积为820.19平方米。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2024年5月23日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698</v>
      </c>
    </row>
    <row r="21" spans="1:2" s="1203" customFormat="1">
      <c r="A21" s="1201" t="s">
        <v>537</v>
      </c>
      <c r="B21" s="1202">
        <f ca="1">'预评函-2'!D7</f>
        <v>27068</v>
      </c>
    </row>
    <row r="22" spans="1:2" s="1203" customFormat="1">
      <c r="A22" s="1201" t="s">
        <v>538</v>
      </c>
      <c r="B22" s="1202" t="str">
        <f ca="1">'预评函-2'!D6</f>
        <v>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698</v>
      </c>
    </row>
    <row r="31" spans="1:2" s="1203" customFormat="1">
      <c r="A31" s="1201" t="s">
        <v>576</v>
      </c>
      <c r="B31" s="1202">
        <f ca="1">'预评函-2'!D15</f>
        <v>27068</v>
      </c>
    </row>
    <row r="32" spans="1:2" s="1203" customFormat="1">
      <c r="A32" s="1201" t="s">
        <v>543</v>
      </c>
      <c r="B32" s="1202" t="str">
        <f ca="1">'预评函-2'!D14</f>
        <v>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北京市石景山区八角东街65号院主楼北座2号楼1102、1103、1104房地产</v>
      </c>
    </row>
    <row r="42" spans="1:2" s="1203" customFormat="1">
      <c r="A42" s="1201" t="s">
        <v>590</v>
      </c>
      <c r="B42" s="1202" t="str">
        <f>'预评函-3'!B2</f>
        <v>建筑面积</v>
      </c>
    </row>
    <row r="43" spans="1:2" s="1203" customFormat="1">
      <c r="A43" s="1201" t="s">
        <v>591</v>
      </c>
      <c r="B43" s="1202">
        <f>'预评函-3'!B4</f>
        <v>820.19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3351</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3337</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3338</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3339</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3340</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3341</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3342</v>
      </c>
    </row>
    <row r="8" spans="1:23">
      <c r="A8" s="1546" t="s">
        <v>1023</v>
      </c>
      <c r="B8" s="1546" t="s">
        <v>1024</v>
      </c>
      <c r="C8" s="1547" t="s">
        <v>319</v>
      </c>
      <c r="F8" s="1548" t="s">
        <v>1025</v>
      </c>
      <c r="H8" s="1548" t="s">
        <v>2577</v>
      </c>
      <c r="I8" s="1548" t="s">
        <v>3343</v>
      </c>
    </row>
    <row r="9" spans="1:23">
      <c r="A9" s="1546" t="s">
        <v>1026</v>
      </c>
      <c r="B9" s="1546" t="s">
        <v>1027</v>
      </c>
      <c r="C9" s="1547" t="s">
        <v>320</v>
      </c>
      <c r="F9" s="1548" t="s">
        <v>1028</v>
      </c>
      <c r="H9" s="1548"/>
      <c r="I9" s="1551" t="s">
        <v>3344</v>
      </c>
    </row>
    <row r="10" spans="1:23">
      <c r="A10" s="1546" t="s">
        <v>1029</v>
      </c>
      <c r="B10" s="1546" t="s">
        <v>1030</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45435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23"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北京市石景山区八角东街65号院主楼北座2号楼1102、1103、1104房地产</v>
      </c>
      <c r="T2" s="1745"/>
      <c r="U2" s="1745"/>
      <c r="V2" s="1745"/>
      <c r="W2" s="1745"/>
      <c r="X2" s="1745"/>
      <c r="Y2" s="1745"/>
      <c r="Z2" s="1745"/>
      <c r="AA2" s="1745"/>
      <c r="AB2" s="1745"/>
    </row>
    <row r="3" spans="1:30">
      <c r="A3" s="302" t="s">
        <v>2166</v>
      </c>
      <c r="B3" s="2373"/>
      <c r="C3" s="2374" t="s">
        <v>2167</v>
      </c>
      <c r="D3" s="2373">
        <v>45435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26" t="s">
        <v>2173</v>
      </c>
      <c r="E8" s="2391" t="s">
        <v>3380</v>
      </c>
      <c r="F8" s="2392"/>
      <c r="G8" s="2663"/>
      <c r="H8" s="2663"/>
      <c r="I8" s="2663"/>
      <c r="J8" s="2439"/>
      <c r="K8" s="2614"/>
      <c r="L8" s="2613"/>
      <c r="M8" s="2613"/>
      <c r="N8" s="2439"/>
      <c r="O8" s="2450"/>
      <c r="P8" s="2439"/>
      <c r="Q8" s="2439"/>
      <c r="R8" s="2439"/>
    </row>
    <row r="9" spans="1:30" ht="13.5" thickBot="1">
      <c r="A9" s="2393" t="s">
        <v>2174</v>
      </c>
      <c r="B9" s="2394" t="s">
        <v>3380</v>
      </c>
      <c r="C9" s="2395"/>
      <c r="D9" s="3527"/>
      <c r="E9" s="2394" t="s">
        <v>43</v>
      </c>
      <c r="F9" s="2396"/>
      <c r="G9" s="2665"/>
      <c r="H9" s="2665"/>
      <c r="I9" s="2665"/>
      <c r="J9" s="2439"/>
      <c r="K9" s="2616"/>
      <c r="L9" s="2613"/>
      <c r="M9" s="2613"/>
      <c r="N9" s="2439"/>
      <c r="O9" s="2450"/>
      <c r="P9" s="2439"/>
      <c r="Q9" s="2439"/>
      <c r="R9" s="2439"/>
    </row>
    <row r="10" spans="1:30" ht="13.5" thickTop="1">
      <c r="A10" s="2397" t="s">
        <v>2175</v>
      </c>
      <c r="B10" s="2398" t="s">
        <v>3381</v>
      </c>
      <c r="C10" s="2399"/>
      <c r="D10" s="2382"/>
      <c r="E10" s="2400" t="s">
        <v>2176</v>
      </c>
      <c r="F10" s="2666" t="s">
        <v>3383</v>
      </c>
      <c r="G10" s="2667"/>
      <c r="H10" s="2668"/>
      <c r="I10" s="2669"/>
      <c r="J10" s="2439"/>
      <c r="K10" s="2616"/>
      <c r="L10" s="2613"/>
      <c r="M10" s="2613"/>
      <c r="N10" s="2439"/>
      <c r="O10" s="2450"/>
      <c r="P10" s="2439"/>
      <c r="Q10" s="2439"/>
      <c r="R10" s="2439"/>
    </row>
    <row r="11" spans="1:30">
      <c r="A11" s="2401" t="s">
        <v>2177</v>
      </c>
      <c r="B11" s="2402" t="s">
        <v>3382</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2576</v>
      </c>
      <c r="J12" s="3062"/>
      <c r="K12" s="2613"/>
      <c r="L12" s="2613"/>
      <c r="M12" s="2439"/>
      <c r="N12" s="2450"/>
      <c r="O12" s="2439"/>
      <c r="P12" s="2439"/>
      <c r="Q12" s="2439"/>
      <c r="AD12" s="1745"/>
    </row>
    <row r="13" spans="1:30">
      <c r="A13" s="3423" t="s">
        <v>3332</v>
      </c>
      <c r="B13" s="2407" t="s">
        <v>2186</v>
      </c>
      <c r="C13" s="856"/>
      <c r="D13" s="856">
        <v>54763</v>
      </c>
      <c r="E13" s="856"/>
      <c r="F13" s="856"/>
      <c r="G13" s="856"/>
      <c r="H13" s="856"/>
      <c r="I13" s="856"/>
      <c r="J13" s="3062"/>
      <c r="K13" s="2613"/>
      <c r="L13" s="2613"/>
      <c r="M13" s="2439"/>
      <c r="N13" s="2450"/>
      <c r="O13" s="2439"/>
      <c r="P13" s="2439"/>
      <c r="Q13" s="2439"/>
      <c r="AD13" s="1745"/>
    </row>
    <row r="14" spans="1:30">
      <c r="A14" s="1081"/>
      <c r="B14" s="2407" t="s">
        <v>2187</v>
      </c>
      <c r="C14" s="2408"/>
      <c r="D14" s="2408">
        <v>40</v>
      </c>
      <c r="E14" s="2408"/>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25.55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33"/>
      <c r="C16" s="3534"/>
      <c r="D16" s="3535"/>
      <c r="E16" s="2413" t="s">
        <v>2190</v>
      </c>
      <c r="F16" s="3536"/>
      <c r="G16" s="3537"/>
      <c r="H16" s="3537"/>
      <c r="I16" s="3538"/>
      <c r="J16" s="2439"/>
      <c r="K16" s="2617"/>
      <c r="L16" s="2451"/>
      <c r="M16" s="2451"/>
      <c r="N16" s="2509"/>
      <c r="O16" s="2451"/>
      <c r="P16" s="2509"/>
      <c r="Q16" s="2439"/>
      <c r="R16" s="2439"/>
    </row>
    <row r="17" spans="1:28">
      <c r="A17" s="313" t="s">
        <v>2191</v>
      </c>
      <c r="B17" s="302" t="s">
        <v>2192</v>
      </c>
      <c r="C17" s="8">
        <f>'数据-汇总表'!E3</f>
        <v>820.19</v>
      </c>
      <c r="D17" s="2322" t="s">
        <v>2193</v>
      </c>
      <c r="E17" s="3539" t="s">
        <v>2194</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0</v>
      </c>
      <c r="D18" s="1092" t="s">
        <v>2197</v>
      </c>
      <c r="E18" s="3542" t="s">
        <v>2198</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29" t="s">
        <v>2202</v>
      </c>
      <c r="C20" s="3530"/>
      <c r="D20" s="3531" t="s">
        <v>2203</v>
      </c>
      <c r="E20" s="3532"/>
      <c r="F20" s="2647" t="s">
        <v>1053</v>
      </c>
      <c r="G20" s="2664"/>
      <c r="H20" s="2664"/>
      <c r="I20" s="2664"/>
      <c r="J20" s="2439"/>
      <c r="K20" s="3528"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2214</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15" t="s">
        <v>2224</v>
      </c>
      <c r="T34" s="2428" t="str">
        <f>NUMBERSTRING(7-K34,1)&amp;"通"</f>
        <v>七通</v>
      </c>
      <c r="U34" s="2439"/>
      <c r="V34" s="2439"/>
    </row>
    <row r="35" spans="1:30">
      <c r="A35" s="2429"/>
      <c r="B35" s="3522" t="s">
        <v>2225</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2579</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820.19</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820.19</v>
      </c>
      <c r="H5" s="13">
        <f t="shared" ref="H5:AT5" si="0">SUM(H13:H656)</f>
        <v>820.19</v>
      </c>
      <c r="I5" s="13">
        <f t="shared" si="0"/>
        <v>820.19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820.19</v>
      </c>
      <c r="BA5" s="15">
        <f t="shared" si="1"/>
        <v>820.19</v>
      </c>
      <c r="BB5" s="15">
        <f t="shared" si="1"/>
        <v>820.19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3385</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1102</v>
      </c>
      <c r="D13" s="1625" t="s">
        <v>3384</v>
      </c>
      <c r="E13" s="13">
        <f>IF($C$3="是",ROUND($A$3*G13/$B$3,2),ROUND($A$3*(G13-AT13)/$B$3,2))</f>
        <v>0</v>
      </c>
      <c r="F13" s="29"/>
      <c r="G13" s="30">
        <f>H13+AC13+AT13</f>
        <v>257.75</v>
      </c>
      <c r="H13" s="17">
        <f>SUMIF(I$12:AB$12,"总值",I13:AB13)</f>
        <v>257.75</v>
      </c>
      <c r="I13" s="1626">
        <v>257.75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1102</v>
      </c>
      <c r="AY13" s="1349">
        <f>ROUND($AY$6*AZ13/$AZ$5,2)</f>
        <v>0</v>
      </c>
      <c r="AZ13" s="13">
        <f>BA13+BL13</f>
        <v>257.75</v>
      </c>
      <c r="BA13" s="13">
        <f>SUM(BB13:BK13)</f>
        <v>257.75</v>
      </c>
      <c r="BB13" s="13">
        <f>IF($D13="是",I13-J13,0)</f>
        <v>257.75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1103</v>
      </c>
      <c r="D14" s="1625" t="s">
        <v>3384</v>
      </c>
      <c r="E14" s="13">
        <f>IF($C$3="是",ROUND($A$3*G14/$B$3,2),ROUND($A$3*(G14-AT14)/$B$3,2))</f>
        <v>0</v>
      </c>
      <c r="F14" s="29"/>
      <c r="G14" s="30">
        <f>H14+AC14+AT14</f>
        <v>302.77999999999997</v>
      </c>
      <c r="H14" s="17">
        <f>SUMIF(I$12:AB$12,"总值",I14:AB14)</f>
        <v>302.77999999999997</v>
      </c>
      <c r="I14" s="1626">
        <v>302.77999999999997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1103</v>
      </c>
      <c r="AY14" s="1349">
        <f>ROUND($AY$6*AZ14/$AZ$5,2)</f>
        <v>0</v>
      </c>
      <c r="AZ14" s="13">
        <f>BA14+BL14</f>
        <v>302.77999999999997</v>
      </c>
      <c r="BA14" s="13">
        <f>SUM(BB14:BK14)</f>
        <v>302.77999999999997</v>
      </c>
      <c r="BB14" s="13">
        <f>IF($D14="是",I14-J14,0)</f>
        <v>302.77999999999997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1104</v>
      </c>
      <c r="D15" s="1625" t="s">
        <v>3384</v>
      </c>
      <c r="E15" s="13">
        <f>IF($C$3="是",ROUND($A$3*G15/$B$3,2),ROUND($A$3*(G15-AT15)/$B$3,2))</f>
        <v>0</v>
      </c>
      <c r="F15" s="29"/>
      <c r="G15" s="30">
        <f>H15+AC15+AT15</f>
        <v>259.66000000000003</v>
      </c>
      <c r="H15" s="17">
        <f>SUMIF(I$12:AB$12,"总值",I15:AB15)</f>
        <v>259.66000000000003</v>
      </c>
      <c r="I15" s="1626">
        <v>259.66000000000003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1104</v>
      </c>
      <c r="AY15" s="1349">
        <f>ROUND($AY$6*AZ15/$AZ$5,2)</f>
        <v>0</v>
      </c>
      <c r="AZ15" s="13">
        <f>BA15+BL15</f>
        <v>259.66000000000003</v>
      </c>
      <c r="BA15" s="13">
        <f>SUM(BB15:BK15)</f>
        <v>259.66000000000003</v>
      </c>
      <c r="BB15" s="13">
        <f>IF($D15="是",I15-J15,0)</f>
        <v>259.66000000000003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54" t="s">
        <v>1128</v>
      </c>
      <c r="B2" s="3554"/>
      <c r="C2" s="3554"/>
      <c r="D2" s="796" t="s">
        <v>1104</v>
      </c>
      <c r="E2" s="1639" t="s">
        <v>1105</v>
      </c>
      <c r="F2" s="2659"/>
      <c r="G2" s="2650"/>
      <c r="H2" s="2651"/>
      <c r="I2" s="2325" t="s">
        <v>1129</v>
      </c>
      <c r="J2" s="2659"/>
      <c r="K2" s="2659"/>
      <c r="L2" s="2659"/>
      <c r="M2" s="2659"/>
      <c r="N2" s="2661"/>
      <c r="O2" s="2659"/>
      <c r="P2" s="2659"/>
    </row>
    <row r="3" spans="1:16" ht="15.75" thickBot="1">
      <c r="A3" s="3555" t="s">
        <v>1102</v>
      </c>
      <c r="B3" s="3555"/>
      <c r="C3" s="3555"/>
      <c r="D3" s="43">
        <f>'数据-基础表'!AY6</f>
        <v>0</v>
      </c>
      <c r="E3" s="43">
        <f>'数据-基础表'!AZ5</f>
        <v>820.19</v>
      </c>
      <c r="F3" s="2659"/>
      <c r="G3" s="1145"/>
      <c r="H3" s="1026" t="s">
        <v>1103</v>
      </c>
      <c r="I3" s="855" t="e">
        <f>ROUND('数据-基础表'!B3/'数据-基础表'!A3,2)</f>
        <v>#DIV/0!</v>
      </c>
      <c r="J3" s="2659"/>
      <c r="K3" s="2659"/>
      <c r="L3" s="2659"/>
      <c r="M3" s="2659"/>
      <c r="N3" s="2661"/>
      <c r="O3" s="2659"/>
      <c r="P3" s="2659"/>
    </row>
    <row r="4" spans="1:16" ht="15">
      <c r="A4" s="3556"/>
      <c r="B4" s="3557"/>
      <c r="C4" s="3558"/>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59" t="s">
        <v>1107</v>
      </c>
      <c r="C5" s="3559"/>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59" t="s">
        <v>1108</v>
      </c>
      <c r="C6" s="3559"/>
      <c r="D6" s="45">
        <f>ROUND($D$3*E6/$E$3,2)</f>
        <v>0</v>
      </c>
      <c r="E6" s="46">
        <f>E3-E5</f>
        <v>820.19</v>
      </c>
      <c r="F6" s="2659"/>
      <c r="G6" s="2653" t="s">
        <v>1109</v>
      </c>
      <c r="H6" s="1146" t="s">
        <v>1110</v>
      </c>
      <c r="I6" s="2654" t="e">
        <f>ROUND(F31/D31,2)</f>
        <v>#DIV/0!</v>
      </c>
      <c r="J6" s="2659"/>
      <c r="K6" s="2659"/>
      <c r="L6" s="2659"/>
      <c r="M6" s="2659"/>
      <c r="N6" s="2659"/>
      <c r="O6" s="2659"/>
      <c r="P6" s="2659"/>
    </row>
    <row r="7" spans="1:16" ht="15.75" thickBot="1">
      <c r="A7" s="3551"/>
      <c r="B7" s="3552"/>
      <c r="C7" s="3553"/>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820.19</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820.19</v>
      </c>
      <c r="F16" s="2659"/>
      <c r="G16" s="2660"/>
      <c r="H16" s="1648" t="s">
        <v>1132</v>
      </c>
      <c r="I16" s="1649"/>
      <c r="J16" s="1139"/>
      <c r="K16" s="3548" t="s">
        <v>1132</v>
      </c>
      <c r="L16" s="3549"/>
      <c r="M16" s="3549"/>
      <c r="N16" s="3549"/>
      <c r="O16" s="3549"/>
      <c r="P16" s="3550"/>
    </row>
    <row r="17" spans="1:19" ht="15">
      <c r="A17" s="1650" t="s">
        <v>1133</v>
      </c>
      <c r="B17" s="1651" t="s">
        <v>1134</v>
      </c>
      <c r="C17" s="1652" t="s">
        <v>1135</v>
      </c>
      <c r="D17" s="1653" t="s">
        <v>1123</v>
      </c>
      <c r="E17" s="1654" t="s">
        <v>1124</v>
      </c>
      <c r="F17" s="1655"/>
      <c r="G17" s="1656"/>
      <c r="H17" s="1657" t="s">
        <v>1136</v>
      </c>
      <c r="I17" s="1658" t="s">
        <v>1121</v>
      </c>
      <c r="J17" s="1139"/>
      <c r="K17" s="3545" t="s">
        <v>1137</v>
      </c>
      <c r="L17" s="3546"/>
      <c r="M17" s="3547"/>
      <c r="N17" s="3545" t="s">
        <v>1138</v>
      </c>
      <c r="O17" s="3546"/>
      <c r="P17" s="3547"/>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v>1102</v>
      </c>
      <c r="D19" s="45">
        <f>ROUND($D$3*E19/$E$3,2)</f>
        <v>0</v>
      </c>
      <c r="E19" s="53">
        <f t="shared" ref="E19:E26" si="1">SUM(F19:G19)</f>
        <v>257.75</v>
      </c>
      <c r="F19" s="2795">
        <f>'数据-基础表'!I13</f>
        <v>257.75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257.75</v>
      </c>
    </row>
    <row r="20" spans="1:19">
      <c r="A20" s="1670"/>
      <c r="B20" s="47" t="s">
        <v>1150</v>
      </c>
      <c r="C20" s="3417">
        <v>1103</v>
      </c>
      <c r="D20" s="45">
        <f t="shared" ref="D20:D26" si="6">ROUND($D$3*E20/$E$3,2)</f>
        <v>0</v>
      </c>
      <c r="E20" s="53">
        <f t="shared" si="1"/>
        <v>302.77999999999997</v>
      </c>
      <c r="F20" s="2795">
        <f>'数据-基础表'!I14</f>
        <v>302.77999999999997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302.77999999999997</v>
      </c>
    </row>
    <row r="21" spans="1:19">
      <c r="A21" s="1670"/>
      <c r="B21" s="47" t="s">
        <v>1150</v>
      </c>
      <c r="C21" s="3417">
        <v>1104</v>
      </c>
      <c r="D21" s="45">
        <f t="shared" si="6"/>
        <v>0</v>
      </c>
      <c r="E21" s="53">
        <f t="shared" si="1"/>
        <v>259.66000000000003</v>
      </c>
      <c r="F21" s="2795">
        <f>'数据-基础表'!I15</f>
        <v>259.66000000000003</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259.66000000000003</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820.19</v>
      </c>
      <c r="F27" s="1140">
        <f>IF(SUM(F19:F26)=E8,SUM(F19:F26),"地上面积有误")</f>
        <v>820.19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820.19</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820.19</v>
      </c>
      <c r="F31" s="677">
        <f>F27+F30</f>
        <v>820.19</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3386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1102</v>
      </c>
      <c r="B6" s="1713" t="str">
        <f>IF(A6=0,"","经营性")</f>
        <v>经营性</v>
      </c>
      <c r="C6" s="1714" t="s">
        <v>670</v>
      </c>
      <c r="D6" s="858">
        <f>SUMIF(项目基本情况!C$12:I$12,C6,项目基本情况!C$14:I$14)</f>
        <v>40</v>
      </c>
      <c r="E6" s="857">
        <f>IF(B6="","",SUMIF(项目基本情况!C$12:I$12,C6,项目基本情况!C$13:I$13))</f>
        <v>54763</v>
      </c>
      <c r="F6" s="64">
        <f>SUMIF(项目基本情况!C$12:I$12,C6,项目基本情况!C$15:I$15)</f>
        <v>25.55</v>
      </c>
      <c r="G6" s="65">
        <f>IF(ISERROR(ROUND(POWER(1+H6,D6-F6)*(POWER(1+H6,F6)-1)/(POWER(1+H6,D6)-1),3)),0,ROUND(POWER(1+H6,D6-F6)*(POWER(1+H6,F6)-1)/(POWER(1+H6,D6)-1),3))</f>
        <v>0.83</v>
      </c>
      <c r="H6" s="732">
        <v>0.05</v>
      </c>
      <c r="I6" s="732">
        <v>5.5E-2</v>
      </c>
      <c r="J6" s="66">
        <v>7.0000000000000007E-2</v>
      </c>
      <c r="K6" s="1030">
        <f>SUMIF('数据-汇总表'!C$19:C$33,A6,'数据-汇总表'!E$19:E$33)</f>
        <v>257.75</v>
      </c>
      <c r="L6" s="733">
        <v>4500</v>
      </c>
      <c r="M6" s="67">
        <f t="shared" ref="M6:M14" si="0">ROUND(K6*L6/10000,0)</f>
        <v>116</v>
      </c>
      <c r="N6" s="731">
        <f>ROUND(1-(2024-2013)/60,2)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0.82</v>
      </c>
      <c r="Z6" s="72"/>
      <c r="AA6" s="66"/>
      <c r="AB6" s="66"/>
      <c r="AC6" s="1040"/>
      <c r="AD6" s="73"/>
      <c r="AE6" s="1041">
        <f ca="1">IF(AN6="",0,SUMIF(INDIRECT("'"&amp;AN6&amp;"'"&amp;"!E:E"),$AE$5,INDIRECT("'"&amp;AN6&amp;"'"&amp;"!F:F")))</f>
        <v>25.55</v>
      </c>
      <c r="AF6" s="1348"/>
      <c r="AG6" s="138">
        <f>IF(AF6="",0,AE6-AF6)</f>
        <v>0</v>
      </c>
      <c r="AH6" s="74"/>
      <c r="AI6" s="76">
        <v>365</v>
      </c>
      <c r="AJ6" s="77"/>
      <c r="AK6" s="78">
        <v>5.0000000000000001E-3</v>
      </c>
      <c r="AL6" s="79">
        <v>1E-3</v>
      </c>
      <c r="AM6" s="80">
        <v>0.01</v>
      </c>
      <c r="AN6" s="1715" t="s">
        <v>3387</v>
      </c>
      <c r="AO6" s="52">
        <f ca="1">SUMIF(INDIRECT("'"&amp;AN6&amp;"'"&amp;"!A:A"),"总价",INDIRECT("'"&amp;AN6&amp;"'"&amp;"!B:B"))</f>
        <v>534.54319999999996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1103</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302.77999999999997</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1104</v>
      </c>
      <c r="B8" s="1713" t="str">
        <f t="shared" si="1"/>
        <v>经营性</v>
      </c>
      <c r="C8" s="1714"/>
      <c r="D8" s="858">
        <f>SUMIF(项目基本情况!C$12:I$12,C8,项目基本情况!C$14:I$14)</f>
        <v>0</v>
      </c>
      <c r="E8" s="857">
        <f>IF(B8="","",SUMIF(项目基本情况!C$12:I$12,C8,项目基本情况!C$13:I$13))</f>
        <v>0</v>
      </c>
      <c r="F8" s="64">
        <f>SUMIF(项目基本情况!C$12:I$12,C8,项目基本情况!C$15:I$15)</f>
        <v>0</v>
      </c>
      <c r="G8" s="65">
        <f t="shared" si="2"/>
        <v>0</v>
      </c>
      <c r="H8" s="732"/>
      <c r="I8" s="732"/>
      <c r="J8" s="66"/>
      <c r="K8" s="1030">
        <f>SUMIF('数据-汇总表'!C$19:C$33,A8,'数据-汇总表'!E$19:E$33)</f>
        <v>259.66000000000003</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0.83</v>
      </c>
      <c r="H16" s="90">
        <f>ROUND(SUMPRODUCT(H6:H13,K6:K13)/SUMPRODUCT((H6:H13&gt;0)*(K6:K13)),3)</f>
        <v>0.05</v>
      </c>
      <c r="I16" s="91"/>
      <c r="J16" s="91"/>
      <c r="K16" s="92">
        <f>SUM(K6:K15)</f>
        <v>820.19</v>
      </c>
      <c r="L16" s="93">
        <f>ROUND(M16*10000/SUM(K6:K14),0)</f>
        <v>1414</v>
      </c>
      <c r="M16" s="93">
        <f>SUM(M6:M14)</f>
        <v>116</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303</v>
      </c>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2282</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1" sqref="K41"/>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302.77999999999997</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45435</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820</v>
      </c>
      <c r="C5" s="2512">
        <f ca="1">IF(B5=D14,结果表!H102,ROUND(B5*10000/$B$1,0))</f>
        <v>27082</v>
      </c>
      <c r="D5" s="2512" t="e">
        <f ca="1">ROUND(B5*10000/$B$2,0)</f>
        <v>#DIV/0!</v>
      </c>
      <c r="E5" s="2686"/>
      <c r="F5" s="2687"/>
      <c r="G5" s="2687"/>
      <c r="H5" s="2688"/>
      <c r="I5" s="2688"/>
      <c r="J5" s="2688"/>
      <c r="K5" s="2688"/>
    </row>
    <row r="6" spans="1:11" ht="16.5">
      <c r="A6" s="2512" t="s">
        <v>653</v>
      </c>
      <c r="B6" s="2512">
        <f>SUM(G14:G23)</f>
        <v>0</v>
      </c>
      <c r="C6" s="2512">
        <f ca="1">IF(B6=G14,结果表!H108,ROUND(B6*10000/$B$1,0))</f>
        <v>27068</v>
      </c>
      <c r="D6" s="2512" t="e">
        <f>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819.59</v>
      </c>
      <c r="C8" s="2512">
        <f ca="1">IF(B8=I14,结果表!H112,ROUND(B8*10000/$B$1,0))</f>
        <v>27069</v>
      </c>
      <c r="D8" s="2512" t="e">
        <f ca="1">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3356</v>
      </c>
      <c r="D10" s="2512" t="s">
        <v>3357</v>
      </c>
      <c r="E10" s="3441"/>
      <c r="F10" s="3445" t="s">
        <v>3358</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1102</v>
      </c>
      <c r="B14" s="2518"/>
      <c r="C14" s="2518"/>
      <c r="D14" s="2518"/>
      <c r="E14" s="2518" t="e">
        <f>ROUND(D14*10000/B14,0)</f>
        <v>#DIV/0!</v>
      </c>
      <c r="F14" s="2518" t="e">
        <f>ROUND(D14*10000/C14,0)</f>
        <v>#DIV/0!</v>
      </c>
      <c r="G14" s="2518"/>
      <c r="H14" s="2518"/>
      <c r="I14" s="2518"/>
      <c r="J14" s="2687" t="e">
        <f>ROUND(I14/B14*10000,0)</f>
        <v>#DIV/0!</v>
      </c>
      <c r="K14" s="2688"/>
    </row>
    <row r="15" spans="1:11" ht="16.5">
      <c r="A15" s="2517">
        <v>1103</v>
      </c>
      <c r="B15" s="2519">
        <f>'数据-汇总表'!F20</f>
        <v>302.77999999999997</v>
      </c>
      <c r="C15" s="2519"/>
      <c r="D15" s="2519">
        <f ca="1">典型户型修正!S25</f>
        <v>820</v>
      </c>
      <c r="E15" s="2518">
        <f t="shared" ref="E15:E23" ca="1" si="0">ROUND(D15*10000/B15,0)</f>
        <v>27082</v>
      </c>
      <c r="F15" s="2518" t="e">
        <f t="shared" ref="F15:F23" ca="1" si="1">ROUND(D15*10000/C15,0)</f>
        <v>#DIV/0!</v>
      </c>
      <c r="G15" s="1331"/>
      <c r="H15" s="1331"/>
      <c r="I15" s="2519">
        <f ca="1">'结果表(1103净值)'!N59</f>
        <v>819.59</v>
      </c>
      <c r="J15" s="2687">
        <f t="shared" ref="J15:J16" ca="1" si="2">ROUND(I15/B15*10000,0)</f>
        <v>27069</v>
      </c>
      <c r="K15" s="2688"/>
    </row>
    <row r="16" spans="1:11" ht="16.5">
      <c r="A16" s="2517">
        <v>1104</v>
      </c>
      <c r="B16" s="2519"/>
      <c r="C16" s="2519"/>
      <c r="D16" s="2519"/>
      <c r="E16" s="2518" t="e">
        <f t="shared" si="0"/>
        <v>#DIV/0!</v>
      </c>
      <c r="F16" s="2518" t="e">
        <f t="shared" si="1"/>
        <v>#DIV/0!</v>
      </c>
      <c r="G16" s="1331"/>
      <c r="H16" s="1331"/>
      <c r="I16" s="2519"/>
      <c r="J16" s="2687" t="e">
        <f t="shared" si="2"/>
        <v>#DIV/0!</v>
      </c>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6"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596" t="str">
        <f>项目基本情况!S2</f>
        <v>北京市石景山区八角东街65号院主楼北座2号楼1102、1103、1104房地产</v>
      </c>
      <c r="B2" s="3597"/>
      <c r="C2" s="3597"/>
      <c r="D2" s="3597"/>
      <c r="E2" s="3597"/>
      <c r="F2" s="3597"/>
      <c r="G2" s="3597"/>
      <c r="H2" s="3597"/>
      <c r="I2" s="3598"/>
    </row>
    <row r="3" spans="1:12" ht="12.75">
      <c r="A3" s="3600" t="s">
        <v>1261</v>
      </c>
      <c r="B3" s="3601"/>
      <c r="C3" s="3601"/>
      <c r="D3" s="3601"/>
      <c r="E3" s="3601"/>
      <c r="F3" s="3601"/>
      <c r="G3" s="3601"/>
      <c r="H3" s="3601"/>
      <c r="I3" s="3601"/>
    </row>
    <row r="4" spans="1:12" ht="14.25">
      <c r="A4" s="1754" t="s">
        <v>1262</v>
      </c>
      <c r="B4" s="1755" t="s">
        <v>1263</v>
      </c>
      <c r="C4" s="1756" t="s">
        <v>3413</v>
      </c>
      <c r="D4" s="1756" t="s">
        <v>3387</v>
      </c>
      <c r="E4" s="3602" t="s">
        <v>1264</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1265</v>
      </c>
      <c r="B5" s="3563">
        <v>25</v>
      </c>
      <c r="C5" s="3579"/>
      <c r="D5" s="3599"/>
      <c r="E5" s="131" t="s">
        <v>1266</v>
      </c>
      <c r="F5" s="1757"/>
      <c r="G5" s="1757"/>
      <c r="H5" s="1757"/>
      <c r="I5" s="1373"/>
    </row>
    <row r="6" spans="1:12" ht="12.75">
      <c r="A6" s="3576"/>
      <c r="B6" s="3563"/>
      <c r="C6" s="3580"/>
      <c r="D6" s="3599"/>
      <c r="E6" s="131" t="s">
        <v>1267</v>
      </c>
      <c r="F6" s="1757"/>
      <c r="G6" s="1757"/>
      <c r="H6" s="1757"/>
      <c r="I6" s="1373"/>
    </row>
    <row r="7" spans="1:12" ht="12.75">
      <c r="A7" s="3576"/>
      <c r="B7" s="3563"/>
      <c r="C7" s="3581"/>
      <c r="D7" s="3599"/>
      <c r="E7" s="131" t="s">
        <v>1268</v>
      </c>
      <c r="F7" s="1757"/>
      <c r="G7" s="1757"/>
      <c r="H7" s="1757"/>
      <c r="I7" s="1373"/>
    </row>
    <row r="8" spans="1:12" ht="12.75">
      <c r="A8" s="3576" t="s">
        <v>1269</v>
      </c>
      <c r="B8" s="3563">
        <v>15</v>
      </c>
      <c r="C8" s="3579"/>
      <c r="D8" s="3599"/>
      <c r="E8" s="131" t="s">
        <v>1270</v>
      </c>
      <c r="F8" s="1757"/>
      <c r="G8" s="1757"/>
      <c r="H8" s="1757"/>
      <c r="I8" s="1373"/>
    </row>
    <row r="9" spans="1:12" ht="12.75">
      <c r="A9" s="3576"/>
      <c r="B9" s="3563"/>
      <c r="C9" s="3581"/>
      <c r="D9" s="3599"/>
      <c r="E9" s="131" t="s">
        <v>1271</v>
      </c>
      <c r="F9" s="1757"/>
      <c r="G9" s="1757"/>
      <c r="H9" s="1757"/>
      <c r="I9" s="1373"/>
    </row>
    <row r="10" spans="1:12" ht="12.75">
      <c r="A10" s="3576" t="s">
        <v>1272</v>
      </c>
      <c r="B10" s="3563">
        <v>15</v>
      </c>
      <c r="C10" s="3579"/>
      <c r="D10" s="3599"/>
      <c r="E10" s="131" t="s">
        <v>1273</v>
      </c>
      <c r="F10" s="1757"/>
      <c r="G10" s="1757"/>
      <c r="H10" s="1757"/>
      <c r="I10" s="1373"/>
    </row>
    <row r="11" spans="1:12" ht="12.75">
      <c r="A11" s="3576"/>
      <c r="B11" s="3563"/>
      <c r="C11" s="3581"/>
      <c r="D11" s="3599"/>
      <c r="E11" s="131" t="s">
        <v>1274</v>
      </c>
      <c r="F11" s="1757"/>
      <c r="G11" s="1757"/>
      <c r="H11" s="1757"/>
      <c r="I11" s="1373"/>
    </row>
    <row r="12" spans="1:12" ht="12.75">
      <c r="A12" s="3576" t="s">
        <v>1275</v>
      </c>
      <c r="B12" s="3563">
        <v>15</v>
      </c>
      <c r="C12" s="3579"/>
      <c r="D12" s="3599"/>
      <c r="E12" s="131" t="s">
        <v>1276</v>
      </c>
      <c r="F12" s="1757"/>
      <c r="G12" s="1757"/>
      <c r="H12" s="1757"/>
      <c r="I12" s="1373"/>
    </row>
    <row r="13" spans="1:12" ht="12.75">
      <c r="A13" s="3576"/>
      <c r="B13" s="3563"/>
      <c r="C13" s="3581"/>
      <c r="D13" s="3599"/>
      <c r="E13" s="131" t="s">
        <v>1277</v>
      </c>
      <c r="F13" s="1757"/>
      <c r="G13" s="1757"/>
      <c r="H13" s="1757"/>
      <c r="I13" s="1373"/>
    </row>
    <row r="14" spans="1:12" ht="12.75">
      <c r="A14" s="3576" t="s">
        <v>1278</v>
      </c>
      <c r="B14" s="3563">
        <v>30</v>
      </c>
      <c r="C14" s="3579">
        <v>7</v>
      </c>
      <c r="D14" s="3599">
        <v>3</v>
      </c>
      <c r="E14" s="131" t="s">
        <v>1279</v>
      </c>
      <c r="F14" s="1757"/>
      <c r="G14" s="1757"/>
      <c r="H14" s="1757"/>
      <c r="I14" s="1373"/>
    </row>
    <row r="15" spans="1:12" ht="12.75">
      <c r="A15" s="3576"/>
      <c r="B15" s="3563"/>
      <c r="C15" s="3580"/>
      <c r="D15" s="3599"/>
      <c r="E15" s="131" t="s">
        <v>1280</v>
      </c>
      <c r="F15" s="1757"/>
      <c r="G15" s="1757"/>
      <c r="H15" s="1757"/>
      <c r="I15" s="1373"/>
    </row>
    <row r="16" spans="1:12" ht="12.75">
      <c r="A16" s="3576"/>
      <c r="B16" s="3563"/>
      <c r="C16" s="3581"/>
      <c r="D16" s="3599"/>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586" t="s">
        <v>2127</v>
      </c>
      <c r="F18" s="3587"/>
      <c r="G18" s="3587"/>
      <c r="H18" s="3587"/>
      <c r="I18" s="3587"/>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SUMIF(INDIRECT("'"&amp;C4&amp;"'"&amp;"!A:A"),结果表!B19,INDIRECT("'"&amp;C4&amp;"'"&amp;"!B:B"))</f>
        <v>767.57950000000005</v>
      </c>
      <c r="D19" s="135">
        <f ca="1">SUMIF(INDIRECT("'"&amp;D4&amp;"'"&amp;"!A:A"),结果表!B19,INDIRECT("'"&amp;D4&amp;"'"&amp;"!B:B"))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29780</v>
      </c>
      <c r="D20" s="138">
        <f ca="1">SUMIF(INDIRECT("'"&amp;D4&amp;"'"&amp;"!A:A"),结果表!B20,INDIRECT("'"&amp;D4&amp;"'"&amp;"!B:B"))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570" t="s">
        <v>1296</v>
      </c>
      <c r="B24" s="1762" t="s">
        <v>1288</v>
      </c>
      <c r="C24" s="136">
        <f>IF(B30=0,0,D30)</f>
        <v>0</v>
      </c>
      <c r="D24" s="1769"/>
      <c r="E24" s="129"/>
      <c r="F24" s="129"/>
      <c r="G24" s="129"/>
      <c r="H24" s="129"/>
      <c r="I24" s="129"/>
    </row>
    <row r="25" spans="1:36" ht="14.25">
      <c r="A25" s="357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590" t="s">
        <v>1309</v>
      </c>
      <c r="B36" s="1787" t="s">
        <v>1310</v>
      </c>
      <c r="C36" s="145"/>
      <c r="D36" s="1788"/>
      <c r="E36" s="1789"/>
      <c r="F36" s="1790"/>
      <c r="G36" s="129"/>
      <c r="H36" s="129"/>
      <c r="I36" s="129"/>
    </row>
    <row r="37" spans="1:15" ht="15.75" thickBot="1">
      <c r="A37" s="3591"/>
      <c r="B37" s="1674" t="s">
        <v>1311</v>
      </c>
      <c r="C37" s="147"/>
      <c r="D37" s="1139"/>
      <c r="E37" s="1139"/>
      <c r="F37" s="1790"/>
      <c r="G37" s="129"/>
      <c r="H37" s="129"/>
      <c r="I37" s="129"/>
    </row>
    <row r="38" spans="1:15" ht="15.75" thickBot="1">
      <c r="A38" s="3592"/>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67" t="s">
        <v>1323</v>
      </c>
      <c r="B45" s="3568"/>
      <c r="C45" s="3569"/>
      <c r="D45" s="155">
        <f ca="1">ROUND(H101*F45,0)</f>
        <v>698</v>
      </c>
      <c r="E45" s="156" t="s">
        <v>1324</v>
      </c>
      <c r="F45" s="157">
        <v>1</v>
      </c>
      <c r="G45" s="158" t="s">
        <v>1325</v>
      </c>
      <c r="H45" s="129"/>
      <c r="I45" s="129"/>
      <c r="J45" s="3645" t="s">
        <v>1326</v>
      </c>
      <c r="K45" s="3645"/>
      <c r="L45" s="3645"/>
      <c r="M45" s="3645"/>
      <c r="N45" s="3645"/>
      <c r="O45" s="3645"/>
    </row>
    <row r="46" spans="1:15" ht="14.25" customHeight="1">
      <c r="A46" s="3564" t="s">
        <v>1327</v>
      </c>
      <c r="B46" s="3565"/>
      <c r="C46" s="3565"/>
      <c r="D46" s="3565"/>
      <c r="E46" s="3565"/>
      <c r="F46" s="3565"/>
      <c r="G46" s="3566"/>
      <c r="H46" s="1806"/>
      <c r="I46" s="159"/>
      <c r="J46" s="2523">
        <v>1</v>
      </c>
      <c r="K46" s="3626" t="s">
        <v>1328</v>
      </c>
      <c r="L46" s="3626"/>
      <c r="M46" s="3646"/>
      <c r="N46" s="3646"/>
      <c r="O46" s="3646"/>
    </row>
    <row r="47" spans="1:15" ht="12" customHeight="1">
      <c r="A47" s="160" t="s">
        <v>1329</v>
      </c>
      <c r="B47" s="161"/>
      <c r="C47" s="162"/>
      <c r="D47" s="1087" t="s">
        <v>1330</v>
      </c>
      <c r="E47" s="302" t="s">
        <v>1331</v>
      </c>
      <c r="F47" s="163" t="s">
        <v>1332</v>
      </c>
      <c r="G47" s="2546" t="s">
        <v>1333</v>
      </c>
      <c r="H47" s="2547"/>
      <c r="I47" s="159"/>
      <c r="J47" s="2523">
        <v>2</v>
      </c>
      <c r="K47" s="3626" t="s">
        <v>1334</v>
      </c>
      <c r="L47" s="3626"/>
      <c r="M47" s="3647">
        <f>'数据-取费表'!B2</f>
        <v>45435</v>
      </c>
      <c r="N47" s="3647"/>
      <c r="O47" s="3647"/>
    </row>
    <row r="48" spans="1:15" ht="25.5">
      <c r="A48" s="3595" t="s">
        <v>1335</v>
      </c>
      <c r="B48" s="3578"/>
      <c r="C48" s="3578"/>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1336</v>
      </c>
      <c r="H48" s="2550" t="s">
        <v>3422</v>
      </c>
      <c r="I48" s="1806"/>
      <c r="J48" s="2523">
        <v>3</v>
      </c>
      <c r="K48" s="3626" t="s">
        <v>1337</v>
      </c>
      <c r="L48" s="3626"/>
      <c r="M48" s="3648">
        <f ca="1">H101</f>
        <v>698</v>
      </c>
      <c r="N48" s="3648"/>
      <c r="O48" s="3648"/>
    </row>
    <row r="49" spans="1:35" ht="25.5" customHeight="1">
      <c r="A49" s="2333" t="s">
        <v>1338</v>
      </c>
      <c r="B49" s="3562" t="s">
        <v>1339</v>
      </c>
      <c r="C49" s="3562"/>
      <c r="D49" s="1590">
        <v>0</v>
      </c>
      <c r="E49" s="324" t="s">
        <v>1340</v>
      </c>
      <c r="F49" s="2424" t="s">
        <v>28</v>
      </c>
      <c r="G49" s="3632"/>
      <c r="H49" s="2310" t="s">
        <v>2130</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698</v>
      </c>
      <c r="N49" s="3648"/>
      <c r="O49" s="3648"/>
    </row>
    <row r="50" spans="1:35" ht="25.5" customHeight="1">
      <c r="A50" s="2551"/>
      <c r="B50" s="3562" t="s">
        <v>1341</v>
      </c>
      <c r="C50" s="3562"/>
      <c r="D50" s="2552"/>
      <c r="E50" s="332"/>
      <c r="F50" s="2424"/>
      <c r="G50" s="3633"/>
      <c r="H50" s="2312" t="s">
        <v>2131</v>
      </c>
      <c r="I50" s="2311"/>
      <c r="J50" s="3645" t="s">
        <v>1342</v>
      </c>
      <c r="K50" s="3645"/>
      <c r="L50" s="3645"/>
      <c r="M50" s="3645"/>
      <c r="N50" s="3645"/>
      <c r="O50" s="3645"/>
    </row>
    <row r="51" spans="1:35" ht="20.45" customHeight="1">
      <c r="A51" s="2553"/>
      <c r="B51" s="3562" t="s">
        <v>1343</v>
      </c>
      <c r="C51" s="3562"/>
      <c r="D51" s="1087"/>
      <c r="E51" s="327"/>
      <c r="F51" s="2424"/>
      <c r="G51" s="3634"/>
      <c r="H51" s="2312" t="s">
        <v>2132</v>
      </c>
      <c r="I51" s="2311"/>
      <c r="J51" s="2524" t="s">
        <v>1344</v>
      </c>
      <c r="K51" s="3626" t="s">
        <v>1345</v>
      </c>
      <c r="L51" s="3626"/>
      <c r="M51" s="2524" t="s">
        <v>1346</v>
      </c>
      <c r="N51" s="2524" t="s">
        <v>1347</v>
      </c>
      <c r="O51" s="2524" t="s">
        <v>1348</v>
      </c>
    </row>
    <row r="52" spans="1:35" ht="24" customHeight="1">
      <c r="A52" s="2335" t="s">
        <v>1349</v>
      </c>
      <c r="B52" s="3562" t="s">
        <v>1350</v>
      </c>
      <c r="C52" s="3562"/>
      <c r="D52" s="1087">
        <f ca="1">ROUND(D45*'数据-取费表'!B41/(1+'数据-取费表'!C42),0)</f>
        <v>37</v>
      </c>
      <c r="E52" s="2334" t="s">
        <v>1351</v>
      </c>
      <c r="F52" s="2554">
        <f>'数据-取费表'!B41</f>
        <v>5.6000000000000001E-2</v>
      </c>
      <c r="G52" s="2555"/>
      <c r="H52" s="2544"/>
      <c r="I52" s="1807"/>
      <c r="J52" s="2523">
        <v>1</v>
      </c>
      <c r="K52" s="3627" t="s">
        <v>1352</v>
      </c>
      <c r="L52" s="3627"/>
      <c r="M52" s="2525">
        <f ca="1">D48</f>
        <v>0</v>
      </c>
      <c r="N52" s="2523" t="str">
        <f>E48</f>
        <v>(销售额-原购置价)×税（费）率</v>
      </c>
      <c r="O52" s="2526">
        <f>F48</f>
        <v>5.6000000000000001E-2</v>
      </c>
    </row>
    <row r="53" spans="1:35" ht="12" customHeight="1">
      <c r="A53" s="2335" t="s">
        <v>1353</v>
      </c>
      <c r="B53" s="3588" t="s">
        <v>2287</v>
      </c>
      <c r="C53" s="3589"/>
      <c r="D53" s="1087">
        <f ca="1">ROUND(D45*'数据-取费表'!B41/(1+'数据-取费表'!C42),0)</f>
        <v>37</v>
      </c>
      <c r="E53" s="2334" t="s">
        <v>1351</v>
      </c>
      <c r="F53" s="2554">
        <f>'数据-取费表'!B41</f>
        <v>5.6000000000000001E-2</v>
      </c>
      <c r="G53" s="2555"/>
      <c r="H53" s="2544"/>
      <c r="I53" s="1807"/>
      <c r="J53" s="2523">
        <v>2</v>
      </c>
      <c r="K53" s="3627" t="s">
        <v>1354</v>
      </c>
      <c r="L53" s="3627"/>
      <c r="M53" s="2525">
        <f t="shared" ref="M53:O54" ca="1" si="0">D55</f>
        <v>0.35</v>
      </c>
      <c r="N53" s="2523" t="str">
        <f t="shared" si="0"/>
        <v>销售额×税（费）率</v>
      </c>
      <c r="O53" s="2526">
        <f t="shared" si="0"/>
        <v>5.0000000000000001E-4</v>
      </c>
    </row>
    <row r="54" spans="1:35" ht="12" customHeight="1">
      <c r="A54" s="2335" t="s">
        <v>1355</v>
      </c>
      <c r="B54" s="3588" t="s">
        <v>2288</v>
      </c>
      <c r="C54" s="3589"/>
      <c r="D54" s="1087">
        <f ca="1">C68</f>
        <v>0</v>
      </c>
      <c r="E54" s="327" t="s">
        <v>1356</v>
      </c>
      <c r="F54" s="2554">
        <f>'数据-取费表'!B41</f>
        <v>5.6000000000000001E-2</v>
      </c>
      <c r="G54" s="2555"/>
      <c r="H54" s="2556"/>
      <c r="I54" s="1807"/>
      <c r="J54" s="2523">
        <v>3</v>
      </c>
      <c r="K54" s="3627" t="s">
        <v>1357</v>
      </c>
      <c r="L54" s="3627"/>
      <c r="M54" s="2525">
        <f t="shared" ca="1" si="0"/>
        <v>0</v>
      </c>
      <c r="N54" s="2523" t="str">
        <f t="shared" si="0"/>
        <v>增值额×税（费）率</v>
      </c>
      <c r="O54" s="2527" t="str">
        <f t="shared" si="0"/>
        <v>——</v>
      </c>
    </row>
    <row r="55" spans="1:35" ht="24" customHeight="1">
      <c r="A55" s="3577" t="s">
        <v>1358</v>
      </c>
      <c r="B55" s="3578"/>
      <c r="C55" s="3578"/>
      <c r="D55" s="2324">
        <f ca="1">IF(H55="个人住宅",0,ROUND(D45*I55,2))</f>
        <v>0.35</v>
      </c>
      <c r="E55" s="2334" t="s">
        <v>1359</v>
      </c>
      <c r="F55" s="2554">
        <f>IF(H55="正常",I55,"免征")</f>
        <v>5.0000000000000001E-4</v>
      </c>
      <c r="G55" s="2555"/>
      <c r="H55" s="2550" t="s">
        <v>3395</v>
      </c>
      <c r="I55" s="165">
        <f>'数据-取费表'!B49</f>
        <v>5.0000000000000001E-4</v>
      </c>
      <c r="J55" s="2523" t="str">
        <f>IF(H59="非个人房产","",4)</f>
        <v/>
      </c>
      <c r="K55" s="3627" t="str">
        <f>IF(H59="非个人房产","——","个人所得税")</f>
        <v>——</v>
      </c>
      <c r="L55" s="3627"/>
      <c r="M55" s="2528" t="str">
        <f>D59</f>
        <v>——</v>
      </c>
      <c r="N55" s="2040" t="str">
        <f>E59</f>
        <v>——</v>
      </c>
      <c r="O55" s="2529" t="str">
        <f>F59</f>
        <v>——</v>
      </c>
    </row>
    <row r="56" spans="1:35" ht="24.75">
      <c r="A56" s="3577" t="s">
        <v>1360</v>
      </c>
      <c r="B56" s="3578"/>
      <c r="C56" s="3578"/>
      <c r="D56" s="2324">
        <f ca="1">IF(H56="个人住宅",D57,D58)</f>
        <v>0</v>
      </c>
      <c r="E56" s="2334" t="s">
        <v>1361</v>
      </c>
      <c r="F56" s="2554" t="str">
        <f>IF(H56="正常",F58,"免征")</f>
        <v>——</v>
      </c>
      <c r="G56" s="2557" t="s">
        <v>1362</v>
      </c>
      <c r="H56" s="2558" t="s">
        <v>3395</v>
      </c>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1338</v>
      </c>
      <c r="B57" s="3588" t="s">
        <v>1363</v>
      </c>
      <c r="C57" s="3589"/>
      <c r="D57" s="1590">
        <v>0</v>
      </c>
      <c r="E57" s="324" t="s">
        <v>1340</v>
      </c>
      <c r="F57" s="302"/>
      <c r="G57" s="2555"/>
      <c r="H57" s="2559"/>
      <c r="I57" s="1808"/>
      <c r="J57" s="3627">
        <f>IF(AND(J55="",J56=""),4,IF(项目基本情况!K6="上海银行",结果表!J56+1,结果表!J55+1))</f>
        <v>4</v>
      </c>
      <c r="K57" s="3627" t="s">
        <v>1364</v>
      </c>
      <c r="L57" s="2530" t="s">
        <v>1365</v>
      </c>
      <c r="M57" s="2531"/>
      <c r="N57" s="2532">
        <f ca="1">SUMIF(M52:M56,"&lt;9e307")</f>
        <v>0.35</v>
      </c>
      <c r="O57" s="2533"/>
      <c r="P57" s="2690">
        <f ca="1">N57/M49</f>
        <v>5.0143266475644694E-4</v>
      </c>
    </row>
    <row r="58" spans="1:35" ht="24.75">
      <c r="A58" s="2335" t="s">
        <v>1349</v>
      </c>
      <c r="B58" s="3588" t="s">
        <v>1366</v>
      </c>
      <c r="C58" s="3562"/>
      <c r="D58" s="2324">
        <f ca="1">IF(H58="转让取得",C81,C97)</f>
        <v>0</v>
      </c>
      <c r="E58" s="2334" t="s">
        <v>1361</v>
      </c>
      <c r="F58" s="302" t="s">
        <v>28</v>
      </c>
      <c r="G58" s="2555"/>
      <c r="H58" s="2558" t="s">
        <v>3423</v>
      </c>
      <c r="I58" s="1808"/>
      <c r="J58" s="3627"/>
      <c r="K58" s="3627"/>
      <c r="L58" s="2530" t="s">
        <v>1367</v>
      </c>
      <c r="M58" s="2534"/>
      <c r="N58" s="2535" t="str">
        <f ca="1">NUMBERSTRING(INT(N57*10000),2)&amp;"元整"</f>
        <v>叁仟伍佰元整</v>
      </c>
      <c r="O58" s="2536"/>
    </row>
    <row r="59" spans="1:35" ht="24.75" thickBot="1">
      <c r="A59" s="3630" t="s">
        <v>1368</v>
      </c>
      <c r="B59" s="3631"/>
      <c r="C59" s="363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628">
        <f>J57+1</f>
        <v>5</v>
      </c>
      <c r="K59" s="3627" t="s">
        <v>1369</v>
      </c>
      <c r="L59" s="2523" t="s">
        <v>1365</v>
      </c>
      <c r="M59" s="2537"/>
      <c r="N59" s="2538">
        <f ca="1">M49-N57</f>
        <v>697.65</v>
      </c>
      <c r="O59" s="2539"/>
    </row>
    <row r="60" spans="1:35" ht="12" customHeight="1">
      <c r="A60" s="1809"/>
      <c r="B60" s="1747"/>
      <c r="C60" s="1747"/>
      <c r="D60" s="1747"/>
      <c r="E60" s="1578"/>
      <c r="F60" s="1808"/>
      <c r="G60" s="1808"/>
      <c r="H60" s="1810"/>
      <c r="I60" s="129"/>
      <c r="J60" s="3629"/>
      <c r="K60" s="3627"/>
      <c r="L60" s="2530" t="s">
        <v>1367</v>
      </c>
      <c r="M60" s="2534"/>
      <c r="N60" s="2535" t="str">
        <f ca="1">NUMBERSTRING(INT(N59*10000),2)&amp;"元整"</f>
        <v>陆佰玖拾柒万陆仟伍佰元整</v>
      </c>
      <c r="O60" s="2536"/>
    </row>
    <row r="61" spans="1:35" ht="13.5" thickBot="1">
      <c r="A61" s="3575" t="s">
        <v>1370</v>
      </c>
      <c r="B61" s="3575"/>
      <c r="C61" s="3575"/>
      <c r="D61" s="3575"/>
      <c r="E61" s="3575"/>
      <c r="F61" s="1808"/>
      <c r="G61" s="1808"/>
      <c r="H61" s="1810"/>
      <c r="I61" s="129"/>
      <c r="J61" s="2523">
        <f>J59+1</f>
        <v>6</v>
      </c>
      <c r="K61" s="3627" t="s">
        <v>1371</v>
      </c>
      <c r="L61" s="3627"/>
      <c r="M61" s="2540"/>
      <c r="N61" s="2541">
        <f ca="1">ROUND(N59*10000/'数据-汇总表'!E3,0)</f>
        <v>8506</v>
      </c>
      <c r="O61" s="2542"/>
    </row>
    <row r="62" spans="1:35" ht="12.75">
      <c r="A62" s="3593" t="s">
        <v>1372</v>
      </c>
      <c r="B62" s="3594"/>
      <c r="C62" s="2021"/>
      <c r="D62" s="2021" t="s">
        <v>1373</v>
      </c>
      <c r="E62" s="166" t="s">
        <v>1374</v>
      </c>
      <c r="F62" s="1808"/>
      <c r="G62" s="1808"/>
      <c r="H62" s="1810"/>
      <c r="I62" s="129"/>
    </row>
    <row r="63" spans="1:35" ht="12.75">
      <c r="A63" s="173" t="s">
        <v>330</v>
      </c>
      <c r="B63" s="167" t="s">
        <v>1375</v>
      </c>
      <c r="C63" s="2564">
        <f ca="1">ROUND((C64+C65)/(1+'数据-取费表'!C42),0)</f>
        <v>665</v>
      </c>
      <c r="D63" s="167"/>
      <c r="E63" s="168"/>
      <c r="F63" s="1808"/>
      <c r="G63" s="1808"/>
      <c r="H63" s="1810"/>
      <c r="I63" s="129"/>
      <c r="J63" s="3652" t="s">
        <v>1376</v>
      </c>
      <c r="K63" s="1332" t="s">
        <v>1377</v>
      </c>
      <c r="L63" s="1332">
        <f ca="1">IF(M49&gt;10000,M49*0.5%,IF(AND(M49&gt;1000,M49&lt;=10000),M49*1%,IF(AND(M49&gt;100,M49&lt;=1000),M49*3%,IF(AND(M49&gt;10,M49&lt;=100),M49*5%,M49*8%))))</f>
        <v>20.939999999999998</v>
      </c>
      <c r="M63" s="302">
        <f ca="1">ROUND(L63,1)</f>
        <v>20.9</v>
      </c>
      <c r="N63" s="2543"/>
      <c r="Z63" s="1752"/>
      <c r="AI63" s="1753"/>
    </row>
    <row r="64" spans="1:35" ht="14.25" customHeight="1">
      <c r="A64" s="169" t="s">
        <v>325</v>
      </c>
      <c r="B64" s="170" t="s">
        <v>1378</v>
      </c>
      <c r="C64" s="2565">
        <f ca="1">D45</f>
        <v>698</v>
      </c>
      <c r="D64" s="170" t="s">
        <v>26</v>
      </c>
      <c r="E64" s="172"/>
      <c r="F64" s="1808"/>
      <c r="G64" s="1808"/>
      <c r="H64" s="1810"/>
      <c r="I64" s="129"/>
      <c r="J64" s="3652"/>
      <c r="K64" s="1332" t="s">
        <v>1379</v>
      </c>
      <c r="L64" s="1332">
        <f ca="1">IF(M49&gt;2000,M49*0.5%,IF(AND(M49&gt;1000,M49&lt;=2000),M49*0.6%,IF(AND(M49&gt;500,M49&lt;=1000),M49*0.7%,IF(AND(M49&gt;200,M49&lt;=500),M49*0.8%,IF(AND(M49&gt;100,M49&lt;=200),M49*0.9%,IF(AND(M49&gt;50,M49&lt;=100),M49*1%,IF(AND(M49&gt;20,M49&lt;=50),M49*1.5%,IF(AND(M49&gt;10,M49&lt;=20),M49*2%,IF(AND(M49&gt;1,M49&lt;=10),M49*2.5%)))))))))</f>
        <v>4.8859999999999992</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652"/>
      <c r="K65" s="1332" t="s">
        <v>1382</v>
      </c>
      <c r="L65" s="1332">
        <f ca="1">IF(M49&gt;1000,M49*0.1%,IF(AND(M49&gt;500,M49&lt;=1000),M49*0.5%,IF(AND(M49&gt;50,M49&lt;=500),M49*1%,IF(AND(M49&gt;1,M49&lt;=50),M49*1.5%))))</f>
        <v>3.49</v>
      </c>
      <c r="M65" s="302">
        <f t="shared" ca="1" si="1"/>
        <v>3.5</v>
      </c>
      <c r="N65" s="2544" t="s">
        <v>1380</v>
      </c>
      <c r="Z65" s="1752"/>
      <c r="AI65" s="1753"/>
    </row>
    <row r="66" spans="1:35" ht="14.25" customHeight="1">
      <c r="A66" s="173" t="s">
        <v>327</v>
      </c>
      <c r="B66" s="174" t="s">
        <v>1383</v>
      </c>
      <c r="C66" s="2567">
        <f>C75</f>
        <v>741.75770999999997</v>
      </c>
      <c r="D66" s="174" t="s">
        <v>26</v>
      </c>
      <c r="E66" s="1338" t="s">
        <v>668</v>
      </c>
      <c r="F66" s="1808"/>
      <c r="G66" s="1808"/>
      <c r="H66" s="1810"/>
      <c r="I66" s="129"/>
      <c r="J66" s="3652"/>
      <c r="K66" s="1332" t="s">
        <v>1384</v>
      </c>
      <c r="L66" s="1332">
        <f ca="1">M49*0.5%</f>
        <v>3.49</v>
      </c>
      <c r="M66" s="302">
        <f ca="1">IF(L66&gt;0.5,0.5,ROUND(L66,0))</f>
        <v>0.5</v>
      </c>
      <c r="N66" s="2544" t="s">
        <v>1385</v>
      </c>
      <c r="Z66" s="1752"/>
      <c r="AI66" s="1753"/>
    </row>
    <row r="67" spans="1:35" ht="14.25" customHeight="1">
      <c r="A67" s="173" t="s">
        <v>328</v>
      </c>
      <c r="B67" s="174" t="s">
        <v>1386</v>
      </c>
      <c r="C67" s="2568">
        <f ca="1">C63-C66</f>
        <v>-76.757709999999975</v>
      </c>
      <c r="D67" s="170" t="s">
        <v>26</v>
      </c>
      <c r="E67" s="172"/>
      <c r="F67" s="1808"/>
      <c r="G67" s="1808"/>
      <c r="H67" s="1810"/>
      <c r="I67" s="129"/>
      <c r="J67" s="3652"/>
      <c r="K67" s="1332" t="s">
        <v>1387</v>
      </c>
      <c r="L67" s="1332">
        <f ca="1">IF(M49&gt;=10000,(8.25+(M49-10000)*0.01%),IF(AND(M49&gt;=8000,M49&lt;10000),(7.85+(M49-8000)*0.02%),IF(AND(M49&gt;=5000,M49&lt;8000),(6.65+(M49-5000)*0.04%),IF(AND(M49&gt;=2000,M49&lt;5000),(4.25+(PM49-2000)*0.08%),IF(AND(M49&gt;=1000,M49&lt;2000),(2.75+(M49-1000)*0.15%),IF(AND(M49&gt;=100,M49&lt;1000),(0.5+(M49-100)*0.25%),IF(AND(M49&gt;0,M49&lt;100),M49*0.5%)))))))</f>
        <v>1.9950000000000001</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652"/>
      <c r="K68" s="1332" t="s">
        <v>1389</v>
      </c>
      <c r="L68" s="1332">
        <f ca="1">IF(M49&gt;10000,M49*0.5%,IF(AND(M49&gt;5000,M49&lt;=10000),M49*1%,IF(AND(M49&gt;1000,M49&lt;=5000),M49*2%,IF(AND(M49&gt;200,M49&lt;=1000),M49*3%,M49*5%))))</f>
        <v>20.939999999999998</v>
      </c>
      <c r="M68" s="302">
        <f ca="1">ROUND(L68,1)</f>
        <v>20.9</v>
      </c>
      <c r="N68" s="2543"/>
      <c r="Z68" s="1752"/>
      <c r="AI68" s="1753"/>
    </row>
    <row r="69" spans="1:35" s="1772" customFormat="1" ht="16.5" customHeight="1">
      <c r="A69" s="1811"/>
      <c r="B69" s="1812"/>
      <c r="C69" s="1813"/>
      <c r="D69" s="1814"/>
      <c r="E69" s="1815"/>
      <c r="F69" s="1578"/>
      <c r="G69" s="1578"/>
      <c r="H69" s="1577"/>
      <c r="I69" s="1747"/>
      <c r="J69" s="3652"/>
      <c r="K69" s="1332" t="s">
        <v>1390</v>
      </c>
      <c r="L69" s="1332"/>
      <c r="M69" s="302">
        <f ca="1">ROUND(SUM(M63:M68),0)</f>
        <v>53</v>
      </c>
      <c r="N69" s="2545">
        <f ca="1">M69/M49</f>
        <v>7.5931232091690545E-2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1391</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1372</v>
      </c>
      <c r="B71" s="3594"/>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769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765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7417577.1/10000</f>
        <v>741.75770999999997</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88" t="s">
        <v>1399</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2324" t="s">
        <v>1401</v>
      </c>
      <c r="F77" s="186"/>
      <c r="G77" s="1822" t="s">
        <v>3426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72" t="s">
        <v>1403</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-104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1407</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1372</v>
      </c>
      <c r="B84" s="3594"/>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654" t="s">
        <v>2125</v>
      </c>
      <c r="H90" s="3655"/>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72" t="s">
        <v>1416</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72" t="s">
        <v>1419</v>
      </c>
      <c r="F92" s="3573"/>
      <c r="G92" s="3573"/>
      <c r="H92" s="3582"/>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72" t="s">
        <v>1403</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83" t="s">
        <v>1423</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661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165.25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74"/>
      <c r="E100" s="3557" t="s">
        <v>1426</v>
      </c>
      <c r="F100" s="3557"/>
      <c r="G100" s="3557"/>
      <c r="H100" s="3574"/>
      <c r="I100" s="129"/>
    </row>
    <row r="101" spans="1:35" ht="18.75" customHeight="1">
      <c r="A101" s="3635" t="s">
        <v>1427</v>
      </c>
      <c r="B101" s="3636"/>
      <c r="C101" s="2585" t="str">
        <f>C4</f>
        <v>比较法-办公</v>
      </c>
      <c r="D101" s="2586" t="str">
        <f>D4</f>
        <v>收益法 (元)</v>
      </c>
      <c r="E101" s="3649" t="s">
        <v>1428</v>
      </c>
      <c r="F101" s="3606"/>
      <c r="G101" s="1827" t="s">
        <v>1429</v>
      </c>
      <c r="H101" s="2595">
        <f ca="1">H118</f>
        <v>698</v>
      </c>
      <c r="I101" s="129"/>
    </row>
    <row r="102" spans="1:35" ht="18.75" customHeight="1">
      <c r="A102" s="3608" t="s">
        <v>1430</v>
      </c>
      <c r="B102" s="2584" t="s">
        <v>1429</v>
      </c>
      <c r="C102" s="2585">
        <f ca="1">IF(D32="楼面单价",ROUND(C19,0),C19)</f>
        <v>768</v>
      </c>
      <c r="D102" s="2586">
        <f ca="1">IF(D32="楼面单价",ROUND(D19,0),D19)</f>
        <v>535</v>
      </c>
      <c r="E102" s="3649"/>
      <c r="F102" s="3606"/>
      <c r="G102" s="1827" t="s">
        <v>1431</v>
      </c>
      <c r="H102" s="2555">
        <f ca="1">I118</f>
        <v>27068</v>
      </c>
      <c r="I102" s="129"/>
    </row>
    <row r="103" spans="1:35" ht="42.75" customHeight="1">
      <c r="A103" s="3608"/>
      <c r="B103" s="2584" t="s">
        <v>1431</v>
      </c>
      <c r="C103" s="2587">
        <f ca="1">C20</f>
        <v>29780</v>
      </c>
      <c r="D103" s="2588">
        <f ca="1">D20</f>
        <v>20739</v>
      </c>
      <c r="E103" s="3643" t="s">
        <v>1432</v>
      </c>
      <c r="F103" s="3644"/>
      <c r="G103" s="1828" t="s">
        <v>1433</v>
      </c>
      <c r="H103" s="2595">
        <f>IF(D36="正常操作",H104+H105+H106,H105+H106)</f>
        <v>0</v>
      </c>
      <c r="I103" s="129"/>
    </row>
    <row r="104" spans="1:35" ht="18.75" customHeight="1">
      <c r="A104" s="3608"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09"/>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5" t="str">
        <f>IF(项目基本情况!E8="已注销","——","3.房地产抵押价值")</f>
        <v>3.房地产抵押价值</v>
      </c>
      <c r="F107" s="3606"/>
      <c r="G107" s="1827" t="s">
        <v>1429</v>
      </c>
      <c r="H107" s="2595">
        <f ca="1">IF(E107="——","——",H101-H103)</f>
        <v>698</v>
      </c>
      <c r="I107" s="129"/>
    </row>
    <row r="108" spans="1:35" ht="18.75" customHeight="1">
      <c r="A108" s="129"/>
      <c r="B108" s="129"/>
      <c r="C108" s="129"/>
      <c r="D108" s="129"/>
      <c r="E108" s="3605"/>
      <c r="F108" s="3606"/>
      <c r="G108" s="1827" t="s">
        <v>1431</v>
      </c>
      <c r="H108" s="2555">
        <f ca="1">IF(H107=H101,H102,ROUND(H107*10000/'数据-汇总表'!E3,0))</f>
        <v>27068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1429</v>
      </c>
      <c r="H109" s="2598" t="str">
        <f>IF(E109="——","——",H101-H105-H106)</f>
        <v>——</v>
      </c>
      <c r="I109" s="129"/>
    </row>
    <row r="110" spans="1:35" ht="18.75" customHeight="1">
      <c r="A110" s="129"/>
      <c r="B110" s="129"/>
      <c r="C110" s="129"/>
      <c r="D110" s="129"/>
      <c r="E110" s="3605"/>
      <c r="F110" s="3606"/>
      <c r="G110" s="1827" t="s">
        <v>1431</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1429</v>
      </c>
      <c r="H111" s="2595" t="str">
        <f>IF(E111="——","——",N59)</f>
        <v>——</v>
      </c>
      <c r="I111" s="129"/>
    </row>
    <row r="112" spans="1:35" ht="18.75" customHeight="1" thickBot="1">
      <c r="A112" s="129"/>
      <c r="B112" s="129"/>
      <c r="C112" s="129"/>
      <c r="D112" s="129"/>
      <c r="E112" s="3638"/>
      <c r="F112" s="3639"/>
      <c r="G112" s="1830" t="s">
        <v>1431</v>
      </c>
      <c r="H112" s="2599" t="str">
        <f>IF(E111="——","——",N61)</f>
        <v>——</v>
      </c>
      <c r="I112" s="129"/>
    </row>
    <row r="113" spans="1:27" ht="18.75" customHeight="1">
      <c r="A113" s="129"/>
      <c r="B113" s="129"/>
      <c r="C113" s="129"/>
      <c r="D113" s="129"/>
      <c r="E113" s="3610" t="s">
        <v>1437</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6" t="s">
        <v>1440</v>
      </c>
      <c r="B116" s="3611" t="s">
        <v>1441</v>
      </c>
      <c r="C116" s="3611" t="s">
        <v>1442</v>
      </c>
      <c r="D116" s="3624" t="s">
        <v>1443</v>
      </c>
      <c r="E116" s="3625"/>
      <c r="F116" s="3619" t="s">
        <v>1444</v>
      </c>
      <c r="G116" s="3619"/>
      <c r="H116" s="3576" t="s">
        <v>1445</v>
      </c>
      <c r="I116" s="3576"/>
    </row>
    <row r="117" spans="1:27" ht="18.75" customHeight="1">
      <c r="A117" s="3576"/>
      <c r="B117" s="3612"/>
      <c r="C117" s="3612"/>
      <c r="D117" s="2329" t="s">
        <v>1446</v>
      </c>
      <c r="E117" s="2329" t="s">
        <v>1447</v>
      </c>
      <c r="F117" s="2329" t="s">
        <v>1446</v>
      </c>
      <c r="G117" s="2329" t="s">
        <v>1448</v>
      </c>
      <c r="H117" s="2329" t="s">
        <v>1446</v>
      </c>
      <c r="I117" s="2329" t="s">
        <v>1448</v>
      </c>
    </row>
    <row r="118" spans="1:27" ht="24.75" customHeight="1">
      <c r="A118" s="2600" t="str">
        <f>项目基本情况!S2</f>
        <v>北京市石景山区八角东街65号院主楼北座2号楼1102、1103、1104房地产</v>
      </c>
      <c r="B118" s="2329">
        <f>M18</f>
        <v>257.75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698</v>
      </c>
      <c r="I118" s="2329">
        <f ca="1">ROUND(IF(D32="楼面单价",C32,H118*10000/B118),0)</f>
        <v>27068</v>
      </c>
    </row>
    <row r="119" spans="1:27" ht="18.75" customHeight="1">
      <c r="A119" s="3576" t="s">
        <v>1449</v>
      </c>
      <c r="B119" s="3576"/>
      <c r="C119" s="3576"/>
      <c r="D119" s="3616" t="e">
        <f ca="1">NUMBERSTRING(INT(D118*10000),2)&amp;"元整"</f>
        <v>#REF!</v>
      </c>
      <c r="E119" s="3618"/>
      <c r="F119" s="3616" t="e">
        <f ca="1">NUMBERSTRING(INT(F118*10000),2)&amp;"元整"</f>
        <v>#REF!</v>
      </c>
      <c r="G119" s="3618"/>
      <c r="H119" s="3616" t="str">
        <f ca="1">NUMBERSTRING(INT(H118*10000),2)&amp;"元整"</f>
        <v>陆佰玖拾捌万元整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1449</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698</v>
      </c>
      <c r="E122" s="3641"/>
      <c r="F122" s="3641"/>
      <c r="G122" s="3641"/>
      <c r="H122" s="3641"/>
      <c r="I122" s="3642"/>
      <c r="AA122" s="725"/>
    </row>
    <row r="123" spans="1:27" ht="18.75" customHeight="1">
      <c r="A123" s="3576" t="s">
        <v>1449</v>
      </c>
      <c r="B123" s="3576"/>
      <c r="C123" s="3576"/>
      <c r="D123" s="3616" t="str">
        <f ca="1">NUMBERSTRING(INT(D122*10000),2)&amp;"元整"</f>
        <v>陆佰玖拾捌万元整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1449</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1449</v>
      </c>
      <c r="B127" s="3576"/>
      <c r="C127" s="3576"/>
      <c r="D127" s="3616" t="e">
        <f>NUMBERSTRING(INT(D126*10000),2)&amp;"元整"</f>
        <v>#VALUE!</v>
      </c>
      <c r="E127" s="3617"/>
      <c r="F127" s="3617"/>
      <c r="G127" s="3617"/>
      <c r="H127" s="3617"/>
      <c r="I127" s="3618"/>
      <c r="AA127" s="725"/>
    </row>
    <row r="128" spans="1:27" ht="21.75" customHeight="1">
      <c r="A128" s="3623" t="s">
        <v>1450</v>
      </c>
      <c r="B128" s="3623"/>
      <c r="C128" s="3623"/>
      <c r="D128" s="3623"/>
      <c r="E128" s="3623"/>
      <c r="F128" s="3623"/>
      <c r="G128" s="3623"/>
      <c r="H128" s="3623"/>
      <c r="I128" s="3623"/>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9</v>
      </c>
    </row>
    <row r="2" spans="1:9" s="200" customFormat="1" ht="18" customHeight="1">
      <c r="A2" s="201" t="s">
        <v>1459</v>
      </c>
      <c r="B2" s="202">
        <f ca="1">IF(D2="——",C52,C52-E2)</f>
        <v>169</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2060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16</v>
      </c>
      <c r="D10" s="845">
        <f ca="1">IF(B1="",'数据-汇总表'!E6,IF(INDIRECT("'数据-取费表'!c"&amp;$G$1)="住宅",INDIRECT("'数据-取费表'!s"&amp;$G$1),INDIRECT("'数据-取费表'!k"&amp;$G$1)+INDIRECT("'数据-取费表'!s"&amp;$G$1)))</f>
        <v>820.19</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16</v>
      </c>
      <c r="D19" s="849">
        <f ca="1">D9+D10</f>
        <v>820.19</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2</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137</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116</v>
      </c>
      <c r="D34" s="217"/>
      <c r="E34" s="220"/>
      <c r="F34" s="257">
        <f ca="1">IF('数据-取费表'!B24=0,1,IF(B1="",'数据-取费表'!N16,INDIRECT("'数据-取费表'!n"&amp;$G$1)))</f>
        <v>1</v>
      </c>
      <c r="G34" s="219" t="s">
        <v>1523</v>
      </c>
    </row>
    <row r="35" spans="1:7" ht="13.5" customHeight="1">
      <c r="A35" s="780" t="s">
        <v>351</v>
      </c>
      <c r="B35" s="215" t="s">
        <v>1524</v>
      </c>
      <c r="C35" s="220">
        <f ca="1">ROUND(C34*F35,0)</f>
        <v>3</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16</v>
      </c>
      <c r="D37" s="217">
        <f ca="1">D19</f>
        <v>820.19</v>
      </c>
      <c r="E37" s="249">
        <f>'数据-取费表'!B35</f>
        <v>200</v>
      </c>
      <c r="F37" s="259"/>
      <c r="G37" s="261" t="s">
        <v>1529</v>
      </c>
    </row>
    <row r="38" spans="1:7" ht="13.5" customHeight="1">
      <c r="A38" s="780" t="s">
        <v>354</v>
      </c>
      <c r="B38" s="215" t="s">
        <v>1530</v>
      </c>
      <c r="C38" s="220">
        <f ca="1">ROUND(C34*F38,0)</f>
        <v>2</v>
      </c>
      <c r="D38" s="220"/>
      <c r="E38" s="220"/>
      <c r="F38" s="259">
        <f>'数据-取费表'!B36</f>
        <v>0.02</v>
      </c>
      <c r="G38" s="219" t="s">
        <v>1525</v>
      </c>
    </row>
    <row r="39" spans="1:7" s="214" customFormat="1" ht="13.5" customHeight="1">
      <c r="A39" s="255" t="s">
        <v>1531</v>
      </c>
      <c r="B39" s="210" t="s">
        <v>1532</v>
      </c>
      <c r="C39" s="232">
        <f ca="1">ROUND(C33*F20,0)</f>
        <v>3</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5</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5</v>
      </c>
      <c r="D42" s="238"/>
      <c r="E42" s="238"/>
      <c r="F42" s="239"/>
      <c r="G42" s="3656" t="s">
        <v>1541</v>
      </c>
    </row>
    <row r="43" spans="1:7" ht="13.5" customHeight="1">
      <c r="A43" s="780" t="s">
        <v>347</v>
      </c>
      <c r="B43" s="215" t="s">
        <v>1542</v>
      </c>
      <c r="C43" s="238">
        <f ca="1">ROUND(IF('数据-取费表'!B22&lt;=1,C39*F22*'数据-取费表'!B21/2,C39*(POWER((1+F22),'数据-取费表'!B21/2)-1)),0)</f>
        <v>0</v>
      </c>
      <c r="D43" s="238"/>
      <c r="E43" s="238"/>
      <c r="F43" s="239"/>
      <c r="G43" s="3657"/>
    </row>
    <row r="44" spans="1:7" ht="13.5" customHeight="1">
      <c r="A44" s="780" t="s">
        <v>348</v>
      </c>
      <c r="B44" s="215" t="s">
        <v>1543</v>
      </c>
      <c r="C44" s="238">
        <f ca="1">ROUND(IF('数据-取费表'!B22&lt;=1,C40*F22*'数据-取费表'!B21/2,C40*(POWER((1+F22),'数据-取费表'!B21/2)-1)),4)</f>
        <v>6.9999999999999999E-4</v>
      </c>
      <c r="D44" s="238"/>
      <c r="E44" s="238"/>
      <c r="F44" s="239"/>
      <c r="G44" s="3658"/>
    </row>
    <row r="45" spans="1:7" s="214" customFormat="1" ht="13.5" customHeight="1">
      <c r="A45" s="255" t="s">
        <v>1544</v>
      </c>
      <c r="B45" s="244" t="s">
        <v>1510</v>
      </c>
      <c r="C45" s="245">
        <f ca="1">C46</f>
        <v>21</v>
      </c>
      <c r="D45" s="235">
        <f ca="1">C47</f>
        <v>3.0000000000000001E-3</v>
      </c>
      <c r="E45" s="236" t="s">
        <v>1536</v>
      </c>
      <c r="F45" s="246">
        <f ca="1">F27</f>
        <v>0.15</v>
      </c>
      <c r="G45" s="247" t="s">
        <v>1545</v>
      </c>
    </row>
    <row r="46" spans="1:7" s="214" customFormat="1" ht="13.5" customHeight="1">
      <c r="A46" s="780" t="s">
        <v>346</v>
      </c>
      <c r="B46" s="248" t="s">
        <v>1546</v>
      </c>
      <c r="C46" s="249">
        <f ca="1">ROUND((C33+C39)*F27,0)</f>
        <v>21</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180</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148</v>
      </c>
      <c r="D51" s="232"/>
      <c r="E51" s="232"/>
      <c r="F51" s="264"/>
      <c r="G51" s="234" t="s">
        <v>1557</v>
      </c>
    </row>
    <row r="52" spans="1:7" s="208" customFormat="1" ht="16.5" thickBot="1">
      <c r="A52" s="265" t="s">
        <v>1558</v>
      </c>
      <c r="B52" s="266"/>
      <c r="C52" s="267">
        <f ca="1">C31+C51</f>
        <v>169</v>
      </c>
      <c r="D52" s="266"/>
      <c r="E52" s="266"/>
      <c r="F52" s="266"/>
      <c r="G52" s="268"/>
    </row>
    <row r="55" spans="1:7" ht="15">
      <c r="B55" s="270" t="s">
        <v>1559</v>
      </c>
      <c r="C55" s="271"/>
    </row>
    <row r="56" spans="1:7">
      <c r="B56" s="273" t="s">
        <v>799</v>
      </c>
      <c r="C56" s="275">
        <f ca="1">1-C57</f>
        <v>0.124</v>
      </c>
    </row>
    <row r="57" spans="1:7">
      <c r="B57" s="273" t="s">
        <v>800</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北京市石景山区八角东街65号院主楼北座2号楼1102、1103、1104房地产抵押价值预评估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9</v>
      </c>
      <c r="H1" s="1061" t="str">
        <f>IF(ISERROR(FIND("住宅",B1)),"非住宅","住宅")</f>
        <v>非住宅</v>
      </c>
    </row>
    <row r="2" spans="1:8" s="200" customFormat="1" ht="18" customHeight="1">
      <c r="A2" s="201" t="s">
        <v>1459</v>
      </c>
      <c r="B2" s="3424">
        <f ca="1">ROUND(IF(D2="——",C52/10000,C52/10000-E2),4)</f>
        <v>192.54230000000001</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2348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164038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164038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164038</v>
      </c>
      <c r="D10" s="845">
        <f ca="1">IF(B1="",'数据-汇总表'!E6,IF(INDIRECT("'数据-取费表'!c"&amp;$G$1)="住宅",INDIRECT("'数据-取费表'!s"&amp;$G$1),INDIRECT("'数据-取费表'!k"&amp;$G$1)+INDIRECT("'数据-取费表'!s"&amp;$G$1)))</f>
        <v>820.19</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164038</v>
      </c>
      <c r="D19" s="849">
        <f ca="1">D9+D10</f>
        <v>820.19</v>
      </c>
      <c r="E19" s="211">
        <f>'数据-取费表'!B31</f>
        <v>200</v>
      </c>
      <c r="F19" s="231"/>
      <c r="G19" s="1856"/>
    </row>
    <row r="20" spans="1:7" s="214" customFormat="1" ht="13.5" customHeight="1">
      <c r="A20" s="255" t="s">
        <v>1571</v>
      </c>
      <c r="B20" s="210" t="s">
        <v>1572</v>
      </c>
      <c r="C20" s="232">
        <f ca="1">ROUND((C5+C19)*F20,0)</f>
        <v>6562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23254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11514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11514</v>
      </c>
      <c r="D24" s="238"/>
      <c r="E24" s="238"/>
      <c r="F24" s="239"/>
      <c r="G24" s="240" t="s">
        <v>1583</v>
      </c>
    </row>
    <row r="25" spans="1:7" s="214" customFormat="1" ht="24">
      <c r="A25" s="780" t="s">
        <v>1473</v>
      </c>
      <c r="B25" s="215" t="s">
        <v>1584</v>
      </c>
      <c r="C25" s="1128">
        <f ca="1">ROUND(IF('数据-取费表'!B22&lt;=1,C20*F22*'数据-取费表'!B22/2,C20*(POWER((1+F22),'数据-取费表'!B22/2)-1)),0)</f>
        <v>226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50196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50196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442132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1381907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1159875</v>
      </c>
      <c r="D34" s="217"/>
      <c r="E34" s="220"/>
      <c r="F34" s="257"/>
      <c r="G34" s="219"/>
    </row>
    <row r="35" spans="1:7" ht="13.5" customHeight="1">
      <c r="A35" s="780" t="s">
        <v>351</v>
      </c>
      <c r="B35" s="215" t="s">
        <v>1524</v>
      </c>
      <c r="C35" s="220">
        <f ca="1">ROUND(C34*F35,0)</f>
        <v>34796</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164038</v>
      </c>
      <c r="D37" s="217">
        <f ca="1">D19</f>
        <v>820.19</v>
      </c>
      <c r="E37" s="249">
        <f>'数据-取费表'!B35</f>
        <v>200</v>
      </c>
      <c r="F37" s="259"/>
      <c r="G37" s="261"/>
    </row>
    <row r="38" spans="1:7" ht="13.5" customHeight="1">
      <c r="A38" s="780" t="s">
        <v>354</v>
      </c>
      <c r="B38" s="215" t="s">
        <v>1530</v>
      </c>
      <c r="C38" s="220">
        <f ca="1">ROUND(C34*F38,0)</f>
        <v>23198</v>
      </c>
      <c r="D38" s="220"/>
      <c r="E38" s="220"/>
      <c r="F38" s="259">
        <f>'数据-取费表'!B36</f>
        <v>0.02</v>
      </c>
      <c r="G38" s="219" t="s">
        <v>1525</v>
      </c>
    </row>
    <row r="39" spans="1:7" s="214" customFormat="1" ht="13.5" customHeight="1">
      <c r="A39" s="255" t="s">
        <v>1531</v>
      </c>
      <c r="B39" s="210" t="s">
        <v>1532</v>
      </c>
      <c r="C39" s="232">
        <f ca="1">ROUND(C33*F20,0)</f>
        <v>27638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48630</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47676</v>
      </c>
      <c r="D42" s="238"/>
      <c r="E42" s="238"/>
      <c r="F42" s="239"/>
      <c r="G42" s="3656" t="s">
        <v>1588</v>
      </c>
    </row>
    <row r="43" spans="1:7" ht="13.5" customHeight="1">
      <c r="A43" s="780" t="s">
        <v>347</v>
      </c>
      <c r="B43" s="215" t="s">
        <v>1542</v>
      </c>
      <c r="C43" s="238">
        <f ca="1">ROUND(IF('数据-取费表'!B22&lt;=1,C39*F22*'数据-取费表'!B20/2,C39*(POWER((1+F22),'数据-取费表'!B20/2)-1)),0)</f>
        <v>954</v>
      </c>
      <c r="D43" s="238"/>
      <c r="E43" s="238"/>
      <c r="F43" s="239"/>
      <c r="G43" s="3657"/>
    </row>
    <row r="44" spans="1:7" ht="13.5" customHeight="1">
      <c r="A44" s="780" t="s">
        <v>348</v>
      </c>
      <c r="B44" s="215" t="s">
        <v>1543</v>
      </c>
      <c r="C44" s="238">
        <f ca="1">ROUND(IF('数据-取费表'!B22&lt;=1,C40*F22*'数据-取费表'!B20/2,C40*(POWER((1+F22),'数据-取费表'!B20/2)-1)),4)</f>
        <v>6.9999999999999999E-4</v>
      </c>
      <c r="D44" s="238"/>
      <c r="E44" s="238"/>
      <c r="F44" s="239"/>
      <c r="G44" s="3658"/>
    </row>
    <row r="45" spans="1:7" s="214" customFormat="1" ht="13.5" customHeight="1">
      <c r="A45" s="255" t="s">
        <v>1544</v>
      </c>
      <c r="B45" s="244" t="s">
        <v>1510</v>
      </c>
      <c r="C45" s="245">
        <f ca="1">C46</f>
        <v>211432</v>
      </c>
      <c r="D45" s="235">
        <f ca="1">C47</f>
        <v>3.0000000000000001E-3</v>
      </c>
      <c r="E45" s="236" t="s">
        <v>1536</v>
      </c>
      <c r="F45" s="246">
        <f ca="1">F27</f>
        <v>0.15</v>
      </c>
      <c r="G45" s="247" t="s">
        <v>1545</v>
      </c>
    </row>
    <row r="46" spans="1:7" s="214" customFormat="1" ht="13.5" customHeight="1">
      <c r="A46" s="780" t="s">
        <v>346</v>
      </c>
      <c r="B46" s="248" t="s">
        <v>1546</v>
      </c>
      <c r="C46" s="249">
        <f ca="1">ROUND((C33+C39)*F27,0)</f>
        <v>211432</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1808892</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1483291</v>
      </c>
      <c r="D51" s="232"/>
      <c r="E51" s="232"/>
      <c r="F51" s="264"/>
      <c r="G51" s="234" t="s">
        <v>1557</v>
      </c>
    </row>
    <row r="52" spans="1:7" s="208" customFormat="1" ht="16.5" thickBot="1">
      <c r="A52" s="265" t="s">
        <v>1558</v>
      </c>
      <c r="B52" s="266"/>
      <c r="C52" s="267">
        <f ca="1">C31+C51</f>
        <v>1925423</v>
      </c>
      <c r="D52" s="266"/>
      <c r="E52" s="266"/>
      <c r="F52" s="266"/>
      <c r="G52" s="268"/>
    </row>
    <row r="55" spans="1:7" ht="15">
      <c r="B55" s="270" t="s">
        <v>1559</v>
      </c>
      <c r="C55" s="271"/>
    </row>
    <row r="56" spans="1:7">
      <c r="B56" s="273" t="s">
        <v>799</v>
      </c>
      <c r="C56" s="275">
        <f ca="1">1-C57</f>
        <v>0.22999999999999998</v>
      </c>
    </row>
    <row r="57" spans="1:7">
      <c r="B57" s="273" t="s">
        <v>800</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9</v>
      </c>
    </row>
    <row r="2" spans="1:33" ht="18" customHeight="1">
      <c r="A2" s="201" t="s">
        <v>1459</v>
      </c>
      <c r="B2" s="204">
        <f ca="1">C32</f>
        <v>-17</v>
      </c>
      <c r="C2" s="276" t="s">
        <v>1592</v>
      </c>
      <c r="D2" s="276"/>
      <c r="E2" s="2806"/>
      <c r="F2" s="2806"/>
      <c r="G2" s="2806"/>
      <c r="H2" s="2806"/>
      <c r="I2" s="2806"/>
      <c r="J2" s="2806"/>
      <c r="K2" s="2806"/>
    </row>
    <row r="3" spans="1:33" ht="18" customHeight="1" thickBot="1">
      <c r="A3" s="203" t="s">
        <v>1461</v>
      </c>
      <c r="B3" s="204">
        <f ca="1">ROUND(B2*10000/IF(C1="",'数据-汇总表'!E3,INDIRECT("'数据-取费表'!K"&amp;$K$1)),0)</f>
        <v>-207</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820.19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820.19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16</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16</v>
      </c>
      <c r="D20" s="846">
        <f ca="1">IF(C1="",'数据-汇总表'!E6,IF(INDIRECT("'数据-取费表'!c"&amp;$K$1)="住宅",INDIRECT("'数据-取费表'!s"&amp;$K$1),INDIRECT("'数据-取费表'!k"&amp;$K$1)+INDIRECT("'数据-取费表'!s"&amp;$K$1)))</f>
        <v>820.19</v>
      </c>
      <c r="E20" s="21">
        <f>'数据-取费表'!B28</f>
        <v>200</v>
      </c>
      <c r="F20" s="804"/>
      <c r="G20" s="12"/>
      <c r="H20" s="809"/>
      <c r="I20" s="809"/>
      <c r="J20" s="809"/>
      <c r="K20" s="810"/>
    </row>
    <row r="21" spans="1:33" s="803" customFormat="1" ht="13.5" customHeight="1">
      <c r="A21" s="790" t="s">
        <v>357</v>
      </c>
      <c r="B21" s="813" t="s">
        <v>1625</v>
      </c>
      <c r="C21" s="814">
        <f ca="1">C16+C17+C18</f>
        <v>16</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-17</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t="e">
        <f ca="1">C40+J29+L46</f>
        <v>#DIV/0!</v>
      </c>
      <c r="C2" s="1387" t="s">
        <v>802</v>
      </c>
      <c r="D2" s="1387"/>
      <c r="E2" s="1388"/>
      <c r="F2" s="1389"/>
      <c r="G2" s="2706"/>
      <c r="H2" s="2695"/>
      <c r="I2" s="2695"/>
      <c r="J2" s="2695"/>
      <c r="K2" s="2696"/>
      <c r="L2" s="2695"/>
      <c r="M2" s="2695"/>
    </row>
    <row r="3" spans="1:37" ht="18" customHeight="1" thickBot="1">
      <c r="A3" s="1390" t="s">
        <v>803</v>
      </c>
      <c r="B3" s="1391">
        <f ca="1">IF(ISERROR(B2*10000/F43),0,ROUND(B2*10000/F43,0))</f>
        <v>0</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0</v>
      </c>
      <c r="D5" s="1364" t="s">
        <v>690</v>
      </c>
      <c r="E5" s="1071"/>
      <c r="F5" s="1072"/>
      <c r="G5" s="1384"/>
      <c r="H5" s="299">
        <v>1</v>
      </c>
      <c r="I5" s="300" t="s">
        <v>689</v>
      </c>
      <c r="J5" s="1070">
        <f ca="1">J6+J10+J12</f>
        <v>0</v>
      </c>
      <c r="K5" s="1364" t="s">
        <v>690</v>
      </c>
      <c r="L5" s="1071"/>
      <c r="M5" s="1072"/>
    </row>
    <row r="6" spans="1:37" ht="18" customHeight="1">
      <c r="A6" s="1069" t="s">
        <v>398</v>
      </c>
      <c r="B6" s="3661" t="s">
        <v>691</v>
      </c>
      <c r="C6" s="1074">
        <f ca="1">ROUND(F6*F8*F7*(1-F9)/10000,0)</f>
        <v>0</v>
      </c>
      <c r="D6" s="155" t="s">
        <v>2105</v>
      </c>
      <c r="E6" s="302" t="s">
        <v>693</v>
      </c>
      <c r="F6" s="303">
        <f ca="1">INDIRECT("'数据-取费表'!u"&amp;$G$1)</f>
        <v>0</v>
      </c>
      <c r="G6" s="1384"/>
      <c r="H6" s="1069" t="s">
        <v>398</v>
      </c>
      <c r="I6" s="3661" t="s">
        <v>691</v>
      </c>
      <c r="J6" s="301">
        <f ca="1">ROUND(M6*M8*M7*(1-M9)/10000,0)</f>
        <v>0</v>
      </c>
      <c r="K6" s="155" t="s">
        <v>2104</v>
      </c>
      <c r="L6" s="302" t="s">
        <v>693</v>
      </c>
      <c r="M6" s="303">
        <f ca="1">INDIRECT("'数据-取费表'!z"&amp;$G$1)</f>
        <v>0</v>
      </c>
    </row>
    <row r="7" spans="1:37" ht="18" customHeight="1">
      <c r="A7" s="1073"/>
      <c r="B7" s="3662"/>
      <c r="C7" s="1075"/>
      <c r="D7" s="307"/>
      <c r="E7" s="1076" t="s">
        <v>694</v>
      </c>
      <c r="F7" s="303">
        <f ca="1">IF(INDIRECT("'数据-取费表'!ah"&amp;$G$1)="",INDIRECT("'数据-取费表'!k"&amp;$G$1),INDIRECT("'数据-取费表'!ah"&amp;$G$1))</f>
        <v>0</v>
      </c>
      <c r="G7" s="1384"/>
      <c r="H7" s="304"/>
      <c r="I7" s="3662"/>
      <c r="J7" s="306"/>
      <c r="K7" s="307"/>
      <c r="L7" s="302" t="s">
        <v>694</v>
      </c>
      <c r="M7" s="303">
        <f ca="1">F7</f>
        <v>0</v>
      </c>
    </row>
    <row r="8" spans="1:37" ht="18" customHeight="1">
      <c r="A8" s="304"/>
      <c r="B8" s="3662"/>
      <c r="C8" s="306"/>
      <c r="D8" s="307"/>
      <c r="E8" s="302" t="s">
        <v>695</v>
      </c>
      <c r="F8" s="303">
        <f ca="1">INDIRECT("'数据-取费表'!ai"&amp;$G$1)</f>
        <v>0</v>
      </c>
      <c r="G8" s="1384"/>
      <c r="H8" s="304"/>
      <c r="I8" s="3662"/>
      <c r="J8" s="306"/>
      <c r="K8" s="307"/>
      <c r="L8" s="302" t="s">
        <v>695</v>
      </c>
      <c r="M8" s="303">
        <f ca="1">INDIRECT("'数据-取费表'!ai"&amp;$G$1)</f>
        <v>0</v>
      </c>
    </row>
    <row r="9" spans="1:37" ht="18" customHeight="1">
      <c r="A9" s="304"/>
      <c r="B9" s="3663"/>
      <c r="C9" s="306"/>
      <c r="D9" s="307"/>
      <c r="E9" s="302" t="s">
        <v>696</v>
      </c>
      <c r="F9" s="312">
        <f ca="1">INDIRECT("'数据-取费表'!w"&amp;$G$1)</f>
        <v>0</v>
      </c>
      <c r="G9" s="1384"/>
      <c r="H9" s="304"/>
      <c r="I9" s="3663"/>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2113</v>
      </c>
      <c r="E10" s="313" t="s">
        <v>698</v>
      </c>
      <c r="F10" s="1116"/>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ROUND(F17*(F43+INDIRECT("'数据-取费表'!S"&amp;$G$1))/10000,0)</f>
        <v>0</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0.02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IF(K19="按租金收入计税",ROUND(J6*M19/(1+'数据-取费表'!C42),2),ROUND(C29*M19*0.7,2))</f>
        <v>0</v>
      </c>
      <c r="K19" s="1370" t="s">
        <v>3336</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ROUND(M20*M21/10000,2)</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0</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ROUND(C13*F37,2)</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ROUND(C5*F38,2)</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ROUND(C40*10000/F43,0)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t="e">
        <f ca="1">C68-C40</f>
        <v>#DIV/0!</v>
      </c>
      <c r="D46" s="1406" t="str">
        <f>C2</f>
        <v>万元</v>
      </c>
      <c r="E46" s="1400"/>
      <c r="F46" s="1400"/>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1118"/>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0</v>
      </c>
      <c r="K53" s="3659" t="s">
        <v>834</v>
      </c>
      <c r="L53" s="3660"/>
      <c r="O53" s="1418" t="s">
        <v>409</v>
      </c>
      <c r="P53" s="1419" t="s">
        <v>835</v>
      </c>
      <c r="Q53" s="1420" t="e">
        <f ca="1">Q47+Q48</f>
        <v>#DIV/0!</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25.5" thickTop="1" thickBot="1">
      <c r="A56" s="957">
        <v>2</v>
      </c>
      <c r="B56" s="958" t="s">
        <v>701</v>
      </c>
      <c r="C56" s="232">
        <f ca="1">C13</f>
        <v>0</v>
      </c>
      <c r="D56" s="1447"/>
      <c r="E56" s="1448"/>
      <c r="F56" s="1440"/>
      <c r="I56" s="1449" t="s">
        <v>839</v>
      </c>
      <c r="J56" s="1450"/>
      <c r="K56" s="1421" t="s">
        <v>840</v>
      </c>
      <c r="L56" s="1424">
        <f ca="1">IF(L48&lt;J51,"——",L48-J53)</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842</v>
      </c>
      <c r="L57" s="1424">
        <f ca="1">IF(L48&lt;J51,"——",IF(L55="比较法",L49,IF(L55="基准地价",L50,L51)))</f>
        <v>0</v>
      </c>
      <c r="O57" s="1418" t="s">
        <v>404</v>
      </c>
      <c r="P57" s="1419" t="s">
        <v>843</v>
      </c>
      <c r="Q57" s="1420" t="e">
        <f ca="1">L60</f>
        <v>#DIV/0!</v>
      </c>
      <c r="R57" s="1420" t="s">
        <v>844</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3</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ROUND(C48*F66,2)</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ROUND(C68*10000/F71,0)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596" t="str">
        <f>项目基本情况!S2</f>
        <v>北京市石景山区八角东街65号院主楼北座2号楼1102、1103、1104房地产</v>
      </c>
      <c r="B2" s="3597"/>
      <c r="C2" s="3597"/>
      <c r="D2" s="3597"/>
      <c r="E2" s="3597"/>
      <c r="F2" s="3597"/>
      <c r="G2" s="3597"/>
      <c r="H2" s="3597"/>
      <c r="I2" s="3598"/>
    </row>
    <row r="3" spans="1:12" ht="12.75">
      <c r="A3" s="3600" t="s">
        <v>1261</v>
      </c>
      <c r="B3" s="3601"/>
      <c r="C3" s="3601"/>
      <c r="D3" s="3601"/>
      <c r="E3" s="3601"/>
      <c r="F3" s="3601"/>
      <c r="G3" s="3601"/>
      <c r="H3" s="3601"/>
      <c r="I3" s="3601"/>
    </row>
    <row r="4" spans="1:12" ht="14.25">
      <c r="A4" s="1754" t="s">
        <v>1262</v>
      </c>
      <c r="B4" s="1755" t="s">
        <v>1263</v>
      </c>
      <c r="C4" s="1756" t="s">
        <v>3413</v>
      </c>
      <c r="D4" s="1756" t="s">
        <v>3387</v>
      </c>
      <c r="E4" s="3602" t="s">
        <v>1264</v>
      </c>
      <c r="F4" s="3603"/>
      <c r="G4" s="3603"/>
      <c r="H4" s="3603"/>
      <c r="I4" s="3604"/>
      <c r="K4" s="146" t="str">
        <f>IF(ISNUMBER(FIND("比较法",'结果表(1103净值)'!C4)),"比较法",IF(ISNUMBER(FIND("成本法",'结果表(1103净值)'!C4)),"成本法",IF(ISNUMBER(FIND("假设开发法",'结果表(1103净值)'!C4)),"假设开发法",IF(ISNUMBER(FIND("收益法",'结果表(1103净值)'!C4)),"收益法","基准地价系数修正法"))))</f>
        <v>比较法</v>
      </c>
      <c r="L4" s="146" t="str">
        <f>IF(ISNUMBER(FIND("比较法",'结果表(1103净值)'!D4)),"比较法",IF(ISNUMBER(FIND("成本法",'结果表(1103净值)'!D4)),"成本法",IF(ISNUMBER(FIND("假设开发法",'结果表(1103净值)'!D4)),"假设开发法",IF(ISNUMBER(FIND("收益法",'结果表(1103净值)'!D4)),"收益法","基准地价系数修正法"))))</f>
        <v>收益法</v>
      </c>
    </row>
    <row r="5" spans="1:12" ht="12.75">
      <c r="A5" s="3576" t="s">
        <v>1265</v>
      </c>
      <c r="B5" s="3563">
        <v>25</v>
      </c>
      <c r="C5" s="3579"/>
      <c r="D5" s="3599"/>
      <c r="E5" s="131" t="s">
        <v>1266</v>
      </c>
      <c r="F5" s="1757"/>
      <c r="G5" s="1757"/>
      <c r="H5" s="1757"/>
      <c r="I5" s="1373"/>
    </row>
    <row r="6" spans="1:12" ht="12.75">
      <c r="A6" s="3576"/>
      <c r="B6" s="3563"/>
      <c r="C6" s="3580"/>
      <c r="D6" s="3599"/>
      <c r="E6" s="131" t="s">
        <v>1267</v>
      </c>
      <c r="F6" s="1757"/>
      <c r="G6" s="1757"/>
      <c r="H6" s="1757"/>
      <c r="I6" s="1373"/>
    </row>
    <row r="7" spans="1:12" ht="12.75">
      <c r="A7" s="3576"/>
      <c r="B7" s="3563"/>
      <c r="C7" s="3581"/>
      <c r="D7" s="3599"/>
      <c r="E7" s="131" t="s">
        <v>1268</v>
      </c>
      <c r="F7" s="1757"/>
      <c r="G7" s="1757"/>
      <c r="H7" s="1757"/>
      <c r="I7" s="1373"/>
    </row>
    <row r="8" spans="1:12" ht="12.75">
      <c r="A8" s="3576" t="s">
        <v>1269</v>
      </c>
      <c r="B8" s="3563">
        <v>15</v>
      </c>
      <c r="C8" s="3579"/>
      <c r="D8" s="3599"/>
      <c r="E8" s="131" t="s">
        <v>1270</v>
      </c>
      <c r="F8" s="1757"/>
      <c r="G8" s="1757"/>
      <c r="H8" s="1757"/>
      <c r="I8" s="1373"/>
    </row>
    <row r="9" spans="1:12" ht="12.75">
      <c r="A9" s="3576"/>
      <c r="B9" s="3563"/>
      <c r="C9" s="3581"/>
      <c r="D9" s="3599"/>
      <c r="E9" s="131" t="s">
        <v>1271</v>
      </c>
      <c r="F9" s="1757"/>
      <c r="G9" s="1757"/>
      <c r="H9" s="1757"/>
      <c r="I9" s="1373"/>
    </row>
    <row r="10" spans="1:12" ht="12.75">
      <c r="A10" s="3576" t="s">
        <v>1272</v>
      </c>
      <c r="B10" s="3563">
        <v>15</v>
      </c>
      <c r="C10" s="3579"/>
      <c r="D10" s="3599"/>
      <c r="E10" s="131" t="s">
        <v>1273</v>
      </c>
      <c r="F10" s="1757"/>
      <c r="G10" s="1757"/>
      <c r="H10" s="1757"/>
      <c r="I10" s="1373"/>
    </row>
    <row r="11" spans="1:12" ht="12.75">
      <c r="A11" s="3576"/>
      <c r="B11" s="3563"/>
      <c r="C11" s="3581"/>
      <c r="D11" s="3599"/>
      <c r="E11" s="131" t="s">
        <v>1274</v>
      </c>
      <c r="F11" s="1757"/>
      <c r="G11" s="1757"/>
      <c r="H11" s="1757"/>
      <c r="I11" s="1373"/>
    </row>
    <row r="12" spans="1:12" ht="12.75">
      <c r="A12" s="3576" t="s">
        <v>1275</v>
      </c>
      <c r="B12" s="3563">
        <v>15</v>
      </c>
      <c r="C12" s="3579"/>
      <c r="D12" s="3599"/>
      <c r="E12" s="131" t="s">
        <v>1276</v>
      </c>
      <c r="F12" s="1757"/>
      <c r="G12" s="1757"/>
      <c r="H12" s="1757"/>
      <c r="I12" s="1373"/>
    </row>
    <row r="13" spans="1:12" ht="12.75">
      <c r="A13" s="3576"/>
      <c r="B13" s="3563"/>
      <c r="C13" s="3581"/>
      <c r="D13" s="3599"/>
      <c r="E13" s="131" t="s">
        <v>1277</v>
      </c>
      <c r="F13" s="1757"/>
      <c r="G13" s="1757"/>
      <c r="H13" s="1757"/>
      <c r="I13" s="1373"/>
    </row>
    <row r="14" spans="1:12" ht="12.75">
      <c r="A14" s="3576" t="s">
        <v>1278</v>
      </c>
      <c r="B14" s="3563">
        <v>30</v>
      </c>
      <c r="C14" s="3579">
        <v>7</v>
      </c>
      <c r="D14" s="3599">
        <v>3</v>
      </c>
      <c r="E14" s="131" t="s">
        <v>1279</v>
      </c>
      <c r="F14" s="1757"/>
      <c r="G14" s="1757"/>
      <c r="H14" s="1757"/>
      <c r="I14" s="1373"/>
    </row>
    <row r="15" spans="1:12" ht="12.75">
      <c r="A15" s="3576"/>
      <c r="B15" s="3563"/>
      <c r="C15" s="3580"/>
      <c r="D15" s="3599"/>
      <c r="E15" s="131" t="s">
        <v>1280</v>
      </c>
      <c r="F15" s="1757"/>
      <c r="G15" s="1757"/>
      <c r="H15" s="1757"/>
      <c r="I15" s="1373"/>
    </row>
    <row r="16" spans="1:12" ht="12.75">
      <c r="A16" s="3576"/>
      <c r="B16" s="3563"/>
      <c r="C16" s="3581"/>
      <c r="D16" s="3599"/>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586" t="s">
        <v>2127</v>
      </c>
      <c r="F18" s="3587"/>
      <c r="G18" s="3587"/>
      <c r="H18" s="3587"/>
      <c r="I18" s="3587"/>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SUMIF(INDIRECT("'"&amp;C4&amp;"'"&amp;"!A:A"),'结果表(1103净值)'!B19,INDIRECT("'"&amp;C4&amp;"'"&amp;"!B:B"))</f>
        <v>767.57950000000005</v>
      </c>
      <c r="D19" s="135">
        <f ca="1">SUMIF(INDIRECT("'"&amp;D4&amp;"'"&amp;"!A:A"),'结果表(1103净值)'!B19,INDIRECT("'"&amp;D4&amp;"'"&amp;"!B:B"))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SUMIF(INDIRECT("'"&amp;C4&amp;"'"&amp;"!A:A"),'结果表(1103净值)'!B20,INDIRECT("'"&amp;C4&amp;"'"&amp;"!B:B"))</f>
        <v>29780</v>
      </c>
      <c r="D20" s="138">
        <f ca="1">SUMIF(INDIRECT("'"&amp;D4&amp;"'"&amp;"!A:A"),'结果表(1103净值)'!B20,INDIRECT("'"&amp;D4&amp;"'"&amp;"!B:B"))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570" t="s">
        <v>1296</v>
      </c>
      <c r="B24" s="1762" t="s">
        <v>1288</v>
      </c>
      <c r="C24" s="136">
        <f>IF(B30=0,0,D30)</f>
        <v>0</v>
      </c>
      <c r="D24" s="1769"/>
      <c r="E24" s="129"/>
      <c r="F24" s="129"/>
      <c r="G24" s="129"/>
      <c r="H24" s="129"/>
      <c r="I24" s="129"/>
    </row>
    <row r="25" spans="1:36" ht="14.25">
      <c r="A25" s="357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590" t="s">
        <v>1309</v>
      </c>
      <c r="B36" s="1787" t="s">
        <v>1310</v>
      </c>
      <c r="C36" s="145"/>
      <c r="D36" s="1788"/>
      <c r="E36" s="1789"/>
      <c r="F36" s="1790"/>
      <c r="G36" s="129"/>
      <c r="H36" s="129"/>
      <c r="I36" s="129"/>
    </row>
    <row r="37" spans="1:15" ht="15.75" thickBot="1">
      <c r="A37" s="3591"/>
      <c r="B37" s="1674" t="s">
        <v>1311</v>
      </c>
      <c r="C37" s="147"/>
      <c r="D37" s="1139"/>
      <c r="E37" s="1139"/>
      <c r="F37" s="1790"/>
      <c r="G37" s="129"/>
      <c r="H37" s="129"/>
      <c r="I37" s="129"/>
    </row>
    <row r="38" spans="1:15" ht="15.75" thickBot="1">
      <c r="A38" s="3592"/>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67" t="s">
        <v>1323</v>
      </c>
      <c r="B45" s="3568"/>
      <c r="C45" s="3569"/>
      <c r="D45" s="155">
        <f ca="1">典型户型修正!S25</f>
        <v>820</v>
      </c>
      <c r="E45" s="156" t="s">
        <v>1324</v>
      </c>
      <c r="F45" s="157">
        <v>1</v>
      </c>
      <c r="G45" s="158" t="s">
        <v>1325</v>
      </c>
      <c r="H45" s="129"/>
      <c r="I45" s="129"/>
      <c r="J45" s="3645" t="s">
        <v>1326</v>
      </c>
      <c r="K45" s="3645"/>
      <c r="L45" s="3645"/>
      <c r="M45" s="3645"/>
      <c r="N45" s="3645"/>
      <c r="O45" s="3645"/>
    </row>
    <row r="46" spans="1:15" ht="14.25" customHeight="1">
      <c r="A46" s="3564" t="s">
        <v>1327</v>
      </c>
      <c r="B46" s="3565"/>
      <c r="C46" s="3565"/>
      <c r="D46" s="3565"/>
      <c r="E46" s="3565"/>
      <c r="F46" s="3565"/>
      <c r="G46" s="3566"/>
      <c r="H46" s="1806"/>
      <c r="I46" s="159"/>
      <c r="J46" s="3462">
        <v>1</v>
      </c>
      <c r="K46" s="3626" t="s">
        <v>1328</v>
      </c>
      <c r="L46" s="3626"/>
      <c r="M46" s="3646"/>
      <c r="N46" s="3646"/>
      <c r="O46" s="3646"/>
    </row>
    <row r="47" spans="1:15" ht="12" customHeight="1">
      <c r="A47" s="160" t="s">
        <v>1329</v>
      </c>
      <c r="B47" s="161"/>
      <c r="C47" s="162"/>
      <c r="D47" s="1087" t="s">
        <v>1330</v>
      </c>
      <c r="E47" s="302" t="s">
        <v>1331</v>
      </c>
      <c r="F47" s="163" t="s">
        <v>1332</v>
      </c>
      <c r="G47" s="2546" t="s">
        <v>1333</v>
      </c>
      <c r="H47" s="2547"/>
      <c r="I47" s="159"/>
      <c r="J47" s="3462">
        <v>2</v>
      </c>
      <c r="K47" s="3626" t="s">
        <v>1334</v>
      </c>
      <c r="L47" s="3626"/>
      <c r="M47" s="3647">
        <f>'数据-取费表'!B2</f>
        <v>45435</v>
      </c>
      <c r="N47" s="3647"/>
      <c r="O47" s="3647"/>
    </row>
    <row r="48" spans="1:15" ht="25.5">
      <c r="A48" s="3595" t="s">
        <v>1335</v>
      </c>
      <c r="B48" s="3578"/>
      <c r="C48" s="3578"/>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3422</v>
      </c>
      <c r="I48" s="1806"/>
      <c r="J48" s="3462">
        <v>3</v>
      </c>
      <c r="K48" s="3626" t="s">
        <v>1337</v>
      </c>
      <c r="L48" s="3626"/>
      <c r="M48" s="3648">
        <f ca="1">典型户型修正!S25</f>
        <v>820</v>
      </c>
      <c r="N48" s="3648"/>
      <c r="O48" s="3648"/>
    </row>
    <row r="49" spans="1:35" ht="25.5" customHeight="1">
      <c r="A49" s="3459" t="s">
        <v>1338</v>
      </c>
      <c r="B49" s="3562" t="s">
        <v>1339</v>
      </c>
      <c r="C49" s="3562"/>
      <c r="D49" s="1590">
        <v>0</v>
      </c>
      <c r="E49" s="324" t="s">
        <v>1340</v>
      </c>
      <c r="F49" s="3449" t="s">
        <v>28</v>
      </c>
      <c r="G49" s="3632"/>
      <c r="H49" s="2310" t="s">
        <v>2130</v>
      </c>
      <c r="I49" s="2311"/>
      <c r="J49" s="3462">
        <v>4</v>
      </c>
      <c r="K49" s="3626" t="str">
        <f>IF(项目基本情况!E8="房地产抵押价值","房地产抵押价值","抵押担保权已注销时的房地产抵押价值")</f>
        <v>房地产抵押价值</v>
      </c>
      <c r="L49" s="3626"/>
      <c r="M49" s="3648">
        <f ca="1">典型户型修正!S25</f>
        <v>820</v>
      </c>
      <c r="N49" s="3648"/>
      <c r="O49" s="3648"/>
    </row>
    <row r="50" spans="1:35" ht="25.5" customHeight="1">
      <c r="A50" s="2551"/>
      <c r="B50" s="3562" t="s">
        <v>1341</v>
      </c>
      <c r="C50" s="3562"/>
      <c r="D50" s="2552"/>
      <c r="E50" s="332"/>
      <c r="F50" s="3449"/>
      <c r="G50" s="3633"/>
      <c r="H50" s="2312" t="s">
        <v>2131</v>
      </c>
      <c r="I50" s="2311"/>
      <c r="J50" s="3645" t="s">
        <v>1342</v>
      </c>
      <c r="K50" s="3645"/>
      <c r="L50" s="3645"/>
      <c r="M50" s="3645"/>
      <c r="N50" s="3645"/>
      <c r="O50" s="3645"/>
    </row>
    <row r="51" spans="1:35" ht="20.45" customHeight="1">
      <c r="A51" s="2553"/>
      <c r="B51" s="3562" t="s">
        <v>1343</v>
      </c>
      <c r="C51" s="3562"/>
      <c r="D51" s="1087"/>
      <c r="E51" s="327"/>
      <c r="F51" s="3449"/>
      <c r="G51" s="3634"/>
      <c r="H51" s="2312" t="s">
        <v>2132</v>
      </c>
      <c r="I51" s="2311"/>
      <c r="J51" s="3461" t="s">
        <v>1344</v>
      </c>
      <c r="K51" s="3626" t="s">
        <v>1345</v>
      </c>
      <c r="L51" s="3626"/>
      <c r="M51" s="3461" t="s">
        <v>1346</v>
      </c>
      <c r="N51" s="3461" t="s">
        <v>1347</v>
      </c>
      <c r="O51" s="3461" t="s">
        <v>1348</v>
      </c>
    </row>
    <row r="52" spans="1:35" ht="24" customHeight="1">
      <c r="A52" s="3454" t="s">
        <v>1349</v>
      </c>
      <c r="B52" s="3562" t="s">
        <v>1350</v>
      </c>
      <c r="C52" s="3562"/>
      <c r="D52" s="1087">
        <f ca="1">ROUND(D45*'数据-取费表'!B41/(1+'数据-取费表'!C42),0)</f>
        <v>44</v>
      </c>
      <c r="E52" s="3455" t="s">
        <v>1351</v>
      </c>
      <c r="F52" s="2554">
        <f>'数据-取费表'!B41</f>
        <v>5.6000000000000001E-2</v>
      </c>
      <c r="G52" s="2555"/>
      <c r="H52" s="2544"/>
      <c r="I52" s="1807"/>
      <c r="J52" s="3462">
        <v>1</v>
      </c>
      <c r="K52" s="3627" t="s">
        <v>1352</v>
      </c>
      <c r="L52" s="3627"/>
      <c r="M52" s="2525">
        <f ca="1">D48</f>
        <v>0</v>
      </c>
      <c r="N52" s="3462" t="str">
        <f>E48</f>
        <v>(销售额-原购置价)×税（费）率</v>
      </c>
      <c r="O52" s="2526">
        <f>F48</f>
        <v>5.6000000000000001E-2</v>
      </c>
    </row>
    <row r="53" spans="1:35" ht="12" customHeight="1">
      <c r="A53" s="3454" t="s">
        <v>1353</v>
      </c>
      <c r="B53" s="3588" t="s">
        <v>2287</v>
      </c>
      <c r="C53" s="3589"/>
      <c r="D53" s="1087">
        <f ca="1">ROUND(D45*'数据-取费表'!B41/(1+'数据-取费表'!C42),0)</f>
        <v>44</v>
      </c>
      <c r="E53" s="3455" t="s">
        <v>1351</v>
      </c>
      <c r="F53" s="2554">
        <f>'数据-取费表'!B41</f>
        <v>5.6000000000000001E-2</v>
      </c>
      <c r="G53" s="2555"/>
      <c r="H53" s="2544"/>
      <c r="I53" s="1807"/>
      <c r="J53" s="3462">
        <v>2</v>
      </c>
      <c r="K53" s="3627" t="s">
        <v>1354</v>
      </c>
      <c r="L53" s="3627"/>
      <c r="M53" s="2525">
        <f t="shared" ref="M53:O54" ca="1" si="0">D55</f>
        <v>0.41</v>
      </c>
      <c r="N53" s="3462" t="str">
        <f t="shared" si="0"/>
        <v>销售额×税（费）率</v>
      </c>
      <c r="O53" s="2526">
        <f t="shared" si="0"/>
        <v>5.0000000000000001E-4</v>
      </c>
    </row>
    <row r="54" spans="1:35" ht="12" customHeight="1">
      <c r="A54" s="3454" t="s">
        <v>1355</v>
      </c>
      <c r="B54" s="3588" t="s">
        <v>2288</v>
      </c>
      <c r="C54" s="3589"/>
      <c r="D54" s="1087">
        <f ca="1">C68</f>
        <v>0</v>
      </c>
      <c r="E54" s="327" t="s">
        <v>1356</v>
      </c>
      <c r="F54" s="2554">
        <f>'数据-取费表'!B41</f>
        <v>5.6000000000000001E-2</v>
      </c>
      <c r="G54" s="2555"/>
      <c r="H54" s="2556"/>
      <c r="I54" s="1807"/>
      <c r="J54" s="3462">
        <v>3</v>
      </c>
      <c r="K54" s="3627" t="s">
        <v>1357</v>
      </c>
      <c r="L54" s="3627"/>
      <c r="M54" s="2525">
        <f t="shared" ca="1" si="0"/>
        <v>0</v>
      </c>
      <c r="N54" s="3462" t="str">
        <f t="shared" si="0"/>
        <v>增值额×税（费）率</v>
      </c>
      <c r="O54" s="2527" t="str">
        <f t="shared" si="0"/>
        <v>——</v>
      </c>
    </row>
    <row r="55" spans="1:35" ht="24" customHeight="1">
      <c r="A55" s="3577" t="s">
        <v>1358</v>
      </c>
      <c r="B55" s="3578"/>
      <c r="C55" s="3578"/>
      <c r="D55" s="3464">
        <f ca="1">IF(H55="个人住宅",0,ROUND(D45*I55,2))</f>
        <v>0.41</v>
      </c>
      <c r="E55" s="3455" t="s">
        <v>1359</v>
      </c>
      <c r="F55" s="2554">
        <f>IF(H55="正常",I55,"免征")</f>
        <v>5.0000000000000001E-4</v>
      </c>
      <c r="G55" s="2555"/>
      <c r="H55" s="2550" t="s">
        <v>3395</v>
      </c>
      <c r="I55" s="165">
        <f>'数据-取费表'!B49</f>
        <v>5.0000000000000001E-4</v>
      </c>
      <c r="J55" s="3462" t="str">
        <f>IF(H59="非个人房产","",4)</f>
        <v/>
      </c>
      <c r="K55" s="3627" t="str">
        <f>IF(H59="非个人房产","——","个人所得税")</f>
        <v>——</v>
      </c>
      <c r="L55" s="3627"/>
      <c r="M55" s="2528" t="str">
        <f>D59</f>
        <v>——</v>
      </c>
      <c r="N55" s="3463" t="str">
        <f>E59</f>
        <v>——</v>
      </c>
      <c r="O55" s="2529" t="str">
        <f>F59</f>
        <v>——</v>
      </c>
    </row>
    <row r="56" spans="1:35" ht="24.75">
      <c r="A56" s="3577" t="s">
        <v>1360</v>
      </c>
      <c r="B56" s="3578"/>
      <c r="C56" s="3578"/>
      <c r="D56" s="3464">
        <f ca="1">IF(H56="个人住宅",D57,D58)</f>
        <v>0</v>
      </c>
      <c r="E56" s="3455" t="s">
        <v>1361</v>
      </c>
      <c r="F56" s="2554" t="str">
        <f>IF(H56="正常",F58,"免征")</f>
        <v>——</v>
      </c>
      <c r="G56" s="2557" t="s">
        <v>1362</v>
      </c>
      <c r="H56" s="2558" t="s">
        <v>3395</v>
      </c>
      <c r="I56" s="1808"/>
      <c r="J56" s="3462"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3454" t="s">
        <v>1338</v>
      </c>
      <c r="B57" s="3588" t="s">
        <v>1363</v>
      </c>
      <c r="C57" s="3589"/>
      <c r="D57" s="1590">
        <v>0</v>
      </c>
      <c r="E57" s="324" t="s">
        <v>1340</v>
      </c>
      <c r="F57" s="302"/>
      <c r="G57" s="2555"/>
      <c r="H57" s="2559"/>
      <c r="I57" s="1808"/>
      <c r="J57" s="3627">
        <f>IF(AND(J55="",J56=""),4,IF(项目基本情况!K6="上海银行",'结果表(1103净值)'!J56+1,'结果表(1103净值)'!J55+1))</f>
        <v>4</v>
      </c>
      <c r="K57" s="3627" t="s">
        <v>1364</v>
      </c>
      <c r="L57" s="2530" t="s">
        <v>1365</v>
      </c>
      <c r="M57" s="2531"/>
      <c r="N57" s="2532">
        <f ca="1">SUMIF(M52:M56,"&lt;9e307")</f>
        <v>0.41</v>
      </c>
      <c r="O57" s="2533"/>
      <c r="P57" s="2690">
        <f ca="1">N57/M49</f>
        <v>5.0000000000000001E-4</v>
      </c>
    </row>
    <row r="58" spans="1:35" ht="24.75">
      <c r="A58" s="3454" t="s">
        <v>1349</v>
      </c>
      <c r="B58" s="3588" t="s">
        <v>1366</v>
      </c>
      <c r="C58" s="3562"/>
      <c r="D58" s="3464">
        <f ca="1">IF(H58="转让取得",C81,C97)</f>
        <v>0</v>
      </c>
      <c r="E58" s="3455" t="s">
        <v>1361</v>
      </c>
      <c r="F58" s="302" t="s">
        <v>28</v>
      </c>
      <c r="G58" s="2555"/>
      <c r="H58" s="2558" t="s">
        <v>3423</v>
      </c>
      <c r="I58" s="1808"/>
      <c r="J58" s="3627"/>
      <c r="K58" s="3627"/>
      <c r="L58" s="2530" t="s">
        <v>1367</v>
      </c>
      <c r="M58" s="2534"/>
      <c r="N58" s="2535" t="str">
        <f ca="1">NUMBERSTRING(INT(N57*10000),2)&amp;"元整"</f>
        <v>肆仟壹佰元整</v>
      </c>
      <c r="O58" s="2536"/>
    </row>
    <row r="59" spans="1:35" ht="24.75" thickBot="1">
      <c r="A59" s="3630" t="s">
        <v>1368</v>
      </c>
      <c r="B59" s="3631"/>
      <c r="C59" s="363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628">
        <f>J57+1</f>
        <v>5</v>
      </c>
      <c r="K59" s="3627" t="s">
        <v>1369</v>
      </c>
      <c r="L59" s="3462" t="s">
        <v>1365</v>
      </c>
      <c r="M59" s="2537"/>
      <c r="N59" s="2538">
        <f ca="1">M49-N57</f>
        <v>819.59</v>
      </c>
      <c r="O59" s="2539"/>
    </row>
    <row r="60" spans="1:35" ht="12" customHeight="1">
      <c r="A60" s="1809"/>
      <c r="B60" s="1747"/>
      <c r="C60" s="1747"/>
      <c r="D60" s="1747"/>
      <c r="E60" s="1578"/>
      <c r="F60" s="1808"/>
      <c r="G60" s="1808"/>
      <c r="H60" s="1810"/>
      <c r="I60" s="129"/>
      <c r="J60" s="3629"/>
      <c r="K60" s="3627"/>
      <c r="L60" s="2530" t="s">
        <v>1367</v>
      </c>
      <c r="M60" s="2534"/>
      <c r="N60" s="2535" t="str">
        <f ca="1">NUMBERSTRING(INT(N59*10000),2)&amp;"元整"</f>
        <v>捌佰壹拾玖万伍仟玖佰元整</v>
      </c>
      <c r="O60" s="2536"/>
    </row>
    <row r="61" spans="1:35" ht="13.5" thickBot="1">
      <c r="A61" s="3575" t="s">
        <v>1370</v>
      </c>
      <c r="B61" s="3575"/>
      <c r="C61" s="3575"/>
      <c r="D61" s="3575"/>
      <c r="E61" s="3575"/>
      <c r="F61" s="1808"/>
      <c r="G61" s="1808"/>
      <c r="H61" s="1810"/>
      <c r="I61" s="129"/>
      <c r="J61" s="3462">
        <f>J59+1</f>
        <v>6</v>
      </c>
      <c r="K61" s="3627" t="s">
        <v>1371</v>
      </c>
      <c r="L61" s="3627"/>
      <c r="M61" s="2540"/>
      <c r="N61" s="2541">
        <f ca="1">ROUND(N59*10000/'数据-汇总表'!E3,0)</f>
        <v>9993</v>
      </c>
      <c r="O61" s="2542"/>
    </row>
    <row r="62" spans="1:35" ht="12.75">
      <c r="A62" s="3593" t="s">
        <v>1372</v>
      </c>
      <c r="B62" s="3594"/>
      <c r="C62" s="3458"/>
      <c r="D62" s="3458" t="s">
        <v>1373</v>
      </c>
      <c r="E62" s="166" t="s">
        <v>1374</v>
      </c>
      <c r="F62" s="1808"/>
      <c r="G62" s="1808"/>
      <c r="H62" s="1810"/>
      <c r="I62" s="129"/>
    </row>
    <row r="63" spans="1:35" ht="12.75">
      <c r="A63" s="173" t="s">
        <v>330</v>
      </c>
      <c r="B63" s="167" t="s">
        <v>1375</v>
      </c>
      <c r="C63" s="2564">
        <f ca="1">ROUND((C64+C65)/(1+'数据-取费表'!C42),0)</f>
        <v>781</v>
      </c>
      <c r="D63" s="167"/>
      <c r="E63" s="168"/>
      <c r="F63" s="1808"/>
      <c r="G63" s="1808"/>
      <c r="H63" s="1810"/>
      <c r="I63" s="129"/>
      <c r="J63" s="3652" t="s">
        <v>1376</v>
      </c>
      <c r="K63" s="3465" t="s">
        <v>1377</v>
      </c>
      <c r="L63" s="3465">
        <f ca="1">IF(M49&gt;10000,M49*0.5%,IF(AND(M49&gt;1000,M49&lt;=10000),M49*1%,IF(AND(M49&gt;100,M49&lt;=1000),M49*3%,IF(AND(M49&gt;10,M49&lt;=100),M49*5%,M49*8%))))</f>
        <v>24.599999999999998</v>
      </c>
      <c r="M63" s="302">
        <f ca="1">ROUND(L63,1)</f>
        <v>24.6</v>
      </c>
      <c r="N63" s="2543"/>
      <c r="Z63" s="1752"/>
      <c r="AI63" s="1753"/>
    </row>
    <row r="64" spans="1:35" ht="14.25" customHeight="1">
      <c r="A64" s="169" t="s">
        <v>325</v>
      </c>
      <c r="B64" s="170" t="s">
        <v>1378</v>
      </c>
      <c r="C64" s="2565">
        <f ca="1">D45</f>
        <v>820</v>
      </c>
      <c r="D64" s="170" t="s">
        <v>26</v>
      </c>
      <c r="E64" s="172"/>
      <c r="F64" s="1808"/>
      <c r="G64" s="1808"/>
      <c r="H64" s="1810"/>
      <c r="I64" s="129"/>
      <c r="J64" s="3652"/>
      <c r="K64" s="3465" t="s">
        <v>1379</v>
      </c>
      <c r="L64" s="3465">
        <f ca="1">IF(M49&gt;2000,M49*0.5%,IF(AND(M49&gt;1000,M49&lt;=2000),M49*0.6%,IF(AND(M49&gt;500,M49&lt;=1000),M49*0.7%,IF(AND(M49&gt;200,M49&lt;=500),M49*0.8%,IF(AND(M49&gt;100,M49&lt;=200),M49*0.9%,IF(AND(M49&gt;50,M49&lt;=100),M49*1%,IF(AND(M49&gt;20,M49&lt;=50),M49*1.5%,IF(AND(M49&gt;10,M49&lt;=20),M49*2%,IF(AND(M49&gt;1,M49&lt;=10),M49*2.5%)))))))))</f>
        <v>5.7399999999999993</v>
      </c>
      <c r="M64" s="302">
        <f t="shared" ref="M64:M65" ca="1" si="1">ROUND(L64,1)</f>
        <v>5.7</v>
      </c>
      <c r="N64" s="2544" t="s">
        <v>1380</v>
      </c>
      <c r="Z64" s="1752"/>
      <c r="AI64" s="1753"/>
    </row>
    <row r="65" spans="1:35" ht="14.25" customHeight="1">
      <c r="A65" s="169" t="s">
        <v>326</v>
      </c>
      <c r="B65" s="170" t="s">
        <v>1381</v>
      </c>
      <c r="C65" s="2566"/>
      <c r="D65" s="170"/>
      <c r="E65" s="172"/>
      <c r="F65" s="1808"/>
      <c r="G65" s="1808"/>
      <c r="H65" s="1810"/>
      <c r="I65" s="129"/>
      <c r="J65" s="3652"/>
      <c r="K65" s="3465" t="s">
        <v>1382</v>
      </c>
      <c r="L65" s="3465">
        <f ca="1">IF(M49&gt;1000,M49*0.1%,IF(AND(M49&gt;500,M49&lt;=1000),M49*0.5%,IF(AND(M49&gt;50,M49&lt;=500),M49*1%,IF(AND(M49&gt;1,M49&lt;=50),M49*1.5%))))</f>
        <v>4.0999999999999996</v>
      </c>
      <c r="M65" s="302">
        <f t="shared" ca="1" si="1"/>
        <v>4.0999999999999996</v>
      </c>
      <c r="N65" s="2544" t="s">
        <v>1380</v>
      </c>
      <c r="Z65" s="1752"/>
      <c r="AI65" s="1753"/>
    </row>
    <row r="66" spans="1:35" ht="14.25" customHeight="1">
      <c r="A66" s="173" t="s">
        <v>327</v>
      </c>
      <c r="B66" s="174" t="s">
        <v>1383</v>
      </c>
      <c r="C66" s="2567">
        <f>C75</f>
        <v>895.84435199999996</v>
      </c>
      <c r="D66" s="174" t="s">
        <v>26</v>
      </c>
      <c r="E66" s="1338" t="s">
        <v>668</v>
      </c>
      <c r="F66" s="1808"/>
      <c r="G66" s="1808"/>
      <c r="H66" s="1810"/>
      <c r="I66" s="129"/>
      <c r="J66" s="3652"/>
      <c r="K66" s="3465" t="s">
        <v>1384</v>
      </c>
      <c r="L66" s="3465">
        <f ca="1">M49*0.5%</f>
        <v>4.0999999999999996</v>
      </c>
      <c r="M66" s="302">
        <f ca="1">IF(L66&gt;0.5,0.5,ROUND(L66,0))</f>
        <v>0.5</v>
      </c>
      <c r="N66" s="2544" t="s">
        <v>1385</v>
      </c>
      <c r="Z66" s="1752"/>
      <c r="AI66" s="1753"/>
    </row>
    <row r="67" spans="1:35" ht="14.25" customHeight="1">
      <c r="A67" s="173" t="s">
        <v>328</v>
      </c>
      <c r="B67" s="174" t="s">
        <v>1386</v>
      </c>
      <c r="C67" s="2568">
        <f ca="1">C63-C66</f>
        <v>-114.84435199999996</v>
      </c>
      <c r="D67" s="170" t="s">
        <v>26</v>
      </c>
      <c r="E67" s="172"/>
      <c r="F67" s="1808"/>
      <c r="G67" s="1808"/>
      <c r="H67" s="1810"/>
      <c r="I67" s="129"/>
      <c r="J67" s="3652"/>
      <c r="K67" s="3465" t="s">
        <v>1387</v>
      </c>
      <c r="L67" s="3465">
        <f ca="1">IF(M49&gt;=10000,(8.25+(M49-10000)*0.01%),IF(AND(M49&gt;=8000,M49&lt;10000),(7.85+(M49-8000)*0.02%),IF(AND(M49&gt;=5000,M49&lt;8000),(6.65+(M49-5000)*0.04%),IF(AND(M49&gt;=2000,M49&lt;5000),(4.25+(PM49-2000)*0.08%),IF(AND(M49&gt;=1000,M49&lt;2000),(2.75+(M49-1000)*0.15%),IF(AND(M49&gt;=100,M49&lt;1000),(0.5+(M49-100)*0.25%),IF(AND(M49&gt;0,M49&lt;100),M49*0.5%)))))))</f>
        <v>2.2999999999999998</v>
      </c>
      <c r="M67" s="302">
        <f ca="1">ROUND(L67*0.9,1)</f>
        <v>2.1</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652"/>
      <c r="K68" s="3465" t="s">
        <v>1389</v>
      </c>
      <c r="L68" s="3465">
        <f ca="1">IF(M49&gt;10000,M49*0.5%,IF(AND(M49&gt;5000,M49&lt;=10000),M49*1%,IF(AND(M49&gt;1000,M49&lt;=5000),M49*2%,IF(AND(M49&gt;200,M49&lt;=1000),M49*3%,M49*5%))))</f>
        <v>24.599999999999998</v>
      </c>
      <c r="M68" s="302">
        <f ca="1">ROUND(L68,1)</f>
        <v>24.6</v>
      </c>
      <c r="N68" s="2543"/>
      <c r="Z68" s="1752"/>
      <c r="AI68" s="1753"/>
    </row>
    <row r="69" spans="1:35" s="1772" customFormat="1" ht="16.5" customHeight="1">
      <c r="A69" s="1811"/>
      <c r="B69" s="1812"/>
      <c r="C69" s="1813"/>
      <c r="D69" s="1814"/>
      <c r="E69" s="1815"/>
      <c r="F69" s="1578"/>
      <c r="G69" s="1578"/>
      <c r="H69" s="1577"/>
      <c r="I69" s="1747"/>
      <c r="J69" s="3652"/>
      <c r="K69" s="3465" t="s">
        <v>1390</v>
      </c>
      <c r="L69" s="3465"/>
      <c r="M69" s="302">
        <f ca="1">ROUND(SUM(M63:M68),0)</f>
        <v>62</v>
      </c>
      <c r="N69" s="2545">
        <f ca="1">M69/M49</f>
        <v>7.5609756097560973E-2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1391</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1372</v>
      </c>
      <c r="B71" s="3594"/>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781</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928</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923</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8958443.52/10000</f>
        <v>895.84435199999996</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88" t="s">
        <v>1399</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27</v>
      </c>
      <c r="D77" s="2575">
        <f>'数据-取费表'!B48+'数据-取费表'!B49</f>
        <v>3.0499999999999999E-2</v>
      </c>
      <c r="E77" s="3464" t="s">
        <v>1401</v>
      </c>
      <c r="F77" s="186"/>
      <c r="G77" s="1822" t="s">
        <v>3426</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5</v>
      </c>
      <c r="D78" s="2577">
        <f>'数据-取费表'!B43</f>
        <v>6.000000000000001E-3</v>
      </c>
      <c r="E78" s="3572" t="s">
        <v>1403</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-147</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1407</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1372</v>
      </c>
      <c r="B84" s="3594"/>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781</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5</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654" t="s">
        <v>2125</v>
      </c>
      <c r="H90" s="3655"/>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72" t="s">
        <v>1416</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72" t="s">
        <v>1419</v>
      </c>
      <c r="F92" s="3573"/>
      <c r="G92" s="3573"/>
      <c r="H92" s="3582"/>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5</v>
      </c>
      <c r="D93" s="2577">
        <f>'数据-取费表'!B43</f>
        <v>6.000000000000001E-3</v>
      </c>
      <c r="E93" s="3572" t="s">
        <v>1403</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83" t="s">
        <v>1423</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776</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155.19999999999999</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464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74"/>
      <c r="E100" s="3557" t="s">
        <v>1426</v>
      </c>
      <c r="F100" s="3557"/>
      <c r="G100" s="3557"/>
      <c r="H100" s="3574"/>
      <c r="I100" s="129"/>
    </row>
    <row r="101" spans="1:35" ht="18.75" customHeight="1">
      <c r="A101" s="3635" t="s">
        <v>1427</v>
      </c>
      <c r="B101" s="3636"/>
      <c r="C101" s="2585" t="str">
        <f>C4</f>
        <v>比较法-办公</v>
      </c>
      <c r="D101" s="2586" t="str">
        <f>D4</f>
        <v>收益法 (元)</v>
      </c>
      <c r="E101" s="3649" t="s">
        <v>1428</v>
      </c>
      <c r="F101" s="3606"/>
      <c r="G101" s="1827" t="s">
        <v>1429</v>
      </c>
      <c r="H101" s="2595">
        <f ca="1">H118</f>
        <v>698</v>
      </c>
      <c r="I101" s="129"/>
    </row>
    <row r="102" spans="1:35" ht="18.75" customHeight="1">
      <c r="A102" s="3608" t="s">
        <v>1430</v>
      </c>
      <c r="B102" s="2584" t="s">
        <v>1429</v>
      </c>
      <c r="C102" s="2585">
        <f ca="1">IF(D32="楼面单价",ROUND(C19,0),C19)</f>
        <v>768</v>
      </c>
      <c r="D102" s="2586">
        <f ca="1">IF(D32="楼面单价",ROUND(D19,0),D19)</f>
        <v>535</v>
      </c>
      <c r="E102" s="3649"/>
      <c r="F102" s="3606"/>
      <c r="G102" s="1827" t="s">
        <v>1431</v>
      </c>
      <c r="H102" s="2555">
        <f ca="1">I118</f>
        <v>27068</v>
      </c>
      <c r="I102" s="129"/>
    </row>
    <row r="103" spans="1:35" ht="42.75" customHeight="1">
      <c r="A103" s="3608"/>
      <c r="B103" s="2584" t="s">
        <v>1431</v>
      </c>
      <c r="C103" s="2587">
        <f ca="1">C20</f>
        <v>29780</v>
      </c>
      <c r="D103" s="2588">
        <f ca="1">D20</f>
        <v>20739</v>
      </c>
      <c r="E103" s="3643" t="s">
        <v>1432</v>
      </c>
      <c r="F103" s="3644"/>
      <c r="G103" s="1828" t="s">
        <v>1433</v>
      </c>
      <c r="H103" s="2595">
        <f>IF(D36="正常操作",H104+H105+H106,H105+H106)</f>
        <v>0</v>
      </c>
      <c r="I103" s="129"/>
    </row>
    <row r="104" spans="1:35" ht="18.75" customHeight="1">
      <c r="A104" s="3608"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09"/>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5" t="str">
        <f>IF(项目基本情况!E8="已注销","——","3.房地产抵押价值")</f>
        <v>3.房地产抵押价值</v>
      </c>
      <c r="F107" s="3606"/>
      <c r="G107" s="1827" t="s">
        <v>1429</v>
      </c>
      <c r="H107" s="2595">
        <f ca="1">IF(E107="——","——",H101-H103)</f>
        <v>698</v>
      </c>
      <c r="I107" s="129"/>
    </row>
    <row r="108" spans="1:35" ht="18.75" customHeight="1">
      <c r="A108" s="129"/>
      <c r="B108" s="129"/>
      <c r="C108" s="129"/>
      <c r="D108" s="129"/>
      <c r="E108" s="3605"/>
      <c r="F108" s="3606"/>
      <c r="G108" s="1827" t="s">
        <v>1431</v>
      </c>
      <c r="H108" s="2555">
        <f ca="1">IF(H107=H101,H102,ROUND(H107*10000/'数据-汇总表'!E3,0))</f>
        <v>27068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1429</v>
      </c>
      <c r="H109" s="2598" t="str">
        <f>IF(E109="——","——",H101-H105-H106)</f>
        <v>——</v>
      </c>
      <c r="I109" s="129"/>
    </row>
    <row r="110" spans="1:35" ht="18.75" customHeight="1">
      <c r="A110" s="129"/>
      <c r="B110" s="129"/>
      <c r="C110" s="129"/>
      <c r="D110" s="129"/>
      <c r="E110" s="3605"/>
      <c r="F110" s="3606"/>
      <c r="G110" s="1827" t="s">
        <v>1431</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1429</v>
      </c>
      <c r="H111" s="2595" t="str">
        <f>IF(E111="——","——",N59)</f>
        <v>——</v>
      </c>
      <c r="I111" s="129"/>
    </row>
    <row r="112" spans="1:35" ht="18.75" customHeight="1" thickBot="1">
      <c r="A112" s="129"/>
      <c r="B112" s="129"/>
      <c r="C112" s="129"/>
      <c r="D112" s="129"/>
      <c r="E112" s="3638"/>
      <c r="F112" s="3639"/>
      <c r="G112" s="1830" t="s">
        <v>1431</v>
      </c>
      <c r="H112" s="2599" t="str">
        <f>IF(E111="——","——",N61)</f>
        <v>——</v>
      </c>
      <c r="I112" s="129"/>
    </row>
    <row r="113" spans="1:27" ht="18.75" customHeight="1">
      <c r="A113" s="129"/>
      <c r="B113" s="129"/>
      <c r="C113" s="129"/>
      <c r="D113" s="129"/>
      <c r="E113" s="3610" t="s">
        <v>1437</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6" t="s">
        <v>1440</v>
      </c>
      <c r="B116" s="3611" t="s">
        <v>1441</v>
      </c>
      <c r="C116" s="3611" t="s">
        <v>1442</v>
      </c>
      <c r="D116" s="3624" t="s">
        <v>1443</v>
      </c>
      <c r="E116" s="3625"/>
      <c r="F116" s="3619" t="s">
        <v>1444</v>
      </c>
      <c r="G116" s="3619"/>
      <c r="H116" s="3576" t="s">
        <v>1445</v>
      </c>
      <c r="I116" s="3576"/>
    </row>
    <row r="117" spans="1:27" ht="18.75" customHeight="1">
      <c r="A117" s="3576"/>
      <c r="B117" s="3612"/>
      <c r="C117" s="3612"/>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698</v>
      </c>
      <c r="I118" s="3453">
        <f ca="1">ROUND(IF(D32="楼面单价",C32,H118*10000/B118),0)</f>
        <v>27068</v>
      </c>
    </row>
    <row r="119" spans="1:27" ht="18.75" customHeight="1">
      <c r="A119" s="3576" t="s">
        <v>1449</v>
      </c>
      <c r="B119" s="3576"/>
      <c r="C119" s="3576"/>
      <c r="D119" s="3616" t="e">
        <f ca="1">NUMBERSTRING(INT(D118*10000),2)&amp;"元整"</f>
        <v>#REF!</v>
      </c>
      <c r="E119" s="3618"/>
      <c r="F119" s="3616" t="e">
        <f ca="1">NUMBERSTRING(INT(F118*10000),2)&amp;"元整"</f>
        <v>#REF!</v>
      </c>
      <c r="G119" s="3618"/>
      <c r="H119" s="3616" t="str">
        <f ca="1">NUMBERSTRING(INT(H118*10000),2)&amp;"元整"</f>
        <v>陆佰玖拾捌万元整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1449</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698</v>
      </c>
      <c r="E122" s="3641"/>
      <c r="F122" s="3641"/>
      <c r="G122" s="3641"/>
      <c r="H122" s="3641"/>
      <c r="I122" s="3642"/>
      <c r="AA122" s="725"/>
    </row>
    <row r="123" spans="1:27" ht="18.75" customHeight="1">
      <c r="A123" s="3576" t="s">
        <v>1449</v>
      </c>
      <c r="B123" s="3576"/>
      <c r="C123" s="3576"/>
      <c r="D123" s="3616" t="str">
        <f ca="1">NUMBERSTRING(INT(D122*10000),2)&amp;"元整"</f>
        <v>陆佰玖拾捌万元整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1449</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1449</v>
      </c>
      <c r="B127" s="3576"/>
      <c r="C127" s="3576"/>
      <c r="D127" s="3616" t="e">
        <f>NUMBERSTRING(INT(D126*10000),2)&amp;"元整"</f>
        <v>#VALUE!</v>
      </c>
      <c r="E127" s="3617"/>
      <c r="F127" s="3617"/>
      <c r="G127" s="3617"/>
      <c r="H127" s="3617"/>
      <c r="I127" s="3618"/>
      <c r="AA127" s="725"/>
    </row>
    <row r="128" spans="1:27" ht="21.75" customHeight="1">
      <c r="A128" s="3623" t="s">
        <v>1450</v>
      </c>
      <c r="B128" s="3623"/>
      <c r="C128" s="3623"/>
      <c r="D128" s="3623"/>
      <c r="E128" s="3623"/>
      <c r="F128" s="3623"/>
      <c r="G128" s="3623"/>
      <c r="H128" s="3623"/>
      <c r="I128" s="3623"/>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47" zoomScaleNormal="100" zoomScaleSheetLayoutView="10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1102</v>
      </c>
      <c r="D1" s="1747"/>
      <c r="E1" s="1747"/>
      <c r="F1" s="1749" t="s">
        <v>1260</v>
      </c>
      <c r="G1" s="1561"/>
      <c r="H1" s="1750" t="str">
        <f>IF(G1="现房","——","估价对象范围")</f>
        <v>估价对象范围</v>
      </c>
      <c r="I1" s="1751"/>
    </row>
    <row r="2" spans="1:12" ht="21.75" customHeight="1" thickBot="1">
      <c r="A2" s="3596" t="str">
        <f>项目基本情况!S2</f>
        <v>北京市石景山区八角东街65号院主楼北座2号楼1102、1103、1104房地产</v>
      </c>
      <c r="B2" s="3597"/>
      <c r="C2" s="3597"/>
      <c r="D2" s="3597"/>
      <c r="E2" s="3597"/>
      <c r="F2" s="3597"/>
      <c r="G2" s="3597"/>
      <c r="H2" s="3597"/>
      <c r="I2" s="3598"/>
    </row>
    <row r="3" spans="1:12" ht="12.75">
      <c r="A3" s="3600" t="s">
        <v>1261</v>
      </c>
      <c r="B3" s="3601"/>
      <c r="C3" s="3601"/>
      <c r="D3" s="3601"/>
      <c r="E3" s="3601"/>
      <c r="F3" s="3601"/>
      <c r="G3" s="3601"/>
      <c r="H3" s="3601"/>
      <c r="I3" s="3601"/>
    </row>
    <row r="4" spans="1:12" ht="14.25">
      <c r="A4" s="1754" t="s">
        <v>1262</v>
      </c>
      <c r="B4" s="1755" t="s">
        <v>1263</v>
      </c>
      <c r="C4" s="1756" t="s">
        <v>3413</v>
      </c>
      <c r="D4" s="1756" t="s">
        <v>3387</v>
      </c>
      <c r="E4" s="3602" t="s">
        <v>1264</v>
      </c>
      <c r="F4" s="3603"/>
      <c r="G4" s="3603"/>
      <c r="H4" s="3603"/>
      <c r="I4" s="3604"/>
      <c r="K4" s="146" t="str">
        <f>IF(ISNUMBER(FIND("比较法",'结果表(1104净值)'!C4)),"比较法",IF(ISNUMBER(FIND("成本法",'结果表(1104净值)'!C4)),"成本法",IF(ISNUMBER(FIND("假设开发法",'结果表(1104净值)'!C4)),"假设开发法",IF(ISNUMBER(FIND("收益法",'结果表(1104净值)'!C4)),"收益法","基准地价系数修正法"))))</f>
        <v>比较法</v>
      </c>
      <c r="L4" s="146" t="str">
        <f>IF(ISNUMBER(FIND("比较法",'结果表(1104净值)'!D4)),"比较法",IF(ISNUMBER(FIND("成本法",'结果表(1104净值)'!D4)),"成本法",IF(ISNUMBER(FIND("假设开发法",'结果表(1104净值)'!D4)),"假设开发法",IF(ISNUMBER(FIND("收益法",'结果表(1104净值)'!D4)),"收益法","基准地价系数修正法"))))</f>
        <v>收益法</v>
      </c>
    </row>
    <row r="5" spans="1:12" ht="12.75">
      <c r="A5" s="3576" t="s">
        <v>1265</v>
      </c>
      <c r="B5" s="3563">
        <v>25</v>
      </c>
      <c r="C5" s="3579"/>
      <c r="D5" s="3599"/>
      <c r="E5" s="131" t="s">
        <v>1266</v>
      </c>
      <c r="F5" s="1757"/>
      <c r="G5" s="1757"/>
      <c r="H5" s="1757"/>
      <c r="I5" s="1373"/>
    </row>
    <row r="6" spans="1:12" ht="12.75">
      <c r="A6" s="3576"/>
      <c r="B6" s="3563"/>
      <c r="C6" s="3580"/>
      <c r="D6" s="3599"/>
      <c r="E6" s="131" t="s">
        <v>1267</v>
      </c>
      <c r="F6" s="1757"/>
      <c r="G6" s="1757"/>
      <c r="H6" s="1757"/>
      <c r="I6" s="1373"/>
    </row>
    <row r="7" spans="1:12" ht="12.75">
      <c r="A7" s="3576"/>
      <c r="B7" s="3563"/>
      <c r="C7" s="3581"/>
      <c r="D7" s="3599"/>
      <c r="E7" s="131" t="s">
        <v>1268</v>
      </c>
      <c r="F7" s="1757"/>
      <c r="G7" s="1757"/>
      <c r="H7" s="1757"/>
      <c r="I7" s="1373"/>
    </row>
    <row r="8" spans="1:12" ht="12.75">
      <c r="A8" s="3576" t="s">
        <v>1269</v>
      </c>
      <c r="B8" s="3563">
        <v>15</v>
      </c>
      <c r="C8" s="3579"/>
      <c r="D8" s="3599"/>
      <c r="E8" s="131" t="s">
        <v>1270</v>
      </c>
      <c r="F8" s="1757"/>
      <c r="G8" s="1757"/>
      <c r="H8" s="1757"/>
      <c r="I8" s="1373"/>
    </row>
    <row r="9" spans="1:12" ht="12.75">
      <c r="A9" s="3576"/>
      <c r="B9" s="3563"/>
      <c r="C9" s="3581"/>
      <c r="D9" s="3599"/>
      <c r="E9" s="131" t="s">
        <v>1271</v>
      </c>
      <c r="F9" s="1757"/>
      <c r="G9" s="1757"/>
      <c r="H9" s="1757"/>
      <c r="I9" s="1373"/>
    </row>
    <row r="10" spans="1:12" ht="12.75">
      <c r="A10" s="3576" t="s">
        <v>1272</v>
      </c>
      <c r="B10" s="3563">
        <v>15</v>
      </c>
      <c r="C10" s="3579"/>
      <c r="D10" s="3599"/>
      <c r="E10" s="131" t="s">
        <v>1273</v>
      </c>
      <c r="F10" s="1757"/>
      <c r="G10" s="1757"/>
      <c r="H10" s="1757"/>
      <c r="I10" s="1373"/>
    </row>
    <row r="11" spans="1:12" ht="12.75">
      <c r="A11" s="3576"/>
      <c r="B11" s="3563"/>
      <c r="C11" s="3581"/>
      <c r="D11" s="3599"/>
      <c r="E11" s="131" t="s">
        <v>1274</v>
      </c>
      <c r="F11" s="1757"/>
      <c r="G11" s="1757"/>
      <c r="H11" s="1757"/>
      <c r="I11" s="1373"/>
    </row>
    <row r="12" spans="1:12" ht="12.75">
      <c r="A12" s="3576" t="s">
        <v>1275</v>
      </c>
      <c r="B12" s="3563">
        <v>15</v>
      </c>
      <c r="C12" s="3579"/>
      <c r="D12" s="3599"/>
      <c r="E12" s="131" t="s">
        <v>1276</v>
      </c>
      <c r="F12" s="1757"/>
      <c r="G12" s="1757"/>
      <c r="H12" s="1757"/>
      <c r="I12" s="1373"/>
    </row>
    <row r="13" spans="1:12" ht="12.75">
      <c r="A13" s="3576"/>
      <c r="B13" s="3563"/>
      <c r="C13" s="3581"/>
      <c r="D13" s="3599"/>
      <c r="E13" s="131" t="s">
        <v>1277</v>
      </c>
      <c r="F13" s="1757"/>
      <c r="G13" s="1757"/>
      <c r="H13" s="1757"/>
      <c r="I13" s="1373"/>
    </row>
    <row r="14" spans="1:12" ht="12.75">
      <c r="A14" s="3576" t="s">
        <v>1278</v>
      </c>
      <c r="B14" s="3563">
        <v>30</v>
      </c>
      <c r="C14" s="3579">
        <v>7</v>
      </c>
      <c r="D14" s="3599">
        <v>3</v>
      </c>
      <c r="E14" s="131" t="s">
        <v>1279</v>
      </c>
      <c r="F14" s="1757"/>
      <c r="G14" s="1757"/>
      <c r="H14" s="1757"/>
      <c r="I14" s="1373"/>
    </row>
    <row r="15" spans="1:12" ht="12.75">
      <c r="A15" s="3576"/>
      <c r="B15" s="3563"/>
      <c r="C15" s="3580"/>
      <c r="D15" s="3599"/>
      <c r="E15" s="131" t="s">
        <v>1280</v>
      </c>
      <c r="F15" s="1757"/>
      <c r="G15" s="1757"/>
      <c r="H15" s="1757"/>
      <c r="I15" s="1373"/>
    </row>
    <row r="16" spans="1:12" ht="12.75">
      <c r="A16" s="3576"/>
      <c r="B16" s="3563"/>
      <c r="C16" s="3581"/>
      <c r="D16" s="3599"/>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586" t="s">
        <v>2127</v>
      </c>
      <c r="F18" s="3587"/>
      <c r="G18" s="3587"/>
      <c r="H18" s="3587"/>
      <c r="I18" s="3587"/>
      <c r="K18" s="302" t="s">
        <v>1286</v>
      </c>
      <c r="L18" s="302">
        <f>IF(C1="",'数据-汇总表'!E3,SUMIF(项目类型,C1,'数据-汇总表'!E17:E26)+SUMIF(项目类型,C1,'数据-汇总表'!I17:I26))</f>
        <v>257.75</v>
      </c>
      <c r="M18" s="302">
        <f>IF(C1="",'数据-汇总表'!E3,SUMIF(项目类型,C1,'数据-汇总表'!E17:E26))</f>
        <v>257.75</v>
      </c>
    </row>
    <row r="19" spans="1:36" ht="15">
      <c r="A19" s="1761" t="s">
        <v>1287</v>
      </c>
      <c r="B19" s="1762" t="s">
        <v>1288</v>
      </c>
      <c r="C19" s="134">
        <f ca="1">SUMIF(INDIRECT("'"&amp;C4&amp;"'"&amp;"!A:A"),'结果表(1104净值)'!B19,INDIRECT("'"&amp;C4&amp;"'"&amp;"!B:B"))</f>
        <v>767.57950000000005</v>
      </c>
      <c r="D19" s="135">
        <f ca="1">SUMIF(INDIRECT("'"&amp;D4&amp;"'"&amp;"!A:A"),'结果表(1104净值)'!B19,INDIRECT("'"&amp;D4&amp;"'"&amp;"!B:B"))</f>
        <v>534.54319999999996</v>
      </c>
      <c r="E19" s="1761" t="s">
        <v>1289</v>
      </c>
      <c r="F19" s="1762" t="s">
        <v>1288</v>
      </c>
      <c r="G19" s="136">
        <f ca="1">ROUND(C19*$C$18+D19*$D$18,0)</f>
        <v>698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SUMIF(INDIRECT("'"&amp;C4&amp;"'"&amp;"!A:A"),'结果表(1104净值)'!B20,INDIRECT("'"&amp;C4&amp;"'"&amp;"!B:B"))</f>
        <v>29780</v>
      </c>
      <c r="D20" s="138">
        <f ca="1">SUMIF(INDIRECT("'"&amp;D4&amp;"'"&amp;"!A:A"),'结果表(1104净值)'!B20,INDIRECT("'"&amp;D4&amp;"'"&amp;"!B:B"))</f>
        <v>20739</v>
      </c>
      <c r="E20" s="1764"/>
      <c r="F20" s="1026" t="s">
        <v>1292</v>
      </c>
      <c r="G20" s="139">
        <f ca="1">ROUND(C20*$C$18+D20*$D$18,0)</f>
        <v>27068</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0.43595410062273743</v>
      </c>
      <c r="E22" s="129"/>
      <c r="F22" s="129"/>
      <c r="G22" s="129"/>
      <c r="H22" s="129"/>
      <c r="I22" s="129"/>
    </row>
    <row r="23" spans="1:36" ht="13.5" thickBot="1">
      <c r="A23" s="1747"/>
      <c r="B23" s="1747"/>
      <c r="C23" s="1747"/>
      <c r="D23" s="1747"/>
      <c r="E23" s="129"/>
      <c r="F23" s="129"/>
      <c r="G23" s="129"/>
      <c r="H23" s="129"/>
      <c r="I23" s="129"/>
    </row>
    <row r="24" spans="1:36" ht="14.25">
      <c r="A24" s="3570" t="s">
        <v>1296</v>
      </c>
      <c r="B24" s="1762" t="s">
        <v>1288</v>
      </c>
      <c r="C24" s="136">
        <f>IF(B30=0,0,D30)</f>
        <v>0</v>
      </c>
      <c r="D24" s="1769"/>
      <c r="E24" s="129"/>
      <c r="F24" s="129"/>
      <c r="G24" s="129"/>
      <c r="H24" s="129"/>
      <c r="I24" s="129"/>
    </row>
    <row r="25" spans="1:36" ht="14.25">
      <c r="A25" s="357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27068</v>
      </c>
      <c r="D32" s="1775" t="s">
        <v>3421</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590" t="s">
        <v>1309</v>
      </c>
      <c r="B36" s="1787" t="s">
        <v>1310</v>
      </c>
      <c r="C36" s="145"/>
      <c r="D36" s="1788"/>
      <c r="E36" s="1789"/>
      <c r="F36" s="1790"/>
      <c r="G36" s="129"/>
      <c r="H36" s="129"/>
      <c r="I36" s="129"/>
    </row>
    <row r="37" spans="1:15" ht="15.75" thickBot="1">
      <c r="A37" s="3591"/>
      <c r="B37" s="1674" t="s">
        <v>1311</v>
      </c>
      <c r="C37" s="147"/>
      <c r="D37" s="1139"/>
      <c r="E37" s="1139"/>
      <c r="F37" s="1790"/>
      <c r="G37" s="129"/>
      <c r="H37" s="129"/>
      <c r="I37" s="129"/>
    </row>
    <row r="38" spans="1:15" ht="15.75" thickBot="1">
      <c r="A38" s="3592"/>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67" t="s">
        <v>1323</v>
      </c>
      <c r="B45" s="3568"/>
      <c r="C45" s="3569"/>
      <c r="D45" s="155">
        <f ca="1">典型户型修正!S26</f>
        <v>703</v>
      </c>
      <c r="E45" s="156" t="s">
        <v>1324</v>
      </c>
      <c r="F45" s="157">
        <v>1</v>
      </c>
      <c r="G45" s="158" t="s">
        <v>1325</v>
      </c>
      <c r="H45" s="129"/>
      <c r="I45" s="129"/>
      <c r="J45" s="3645" t="s">
        <v>1326</v>
      </c>
      <c r="K45" s="3645"/>
      <c r="L45" s="3645"/>
      <c r="M45" s="3645"/>
      <c r="N45" s="3645"/>
      <c r="O45" s="3645"/>
    </row>
    <row r="46" spans="1:15" ht="14.25" customHeight="1">
      <c r="A46" s="3564" t="s">
        <v>1327</v>
      </c>
      <c r="B46" s="3565"/>
      <c r="C46" s="3565"/>
      <c r="D46" s="3565"/>
      <c r="E46" s="3565"/>
      <c r="F46" s="3565"/>
      <c r="G46" s="3566"/>
      <c r="H46" s="1806"/>
      <c r="I46" s="159"/>
      <c r="J46" s="3462">
        <v>1</v>
      </c>
      <c r="K46" s="3626" t="s">
        <v>1328</v>
      </c>
      <c r="L46" s="3626"/>
      <c r="M46" s="3646"/>
      <c r="N46" s="3646"/>
      <c r="O46" s="3646"/>
    </row>
    <row r="47" spans="1:15" ht="12" customHeight="1">
      <c r="A47" s="160" t="s">
        <v>1329</v>
      </c>
      <c r="B47" s="161"/>
      <c r="C47" s="162"/>
      <c r="D47" s="1087" t="s">
        <v>1330</v>
      </c>
      <c r="E47" s="302" t="s">
        <v>1331</v>
      </c>
      <c r="F47" s="163" t="s">
        <v>1332</v>
      </c>
      <c r="G47" s="2546" t="s">
        <v>1333</v>
      </c>
      <c r="H47" s="2547"/>
      <c r="I47" s="159"/>
      <c r="J47" s="3462">
        <v>2</v>
      </c>
      <c r="K47" s="3626" t="s">
        <v>1334</v>
      </c>
      <c r="L47" s="3626"/>
      <c r="M47" s="3647">
        <f>'数据-取费表'!B2</f>
        <v>45435</v>
      </c>
      <c r="N47" s="3647"/>
      <c r="O47" s="3647"/>
    </row>
    <row r="48" spans="1:15" ht="25.5">
      <c r="A48" s="3595" t="s">
        <v>1335</v>
      </c>
      <c r="B48" s="3578"/>
      <c r="C48" s="3578"/>
      <c r="D48" s="3464">
        <f ca="1">IF(H48="情况1",0,IF(H48="情况2",D52,IF(H48="情况3",D53,IF(H48="情况4",D54))))</f>
        <v>0</v>
      </c>
      <c r="E48" s="3455" t="str">
        <f>IF(H48="情况4","(销售额-原购置价)×税（费）率","销售额×税（费）率")</f>
        <v>(销售额-原购置价)×税（费）率</v>
      </c>
      <c r="F48" s="2548">
        <f>IF(H48="情况1","免征",'数据-取费表'!B41)</f>
        <v>5.6000000000000001E-2</v>
      </c>
      <c r="G48" s="2549" t="s">
        <v>1336</v>
      </c>
      <c r="H48" s="2550" t="s">
        <v>3422</v>
      </c>
      <c r="I48" s="1806"/>
      <c r="J48" s="3462">
        <v>3</v>
      </c>
      <c r="K48" s="3626" t="s">
        <v>1337</v>
      </c>
      <c r="L48" s="3626"/>
      <c r="M48" s="3648">
        <f ca="1">典型户型修正!S26</f>
        <v>703</v>
      </c>
      <c r="N48" s="3648"/>
      <c r="O48" s="3648"/>
    </row>
    <row r="49" spans="1:35" ht="25.5" customHeight="1">
      <c r="A49" s="3459" t="s">
        <v>1338</v>
      </c>
      <c r="B49" s="3562" t="s">
        <v>1339</v>
      </c>
      <c r="C49" s="3562"/>
      <c r="D49" s="1590">
        <v>0</v>
      </c>
      <c r="E49" s="324" t="s">
        <v>1340</v>
      </c>
      <c r="F49" s="3449" t="s">
        <v>28</v>
      </c>
      <c r="G49" s="3632"/>
      <c r="H49" s="2310" t="s">
        <v>2130</v>
      </c>
      <c r="I49" s="2311"/>
      <c r="J49" s="3462">
        <v>4</v>
      </c>
      <c r="K49" s="3626" t="str">
        <f>IF(项目基本情况!E8="房地产抵押价值","房地产抵押价值","抵押担保权已注销时的房地产抵押价值")</f>
        <v>房地产抵押价值</v>
      </c>
      <c r="L49" s="3626"/>
      <c r="M49" s="3648">
        <f ca="1">典型户型修正!S26</f>
        <v>703</v>
      </c>
      <c r="N49" s="3648"/>
      <c r="O49" s="3648"/>
    </row>
    <row r="50" spans="1:35" ht="25.5" customHeight="1">
      <c r="A50" s="2551"/>
      <c r="B50" s="3562" t="s">
        <v>1341</v>
      </c>
      <c r="C50" s="3562"/>
      <c r="D50" s="2552"/>
      <c r="E50" s="332"/>
      <c r="F50" s="3449"/>
      <c r="G50" s="3633"/>
      <c r="H50" s="2312" t="s">
        <v>2131</v>
      </c>
      <c r="I50" s="2311"/>
      <c r="J50" s="3645" t="s">
        <v>1342</v>
      </c>
      <c r="K50" s="3645"/>
      <c r="L50" s="3645"/>
      <c r="M50" s="3645"/>
      <c r="N50" s="3645"/>
      <c r="O50" s="3645"/>
    </row>
    <row r="51" spans="1:35" ht="20.45" customHeight="1">
      <c r="A51" s="2553"/>
      <c r="B51" s="3562" t="s">
        <v>1343</v>
      </c>
      <c r="C51" s="3562"/>
      <c r="D51" s="1087"/>
      <c r="E51" s="327"/>
      <c r="F51" s="3449"/>
      <c r="G51" s="3634"/>
      <c r="H51" s="2312" t="s">
        <v>2132</v>
      </c>
      <c r="I51" s="2311"/>
      <c r="J51" s="3461" t="s">
        <v>1344</v>
      </c>
      <c r="K51" s="3626" t="s">
        <v>1345</v>
      </c>
      <c r="L51" s="3626"/>
      <c r="M51" s="3461" t="s">
        <v>1346</v>
      </c>
      <c r="N51" s="3461" t="s">
        <v>1347</v>
      </c>
      <c r="O51" s="3461" t="s">
        <v>1348</v>
      </c>
    </row>
    <row r="52" spans="1:35" ht="24" customHeight="1">
      <c r="A52" s="3454" t="s">
        <v>1349</v>
      </c>
      <c r="B52" s="3562" t="s">
        <v>1350</v>
      </c>
      <c r="C52" s="3562"/>
      <c r="D52" s="1087">
        <f ca="1">ROUND(D45*'数据-取费表'!B41/(1+'数据-取费表'!C42),0)</f>
        <v>37</v>
      </c>
      <c r="E52" s="3455" t="s">
        <v>1351</v>
      </c>
      <c r="F52" s="2554">
        <f>'数据-取费表'!B41</f>
        <v>5.6000000000000001E-2</v>
      </c>
      <c r="G52" s="2555"/>
      <c r="H52" s="2544"/>
      <c r="I52" s="1807"/>
      <c r="J52" s="3462">
        <v>1</v>
      </c>
      <c r="K52" s="3627" t="s">
        <v>1352</v>
      </c>
      <c r="L52" s="3627"/>
      <c r="M52" s="2525">
        <f ca="1">D48</f>
        <v>0</v>
      </c>
      <c r="N52" s="3462" t="str">
        <f>E48</f>
        <v>(销售额-原购置价)×税（费）率</v>
      </c>
      <c r="O52" s="2526">
        <f>F48</f>
        <v>5.6000000000000001E-2</v>
      </c>
    </row>
    <row r="53" spans="1:35" ht="12" customHeight="1">
      <c r="A53" s="3454" t="s">
        <v>1353</v>
      </c>
      <c r="B53" s="3588" t="s">
        <v>2287</v>
      </c>
      <c r="C53" s="3589"/>
      <c r="D53" s="1087">
        <f ca="1">ROUND(D45*'数据-取费表'!B41/(1+'数据-取费表'!C42),0)</f>
        <v>37</v>
      </c>
      <c r="E53" s="3455" t="s">
        <v>1351</v>
      </c>
      <c r="F53" s="2554">
        <f>'数据-取费表'!B41</f>
        <v>5.6000000000000001E-2</v>
      </c>
      <c r="G53" s="2555"/>
      <c r="H53" s="2544"/>
      <c r="I53" s="1807"/>
      <c r="J53" s="3462">
        <v>2</v>
      </c>
      <c r="K53" s="3627" t="s">
        <v>1354</v>
      </c>
      <c r="L53" s="3627"/>
      <c r="M53" s="2525">
        <f t="shared" ref="M53:O54" ca="1" si="0">D55</f>
        <v>0.35</v>
      </c>
      <c r="N53" s="3462" t="str">
        <f t="shared" si="0"/>
        <v>销售额×税（费）率</v>
      </c>
      <c r="O53" s="2526">
        <f t="shared" si="0"/>
        <v>5.0000000000000001E-4</v>
      </c>
    </row>
    <row r="54" spans="1:35" ht="12" customHeight="1">
      <c r="A54" s="3454" t="s">
        <v>1355</v>
      </c>
      <c r="B54" s="3588" t="s">
        <v>2288</v>
      </c>
      <c r="C54" s="3589"/>
      <c r="D54" s="1087">
        <f ca="1">C68</f>
        <v>0</v>
      </c>
      <c r="E54" s="327" t="s">
        <v>1356</v>
      </c>
      <c r="F54" s="2554">
        <f>'数据-取费表'!B41</f>
        <v>5.6000000000000001E-2</v>
      </c>
      <c r="G54" s="2555"/>
      <c r="H54" s="2556"/>
      <c r="I54" s="1807"/>
      <c r="J54" s="3462">
        <v>3</v>
      </c>
      <c r="K54" s="3627" t="s">
        <v>1357</v>
      </c>
      <c r="L54" s="3627"/>
      <c r="M54" s="2525">
        <f t="shared" ca="1" si="0"/>
        <v>0</v>
      </c>
      <c r="N54" s="3462" t="str">
        <f t="shared" si="0"/>
        <v>增值额×税（费）率</v>
      </c>
      <c r="O54" s="2527" t="str">
        <f t="shared" si="0"/>
        <v>——</v>
      </c>
    </row>
    <row r="55" spans="1:35" ht="24" customHeight="1">
      <c r="A55" s="3577" t="s">
        <v>1358</v>
      </c>
      <c r="B55" s="3578"/>
      <c r="C55" s="3578"/>
      <c r="D55" s="3464">
        <f ca="1">IF(H55="个人住宅",0,ROUND(D45*I55,2))</f>
        <v>0.35</v>
      </c>
      <c r="E55" s="3455" t="s">
        <v>1359</v>
      </c>
      <c r="F55" s="2554">
        <f>IF(H55="正常",I55,"免征")</f>
        <v>5.0000000000000001E-4</v>
      </c>
      <c r="G55" s="2555"/>
      <c r="H55" s="2550" t="s">
        <v>3395</v>
      </c>
      <c r="I55" s="165">
        <f>'数据-取费表'!B49</f>
        <v>5.0000000000000001E-4</v>
      </c>
      <c r="J55" s="3462" t="str">
        <f>IF(H59="非个人房产","",4)</f>
        <v/>
      </c>
      <c r="K55" s="3627" t="str">
        <f>IF(H59="非个人房产","——","个人所得税")</f>
        <v>——</v>
      </c>
      <c r="L55" s="3627"/>
      <c r="M55" s="2528" t="str">
        <f>D59</f>
        <v>——</v>
      </c>
      <c r="N55" s="3463" t="str">
        <f>E59</f>
        <v>——</v>
      </c>
      <c r="O55" s="2529" t="str">
        <f>F59</f>
        <v>——</v>
      </c>
    </row>
    <row r="56" spans="1:35" ht="24.75">
      <c r="A56" s="3577" t="s">
        <v>1360</v>
      </c>
      <c r="B56" s="3578"/>
      <c r="C56" s="3578"/>
      <c r="D56" s="3464">
        <f ca="1">IF(H56="个人住宅",D57,D58)</f>
        <v>0</v>
      </c>
      <c r="E56" s="3455" t="s">
        <v>1361</v>
      </c>
      <c r="F56" s="2554" t="str">
        <f>IF(H56="正常",F58,"免征")</f>
        <v>——</v>
      </c>
      <c r="G56" s="2557" t="s">
        <v>1362</v>
      </c>
      <c r="H56" s="2558" t="s">
        <v>3395</v>
      </c>
      <c r="I56" s="1808"/>
      <c r="J56" s="3462"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3454" t="s">
        <v>1338</v>
      </c>
      <c r="B57" s="3588" t="s">
        <v>1363</v>
      </c>
      <c r="C57" s="3589"/>
      <c r="D57" s="1590">
        <v>0</v>
      </c>
      <c r="E57" s="324" t="s">
        <v>1340</v>
      </c>
      <c r="F57" s="302"/>
      <c r="G57" s="2555"/>
      <c r="H57" s="2559"/>
      <c r="I57" s="1808"/>
      <c r="J57" s="3627">
        <f>IF(AND(J55="",J56=""),4,IF(项目基本情况!K6="上海银行",'结果表(1104净值)'!J56+1,'结果表(1104净值)'!J55+1))</f>
        <v>4</v>
      </c>
      <c r="K57" s="3627" t="s">
        <v>1364</v>
      </c>
      <c r="L57" s="2530" t="s">
        <v>1365</v>
      </c>
      <c r="M57" s="2531"/>
      <c r="N57" s="2532">
        <f ca="1">SUMIF(M52:M56,"&lt;9e307")</f>
        <v>0.35</v>
      </c>
      <c r="O57" s="2533"/>
      <c r="P57" s="2690">
        <f ca="1">N57/M49</f>
        <v>4.978662873399715E-4</v>
      </c>
    </row>
    <row r="58" spans="1:35" ht="24.75">
      <c r="A58" s="3454" t="s">
        <v>1349</v>
      </c>
      <c r="B58" s="3588" t="s">
        <v>1366</v>
      </c>
      <c r="C58" s="3562"/>
      <c r="D58" s="3464">
        <f ca="1">IF(H58="转让取得",C81,C97)</f>
        <v>0</v>
      </c>
      <c r="E58" s="3455" t="s">
        <v>1361</v>
      </c>
      <c r="F58" s="302" t="s">
        <v>28</v>
      </c>
      <c r="G58" s="2555"/>
      <c r="H58" s="2558" t="s">
        <v>3423</v>
      </c>
      <c r="I58" s="1808"/>
      <c r="J58" s="3627"/>
      <c r="K58" s="3627"/>
      <c r="L58" s="2530" t="s">
        <v>1367</v>
      </c>
      <c r="M58" s="2534"/>
      <c r="N58" s="2535" t="str">
        <f ca="1">NUMBERSTRING(INT(N57*10000),2)&amp;"元整"</f>
        <v>叁仟伍佰元整</v>
      </c>
      <c r="O58" s="2536"/>
    </row>
    <row r="59" spans="1:35" ht="24.75" thickBot="1">
      <c r="A59" s="3630" t="s">
        <v>1368</v>
      </c>
      <c r="B59" s="3631"/>
      <c r="C59" s="363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1362</v>
      </c>
      <c r="H59" s="2314" t="s">
        <v>3424</v>
      </c>
      <c r="I59" s="2313" t="s">
        <v>2133</v>
      </c>
      <c r="J59" s="3628">
        <f>J57+1</f>
        <v>5</v>
      </c>
      <c r="K59" s="3627" t="s">
        <v>1369</v>
      </c>
      <c r="L59" s="3462" t="s">
        <v>1365</v>
      </c>
      <c r="M59" s="2537"/>
      <c r="N59" s="2538">
        <f ca="1">M49-N57</f>
        <v>702.65</v>
      </c>
      <c r="O59" s="2539"/>
    </row>
    <row r="60" spans="1:35" ht="12" customHeight="1">
      <c r="A60" s="1809"/>
      <c r="B60" s="1747"/>
      <c r="C60" s="1747"/>
      <c r="D60" s="1747"/>
      <c r="E60" s="1578"/>
      <c r="F60" s="1808"/>
      <c r="G60" s="1808"/>
      <c r="H60" s="1810"/>
      <c r="I60" s="129"/>
      <c r="J60" s="3629"/>
      <c r="K60" s="3627"/>
      <c r="L60" s="2530" t="s">
        <v>1367</v>
      </c>
      <c r="M60" s="2534"/>
      <c r="N60" s="2535" t="str">
        <f ca="1">NUMBERSTRING(INT(N59*10000),2)&amp;"元整"</f>
        <v>柒佰零贰万陆仟伍佰元整</v>
      </c>
      <c r="O60" s="2536"/>
    </row>
    <row r="61" spans="1:35" ht="13.5" thickBot="1">
      <c r="A61" s="3575" t="s">
        <v>1370</v>
      </c>
      <c r="B61" s="3575"/>
      <c r="C61" s="3575"/>
      <c r="D61" s="3575"/>
      <c r="E61" s="3575"/>
      <c r="F61" s="1808"/>
      <c r="G61" s="1808"/>
      <c r="H61" s="1810"/>
      <c r="I61" s="129"/>
      <c r="J61" s="3462">
        <f>J59+1</f>
        <v>6</v>
      </c>
      <c r="K61" s="3627" t="s">
        <v>1371</v>
      </c>
      <c r="L61" s="3627"/>
      <c r="M61" s="2540"/>
      <c r="N61" s="2541">
        <f ca="1">ROUND(N59*10000/'数据-汇总表'!E3,0)</f>
        <v>8567</v>
      </c>
      <c r="O61" s="2542"/>
    </row>
    <row r="62" spans="1:35" ht="12.75">
      <c r="A62" s="3593" t="s">
        <v>1372</v>
      </c>
      <c r="B62" s="3594"/>
      <c r="C62" s="3458"/>
      <c r="D62" s="3458" t="s">
        <v>1373</v>
      </c>
      <c r="E62" s="166" t="s">
        <v>1374</v>
      </c>
      <c r="F62" s="1808"/>
      <c r="G62" s="1808"/>
      <c r="H62" s="1810"/>
      <c r="I62" s="129"/>
    </row>
    <row r="63" spans="1:35" ht="12.75">
      <c r="A63" s="173" t="s">
        <v>330</v>
      </c>
      <c r="B63" s="167" t="s">
        <v>1375</v>
      </c>
      <c r="C63" s="2564">
        <f ca="1">ROUND((C64+C65)/(1+'数据-取费表'!C42),0)</f>
        <v>670</v>
      </c>
      <c r="D63" s="167"/>
      <c r="E63" s="168"/>
      <c r="F63" s="1808"/>
      <c r="G63" s="1808"/>
      <c r="H63" s="1810"/>
      <c r="I63" s="129"/>
      <c r="J63" s="3652" t="s">
        <v>1376</v>
      </c>
      <c r="K63" s="3465" t="s">
        <v>1377</v>
      </c>
      <c r="L63" s="3465">
        <f ca="1">IF(M49&gt;10000,M49*0.5%,IF(AND(M49&gt;1000,M49&lt;=10000),M49*1%,IF(AND(M49&gt;100,M49&lt;=1000),M49*3%,IF(AND(M49&gt;10,M49&lt;=100),M49*5%,M49*8%))))</f>
        <v>21.09</v>
      </c>
      <c r="M63" s="302">
        <f ca="1">ROUND(L63,1)</f>
        <v>21.1</v>
      </c>
      <c r="N63" s="2543"/>
      <c r="Z63" s="1752"/>
      <c r="AI63" s="1753"/>
    </row>
    <row r="64" spans="1:35" ht="14.25" customHeight="1">
      <c r="A64" s="169" t="s">
        <v>325</v>
      </c>
      <c r="B64" s="170" t="s">
        <v>1378</v>
      </c>
      <c r="C64" s="2565">
        <f ca="1">D45</f>
        <v>703</v>
      </c>
      <c r="D64" s="170" t="s">
        <v>26</v>
      </c>
      <c r="E64" s="172"/>
      <c r="F64" s="1808"/>
      <c r="G64" s="1808"/>
      <c r="H64" s="1810"/>
      <c r="I64" s="129"/>
      <c r="J64" s="3652"/>
      <c r="K64" s="3465" t="s">
        <v>1379</v>
      </c>
      <c r="L64" s="3465">
        <f ca="1">IF(M49&gt;2000,M49*0.5%,IF(AND(M49&gt;1000,M49&lt;=2000),M49*0.6%,IF(AND(M49&gt;500,M49&lt;=1000),M49*0.7%,IF(AND(M49&gt;200,M49&lt;=500),M49*0.8%,IF(AND(M49&gt;100,M49&lt;=200),M49*0.9%,IF(AND(M49&gt;50,M49&lt;=100),M49*1%,IF(AND(M49&gt;20,M49&lt;=50),M49*1.5%,IF(AND(M49&gt;10,M49&lt;=20),M49*2%,IF(AND(M49&gt;1,M49&lt;=10),M49*2.5%)))))))))</f>
        <v>4.9209999999999994</v>
      </c>
      <c r="M64" s="302">
        <f t="shared" ref="M64:M65" ca="1" si="1">ROUND(L64,1)</f>
        <v>4.9000000000000004</v>
      </c>
      <c r="N64" s="2544" t="s">
        <v>1380</v>
      </c>
      <c r="Z64" s="1752"/>
      <c r="AI64" s="1753"/>
    </row>
    <row r="65" spans="1:35" ht="14.25" customHeight="1">
      <c r="A65" s="169" t="s">
        <v>326</v>
      </c>
      <c r="B65" s="170" t="s">
        <v>1381</v>
      </c>
      <c r="C65" s="2566"/>
      <c r="D65" s="170"/>
      <c r="E65" s="172"/>
      <c r="F65" s="1808"/>
      <c r="G65" s="1808"/>
      <c r="H65" s="1810"/>
      <c r="I65" s="129"/>
      <c r="J65" s="3652"/>
      <c r="K65" s="3465" t="s">
        <v>1382</v>
      </c>
      <c r="L65" s="3465">
        <f ca="1">IF(M49&gt;1000,M49*0.1%,IF(AND(M49&gt;500,M49&lt;=1000),M49*0.5%,IF(AND(M49&gt;50,M49&lt;=500),M49*1%,IF(AND(M49&gt;1,M49&lt;=50),M49*1.5%))))</f>
        <v>3.5150000000000001</v>
      </c>
      <c r="M65" s="302">
        <f t="shared" ca="1" si="1"/>
        <v>3.5</v>
      </c>
      <c r="N65" s="2544" t="s">
        <v>1380</v>
      </c>
      <c r="Z65" s="1752"/>
      <c r="AI65" s="1753"/>
    </row>
    <row r="66" spans="1:35" ht="14.25" customHeight="1">
      <c r="A66" s="173" t="s">
        <v>327</v>
      </c>
      <c r="B66" s="174" t="s">
        <v>1383</v>
      </c>
      <c r="C66" s="2567">
        <f>C75</f>
        <v>752.53335000000004</v>
      </c>
      <c r="D66" s="174" t="s">
        <v>26</v>
      </c>
      <c r="E66" s="1338" t="s">
        <v>668</v>
      </c>
      <c r="F66" s="1808"/>
      <c r="G66" s="1808"/>
      <c r="H66" s="1810"/>
      <c r="I66" s="129"/>
      <c r="J66" s="3652"/>
      <c r="K66" s="3465" t="s">
        <v>1384</v>
      </c>
      <c r="L66" s="3465">
        <f ca="1">M49*0.5%</f>
        <v>3.5150000000000001</v>
      </c>
      <c r="M66" s="302">
        <f ca="1">IF(L66&gt;0.5,0.5,ROUND(L66,0))</f>
        <v>0.5</v>
      </c>
      <c r="N66" s="2544" t="s">
        <v>1385</v>
      </c>
      <c r="Z66" s="1752"/>
      <c r="AI66" s="1753"/>
    </row>
    <row r="67" spans="1:35" ht="14.25" customHeight="1">
      <c r="A67" s="173" t="s">
        <v>328</v>
      </c>
      <c r="B67" s="174" t="s">
        <v>1386</v>
      </c>
      <c r="C67" s="2568">
        <f ca="1">C63-C66</f>
        <v>-82.533350000000041</v>
      </c>
      <c r="D67" s="170" t="s">
        <v>26</v>
      </c>
      <c r="E67" s="172"/>
      <c r="F67" s="1808"/>
      <c r="G67" s="1808"/>
      <c r="H67" s="1810"/>
      <c r="I67" s="129"/>
      <c r="J67" s="3652"/>
      <c r="K67" s="3465" t="s">
        <v>1387</v>
      </c>
      <c r="L67" s="3465">
        <f ca="1">IF(M49&gt;=10000,(8.25+(M49-10000)*0.01%),IF(AND(M49&gt;=8000,M49&lt;10000),(7.85+(M49-8000)*0.02%),IF(AND(M49&gt;=5000,M49&lt;8000),(6.65+(M49-5000)*0.04%),IF(AND(M49&gt;=2000,M49&lt;5000),(4.25+(PM49-2000)*0.08%),IF(AND(M49&gt;=1000,M49&lt;2000),(2.75+(M49-1000)*0.15%),IF(AND(M49&gt;=100,M49&lt;1000),(0.5+(M49-100)*0.25%),IF(AND(M49&gt;0,M49&lt;100),M49*0.5%)))))))</f>
        <v>2.0075000000000003</v>
      </c>
      <c r="M67" s="302">
        <f ca="1">ROUND(L67*0.9,1)</f>
        <v>1.8</v>
      </c>
      <c r="N67" s="2543"/>
      <c r="Z67" s="1752"/>
      <c r="AI67" s="1753"/>
    </row>
    <row r="68" spans="1:35" ht="14.25" customHeight="1" thickBot="1">
      <c r="A68" s="176" t="s">
        <v>329</v>
      </c>
      <c r="B68" s="177" t="s">
        <v>1388</v>
      </c>
      <c r="C68" s="2569">
        <f ca="1">IF(C67&lt;=0,0,ROUND(C67*D68,0))</f>
        <v>0</v>
      </c>
      <c r="D68" s="2570">
        <f>'数据-取费表'!B41</f>
        <v>5.6000000000000001E-2</v>
      </c>
      <c r="E68" s="178"/>
      <c r="F68" s="1808"/>
      <c r="G68" s="1808"/>
      <c r="H68" s="1810"/>
      <c r="I68" s="129"/>
      <c r="J68" s="3652"/>
      <c r="K68" s="3465" t="s">
        <v>1389</v>
      </c>
      <c r="L68" s="3465">
        <f ca="1">IF(M49&gt;10000,M49*0.5%,IF(AND(M49&gt;5000,M49&lt;=10000),M49*1%,IF(AND(M49&gt;1000,M49&lt;=5000),M49*2%,IF(AND(M49&gt;200,M49&lt;=1000),M49*3%,M49*5%))))</f>
        <v>21.09</v>
      </c>
      <c r="M68" s="302">
        <f ca="1">ROUND(L68,1)</f>
        <v>21.1</v>
      </c>
      <c r="N68" s="2543"/>
      <c r="Z68" s="1752"/>
      <c r="AI68" s="1753"/>
    </row>
    <row r="69" spans="1:35" s="1772" customFormat="1" ht="16.5" customHeight="1">
      <c r="A69" s="1811"/>
      <c r="B69" s="1812"/>
      <c r="C69" s="1813"/>
      <c r="D69" s="1814"/>
      <c r="E69" s="1815"/>
      <c r="F69" s="1578"/>
      <c r="G69" s="1578"/>
      <c r="H69" s="1577"/>
      <c r="I69" s="1747"/>
      <c r="J69" s="3652"/>
      <c r="K69" s="3465" t="s">
        <v>1390</v>
      </c>
      <c r="L69" s="3465"/>
      <c r="M69" s="302">
        <f ca="1">ROUND(SUM(M63:M68),0)</f>
        <v>53</v>
      </c>
      <c r="N69" s="2545">
        <f ca="1">M69/M49</f>
        <v>7.5391180654338544E-2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1391</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1372</v>
      </c>
      <c r="B71" s="3594"/>
      <c r="C71" s="3458"/>
      <c r="D71" s="3458"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670</v>
      </c>
      <c r="D72" s="170" t="s">
        <v>26</v>
      </c>
      <c r="E72" s="3457"/>
      <c r="F72" s="3450"/>
      <c r="G72" s="345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780</v>
      </c>
      <c r="D73" s="170" t="s">
        <v>26</v>
      </c>
      <c r="E73" s="3457"/>
      <c r="F73" s="3450"/>
      <c r="G73" s="345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776</v>
      </c>
      <c r="D74" s="170" t="s">
        <v>26</v>
      </c>
      <c r="E74" s="3457"/>
      <c r="F74" s="3450"/>
      <c r="G74" s="345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f>7525333.5/10000</f>
        <v>752.53335000000004</v>
      </c>
      <c r="D75" s="170" t="s">
        <v>26</v>
      </c>
      <c r="E75" s="184" t="s">
        <v>1396</v>
      </c>
      <c r="F75" s="2572" t="s">
        <v>3425</v>
      </c>
      <c r="G75" s="184" t="s">
        <v>1397</v>
      </c>
      <c r="H75" s="2573">
        <v>9</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88" t="s">
        <v>1399</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23</v>
      </c>
      <c r="D77" s="2575">
        <f>'数据-取费表'!B48+'数据-取费表'!B49</f>
        <v>3.0499999999999999E-2</v>
      </c>
      <c r="E77" s="3464" t="s">
        <v>1401</v>
      </c>
      <c r="F77" s="186"/>
      <c r="G77" s="1822" t="s">
        <v>3426</v>
      </c>
      <c r="H77" s="346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4</v>
      </c>
      <c r="D78" s="2577">
        <f>'数据-取费表'!B43</f>
        <v>6.000000000000001E-3</v>
      </c>
      <c r="E78" s="3572" t="s">
        <v>1403</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1404</v>
      </c>
      <c r="C79" s="2568">
        <f ca="1">C72-C73</f>
        <v>-110</v>
      </c>
      <c r="D79" s="170" t="s">
        <v>26</v>
      </c>
      <c r="E79" s="3457"/>
      <c r="F79" s="3450"/>
      <c r="G79" s="345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0</v>
      </c>
      <c r="D80" s="170" t="s">
        <v>26</v>
      </c>
      <c r="E80" s="3464" t="str">
        <f ca="1">IF(C80&gt;=200%,"增值额超过扣除项目金额200%",IF(C80&gt;=100%,"增值额超过扣除项目金额100%，未超过200%",IF(C80&gt;=50%,"增值额超过扣除项目金额50%，未超过100%",IF(C80&lt;50%,"增值额未超过扣除项目金额50%"))))</f>
        <v>增值额未超过扣除项目金额50%</v>
      </c>
      <c r="F80" s="3450"/>
      <c r="G80" s="345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1407</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1372</v>
      </c>
      <c r="B84" s="3594"/>
      <c r="C84" s="3458"/>
      <c r="D84" s="3458"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670</v>
      </c>
      <c r="D85" s="170" t="s">
        <v>26</v>
      </c>
      <c r="E85" s="3457"/>
      <c r="F85" s="3450"/>
      <c r="G85" s="345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4</v>
      </c>
      <c r="D86" s="2581"/>
      <c r="E86" s="3457"/>
      <c r="F86" s="3450"/>
      <c r="G86" s="345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3451"/>
      <c r="F87" s="3452"/>
      <c r="G87" s="3452"/>
      <c r="H87" s="345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3452"/>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3452"/>
      <c r="G89" s="3452"/>
      <c r="H89" s="345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3452"/>
      <c r="G90" s="3654" t="s">
        <v>2125</v>
      </c>
      <c r="H90" s="3655"/>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72" t="s">
        <v>1416</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72" t="s">
        <v>1419</v>
      </c>
      <c r="F92" s="3573"/>
      <c r="G92" s="3573"/>
      <c r="H92" s="3582"/>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4</v>
      </c>
      <c r="D93" s="2577">
        <f>'数据-取费表'!B43</f>
        <v>6.000000000000001E-3</v>
      </c>
      <c r="E93" s="3572" t="s">
        <v>1403</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83" t="s">
        <v>1423</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1404</v>
      </c>
      <c r="C95" s="2568">
        <f ca="1">ROUND(C85-C86,0)</f>
        <v>666</v>
      </c>
      <c r="D95" s="170" t="s">
        <v>26</v>
      </c>
      <c r="E95" s="3457"/>
      <c r="F95" s="3450"/>
      <c r="G95" s="345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166.5</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56" t="s">
        <v>1425</v>
      </c>
      <c r="B100" s="3557"/>
      <c r="C100" s="3557"/>
      <c r="D100" s="3574"/>
      <c r="E100" s="3557" t="s">
        <v>1426</v>
      </c>
      <c r="F100" s="3557"/>
      <c r="G100" s="3557"/>
      <c r="H100" s="3574"/>
      <c r="I100" s="129"/>
    </row>
    <row r="101" spans="1:35" ht="18.75" customHeight="1">
      <c r="A101" s="3635" t="s">
        <v>1427</v>
      </c>
      <c r="B101" s="3636"/>
      <c r="C101" s="2585" t="str">
        <f>C4</f>
        <v>比较法-办公</v>
      </c>
      <c r="D101" s="2586" t="str">
        <f>D4</f>
        <v>收益法 (元)</v>
      </c>
      <c r="E101" s="3649" t="s">
        <v>1428</v>
      </c>
      <c r="F101" s="3606"/>
      <c r="G101" s="1827" t="s">
        <v>1429</v>
      </c>
      <c r="H101" s="2595">
        <f ca="1">H118</f>
        <v>698</v>
      </c>
      <c r="I101" s="129"/>
    </row>
    <row r="102" spans="1:35" ht="18.75" customHeight="1">
      <c r="A102" s="3608" t="s">
        <v>1430</v>
      </c>
      <c r="B102" s="2584" t="s">
        <v>1429</v>
      </c>
      <c r="C102" s="2585">
        <f ca="1">IF(D32="楼面单价",ROUND(C19,0),C19)</f>
        <v>768</v>
      </c>
      <c r="D102" s="2586">
        <f ca="1">IF(D32="楼面单价",ROUND(D19,0),D19)</f>
        <v>535</v>
      </c>
      <c r="E102" s="3649"/>
      <c r="F102" s="3606"/>
      <c r="G102" s="1827" t="s">
        <v>1431</v>
      </c>
      <c r="H102" s="2555">
        <f ca="1">I118</f>
        <v>27068</v>
      </c>
      <c r="I102" s="129"/>
    </row>
    <row r="103" spans="1:35" ht="42.75" customHeight="1">
      <c r="A103" s="3608"/>
      <c r="B103" s="2584" t="s">
        <v>1431</v>
      </c>
      <c r="C103" s="2587">
        <f ca="1">C20</f>
        <v>29780</v>
      </c>
      <c r="D103" s="2588">
        <f ca="1">D20</f>
        <v>20739</v>
      </c>
      <c r="E103" s="3643" t="s">
        <v>1432</v>
      </c>
      <c r="F103" s="3644"/>
      <c r="G103" s="1828" t="s">
        <v>1433</v>
      </c>
      <c r="H103" s="2595">
        <f>IF(D36="正常操作",H104+H105+H106,H105+H106)</f>
        <v>0</v>
      </c>
      <c r="I103" s="129"/>
    </row>
    <row r="104" spans="1:35" ht="18.75" customHeight="1">
      <c r="A104" s="3608" t="s">
        <v>1434</v>
      </c>
      <c r="B104" s="2589" t="s">
        <v>1429</v>
      </c>
      <c r="C104" s="2590">
        <f ca="1">H118</f>
        <v>698</v>
      </c>
      <c r="D104" s="2591"/>
      <c r="E104" s="1674" t="s">
        <v>1435</v>
      </c>
      <c r="F104" s="1666"/>
      <c r="G104" s="1828" t="s">
        <v>1433</v>
      </c>
      <c r="H104" s="2596">
        <f>IF(D36="同一抵押权人同一抵押物续贷",C36&amp;"（续贷，未扣减，详见特别提示）",C36)</f>
        <v>0</v>
      </c>
      <c r="I104" s="129"/>
    </row>
    <row r="105" spans="1:35" ht="18.75" customHeight="1" thickBot="1">
      <c r="A105" s="3609"/>
      <c r="B105" s="2592" t="s">
        <v>1431</v>
      </c>
      <c r="C105" s="2593">
        <f ca="1">I118</f>
        <v>27068</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05" t="str">
        <f>IF(项目基本情况!E8="已注销","——","3.房地产抵押价值")</f>
        <v>3.房地产抵押价值</v>
      </c>
      <c r="F107" s="3606"/>
      <c r="G107" s="1827" t="s">
        <v>1429</v>
      </c>
      <c r="H107" s="2595">
        <f ca="1">IF(E107="——","——",H101-H103)</f>
        <v>698</v>
      </c>
      <c r="I107" s="129"/>
    </row>
    <row r="108" spans="1:35" ht="18.75" customHeight="1">
      <c r="A108" s="129"/>
      <c r="B108" s="129"/>
      <c r="C108" s="129"/>
      <c r="D108" s="129"/>
      <c r="E108" s="3605"/>
      <c r="F108" s="3606"/>
      <c r="G108" s="1827" t="s">
        <v>1431</v>
      </c>
      <c r="H108" s="2555">
        <f ca="1">IF(H107=H101,H102,ROUND(H107*10000/'数据-汇总表'!E3,0))</f>
        <v>27068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1429</v>
      </c>
      <c r="H109" s="2598" t="str">
        <f>IF(E109="——","——",H101-H105-H106)</f>
        <v>——</v>
      </c>
      <c r="I109" s="129"/>
    </row>
    <row r="110" spans="1:35" ht="18.75" customHeight="1">
      <c r="A110" s="129"/>
      <c r="B110" s="129"/>
      <c r="C110" s="129"/>
      <c r="D110" s="129"/>
      <c r="E110" s="3605"/>
      <c r="F110" s="3606"/>
      <c r="G110" s="1827" t="s">
        <v>1431</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1429</v>
      </c>
      <c r="H111" s="2595" t="str">
        <f>IF(E111="——","——",N59)</f>
        <v>——</v>
      </c>
      <c r="I111" s="129"/>
    </row>
    <row r="112" spans="1:35" ht="18.75" customHeight="1" thickBot="1">
      <c r="A112" s="129"/>
      <c r="B112" s="129"/>
      <c r="C112" s="129"/>
      <c r="D112" s="129"/>
      <c r="E112" s="3638"/>
      <c r="F112" s="3639"/>
      <c r="G112" s="1830" t="s">
        <v>1431</v>
      </c>
      <c r="H112" s="2599" t="str">
        <f>IF(E111="——","——",N61)</f>
        <v>——</v>
      </c>
      <c r="I112" s="129"/>
    </row>
    <row r="113" spans="1:27" ht="18.75" customHeight="1">
      <c r="A113" s="129"/>
      <c r="B113" s="129"/>
      <c r="C113" s="129"/>
      <c r="D113" s="129"/>
      <c r="E113" s="3610" t="s">
        <v>1437</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1439</v>
      </c>
      <c r="B115" s="3621"/>
      <c r="C115" s="3621"/>
      <c r="D115" s="3621"/>
      <c r="E115" s="3621"/>
      <c r="F115" s="3621"/>
      <c r="G115" s="3621"/>
      <c r="H115" s="3621"/>
      <c r="I115" s="3622"/>
    </row>
    <row r="116" spans="1:27" ht="27" customHeight="1">
      <c r="A116" s="3576" t="s">
        <v>1440</v>
      </c>
      <c r="B116" s="3611" t="s">
        <v>1441</v>
      </c>
      <c r="C116" s="3611" t="s">
        <v>1442</v>
      </c>
      <c r="D116" s="3624" t="s">
        <v>1443</v>
      </c>
      <c r="E116" s="3625"/>
      <c r="F116" s="3619" t="s">
        <v>1444</v>
      </c>
      <c r="G116" s="3619"/>
      <c r="H116" s="3576" t="s">
        <v>1445</v>
      </c>
      <c r="I116" s="3576"/>
    </row>
    <row r="117" spans="1:27" ht="18.75" customHeight="1">
      <c r="A117" s="3576"/>
      <c r="B117" s="3612"/>
      <c r="C117" s="3612"/>
      <c r="D117" s="3453" t="s">
        <v>1446</v>
      </c>
      <c r="E117" s="3453" t="s">
        <v>1447</v>
      </c>
      <c r="F117" s="3453" t="s">
        <v>1446</v>
      </c>
      <c r="G117" s="3453" t="s">
        <v>1448</v>
      </c>
      <c r="H117" s="3453" t="s">
        <v>1446</v>
      </c>
      <c r="I117" s="3453" t="s">
        <v>1448</v>
      </c>
    </row>
    <row r="118" spans="1:27" ht="24.75" customHeight="1">
      <c r="A118" s="2600" t="str">
        <f>项目基本情况!S2</f>
        <v>北京市石景山区八角东街65号院主楼北座2号楼1102、1103、1104房地产</v>
      </c>
      <c r="B118" s="3453">
        <f>M18</f>
        <v>257.75</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698</v>
      </c>
      <c r="I118" s="3453">
        <f ca="1">ROUND(IF(D32="楼面单价",C32,H118*10000/B118),0)</f>
        <v>27068</v>
      </c>
    </row>
    <row r="119" spans="1:27" ht="18.75" customHeight="1">
      <c r="A119" s="3576" t="s">
        <v>1449</v>
      </c>
      <c r="B119" s="3576"/>
      <c r="C119" s="3576"/>
      <c r="D119" s="3616" t="e">
        <f ca="1">NUMBERSTRING(INT(D118*10000),2)&amp;"元整"</f>
        <v>#REF!</v>
      </c>
      <c r="E119" s="3618"/>
      <c r="F119" s="3616" t="e">
        <f ca="1">NUMBERSTRING(INT(F118*10000),2)&amp;"元整"</f>
        <v>#REF!</v>
      </c>
      <c r="G119" s="3618"/>
      <c r="H119" s="3616" t="str">
        <f ca="1">NUMBERSTRING(INT(H118*10000),2)&amp;"元整"</f>
        <v>陆佰玖拾捌万元整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1449</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698</v>
      </c>
      <c r="E122" s="3641"/>
      <c r="F122" s="3641"/>
      <c r="G122" s="3641"/>
      <c r="H122" s="3641"/>
      <c r="I122" s="3642"/>
      <c r="AA122" s="725"/>
    </row>
    <row r="123" spans="1:27" ht="18.75" customHeight="1">
      <c r="A123" s="3576" t="s">
        <v>1449</v>
      </c>
      <c r="B123" s="3576"/>
      <c r="C123" s="3576"/>
      <c r="D123" s="3616" t="str">
        <f ca="1">NUMBERSTRING(INT(D122*10000),2)&amp;"元整"</f>
        <v>陆佰玖拾捌万元整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1449</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1449</v>
      </c>
      <c r="B127" s="3576"/>
      <c r="C127" s="3576"/>
      <c r="D127" s="3616" t="e">
        <f>NUMBERSTRING(INT(D126*10000),2)&amp;"元整"</f>
        <v>#VALUE!</v>
      </c>
      <c r="E127" s="3617"/>
      <c r="F127" s="3617"/>
      <c r="G127" s="3617"/>
      <c r="H127" s="3617"/>
      <c r="I127" s="3618"/>
      <c r="AA127" s="725"/>
    </row>
    <row r="128" spans="1:27" ht="21.75" customHeight="1">
      <c r="A128" s="3623" t="s">
        <v>1450</v>
      </c>
      <c r="B128" s="3623"/>
      <c r="C128" s="3623"/>
      <c r="D128" s="3623"/>
      <c r="E128" s="3623"/>
      <c r="F128" s="3623"/>
      <c r="G128" s="3623"/>
      <c r="H128" s="3623"/>
      <c r="I128" s="3623"/>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5" zoomScaleNormal="70" zoomScaleSheetLayoutView="85" workbookViewId="0">
      <selection activeCell="M53" sqref="M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1102</v>
      </c>
      <c r="E1" s="3433" t="s">
        <v>3392</v>
      </c>
      <c r="F1" s="1879" t="s">
        <v>3393</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767.57950000000005</v>
      </c>
      <c r="C2" s="1881" t="s">
        <v>43</v>
      </c>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29780</v>
      </c>
      <c r="C3" s="354" t="s">
        <v>1765</v>
      </c>
      <c r="D3" s="353">
        <f>IF(D1="",'数据-汇总表'!E3,SUMIF('数据-汇总表'!$C19:$C33,D1,'数据-汇总表'!$E19:$E33))</f>
        <v>257.75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682" t="s">
        <v>1767</v>
      </c>
      <c r="D4" s="3683"/>
      <c r="E4" s="3684" t="s">
        <v>1768</v>
      </c>
      <c r="F4" s="3685"/>
      <c r="G4" s="3682" t="s">
        <v>1769</v>
      </c>
      <c r="H4" s="3683"/>
      <c r="I4" s="3682" t="s">
        <v>1770</v>
      </c>
      <c r="J4" s="3683"/>
      <c r="K4" s="559" t="s">
        <v>1771</v>
      </c>
      <c r="L4" s="2715"/>
      <c r="M4" s="2716"/>
      <c r="N4" s="2716"/>
      <c r="O4" s="2716"/>
      <c r="P4" s="3686" t="s">
        <v>1772</v>
      </c>
      <c r="Q4" s="3687"/>
      <c r="R4" s="3692" t="s">
        <v>1768</v>
      </c>
      <c r="S4" s="3693"/>
      <c r="T4" s="3692" t="s">
        <v>1769</v>
      </c>
      <c r="U4" s="3693"/>
      <c r="V4" s="3698" t="s">
        <v>1770</v>
      </c>
      <c r="W4" s="3698"/>
      <c r="X4" s="1958"/>
      <c r="Y4" s="3692" t="s">
        <v>1772</v>
      </c>
      <c r="Z4" s="3693"/>
      <c r="AA4" s="3711" t="s">
        <v>1768</v>
      </c>
      <c r="AB4" s="3711" t="s">
        <v>1769</v>
      </c>
      <c r="AC4" s="3679" t="s">
        <v>1770</v>
      </c>
    </row>
    <row r="5" spans="1:29" ht="15">
      <c r="A5" s="358"/>
      <c r="B5" s="359"/>
      <c r="C5" s="3702" t="s">
        <v>1670</v>
      </c>
      <c r="D5" s="3703"/>
      <c r="E5" s="3714" t="s">
        <v>3394</v>
      </c>
      <c r="F5" s="3715"/>
      <c r="G5" s="3702" t="str">
        <f>E5</f>
        <v>金融街长安中心</v>
      </c>
      <c r="H5" s="3703"/>
      <c r="I5" s="3708" t="str">
        <f>案例!N8</f>
        <v>中海寰宇天下天赋</v>
      </c>
      <c r="J5" s="3703"/>
      <c r="K5" s="559"/>
      <c r="L5" s="2715"/>
      <c r="M5" s="2716"/>
      <c r="N5" s="2716"/>
      <c r="O5" s="2716"/>
      <c r="P5" s="3688"/>
      <c r="Q5" s="3689"/>
      <c r="R5" s="3694"/>
      <c r="S5" s="3695"/>
      <c r="T5" s="3694"/>
      <c r="U5" s="3695"/>
      <c r="V5" s="3699"/>
      <c r="W5" s="3699"/>
      <c r="X5" s="1355"/>
      <c r="Y5" s="3694"/>
      <c r="Z5" s="3695"/>
      <c r="AA5" s="3712"/>
      <c r="AB5" s="3712"/>
      <c r="AC5" s="3680"/>
    </row>
    <row r="6" spans="1:29" ht="15.75" thickBot="1">
      <c r="A6" s="360"/>
      <c r="B6" s="361"/>
      <c r="C6" s="3700" t="s">
        <v>1674</v>
      </c>
      <c r="D6" s="3701"/>
      <c r="E6" s="3709" t="s">
        <v>1674</v>
      </c>
      <c r="F6" s="3710"/>
      <c r="G6" s="3700" t="s">
        <v>1674</v>
      </c>
      <c r="H6" s="3701"/>
      <c r="I6" s="3700" t="s">
        <v>1674</v>
      </c>
      <c r="J6" s="3701"/>
      <c r="K6" s="559" t="s">
        <v>1675</v>
      </c>
      <c r="L6" s="2715"/>
      <c r="M6" s="2716"/>
      <c r="N6" s="2716"/>
      <c r="O6" s="2716"/>
      <c r="P6" s="3690"/>
      <c r="Q6" s="3691"/>
      <c r="R6" s="3694"/>
      <c r="S6" s="3695"/>
      <c r="T6" s="3696"/>
      <c r="U6" s="3697"/>
      <c r="V6" s="3699"/>
      <c r="W6" s="3699"/>
      <c r="X6" s="1355"/>
      <c r="Y6" s="3696"/>
      <c r="Z6" s="3697"/>
      <c r="AA6" s="3713"/>
      <c r="AB6" s="3713"/>
      <c r="AC6" s="3681"/>
    </row>
    <row r="7" spans="1:29" s="108" customFormat="1" ht="15.75" thickBot="1">
      <c r="A7" s="362" t="s">
        <v>1676</v>
      </c>
      <c r="B7" s="363"/>
      <c r="C7" s="364">
        <f>'数据-取费表'!B2</f>
        <v>45435</v>
      </c>
      <c r="D7" s="365">
        <v>100</v>
      </c>
      <c r="E7" s="366">
        <f>C7</f>
        <v>45435</v>
      </c>
      <c r="F7" s="367">
        <f>SUMIF(59:59,YEAR(E7)&amp;"-"&amp;MONTH(E7),60:60)</f>
        <v>100</v>
      </c>
      <c r="G7" s="366">
        <f>C7</f>
        <v>45435</v>
      </c>
      <c r="H7" s="365">
        <f>SUMIF(59:59,YEAR(G7)&amp;"-"&amp;MONTH(G7),60:60)</f>
        <v>100</v>
      </c>
      <c r="I7" s="366">
        <f>案例!Q8</f>
        <v>45268</v>
      </c>
      <c r="J7" s="365">
        <f>SUMIF(59:59,YEAR(I7)&amp;"-"&amp;MONTH(I7),60:60)</f>
        <v>100</v>
      </c>
      <c r="K7" s="560"/>
      <c r="L7" s="2717"/>
      <c r="M7" s="2718"/>
      <c r="N7" s="2718"/>
      <c r="O7" s="2718"/>
      <c r="P7" s="3704" t="s">
        <v>1677</v>
      </c>
      <c r="Q7" s="3707"/>
      <c r="R7" s="701" t="s">
        <v>14</v>
      </c>
      <c r="S7" s="702">
        <f t="shared" ref="S7:S15" si="0">F7</f>
        <v>100</v>
      </c>
      <c r="T7" s="701" t="s">
        <v>14</v>
      </c>
      <c r="U7" s="702">
        <f t="shared" ref="U7:U15" si="1">H7</f>
        <v>100</v>
      </c>
      <c r="V7" s="701" t="s">
        <v>14</v>
      </c>
      <c r="W7" s="702">
        <f t="shared" ref="W7:W15" si="2">J7</f>
        <v>100</v>
      </c>
      <c r="X7" s="703"/>
      <c r="Y7" s="3706" t="s">
        <v>1677</v>
      </c>
      <c r="Z7" s="3705"/>
      <c r="AA7" s="704">
        <f>D7/F7</f>
        <v>1</v>
      </c>
      <c r="AB7" s="704">
        <f>D7/H7</f>
        <v>1</v>
      </c>
      <c r="AC7" s="1959">
        <f>D7/J7</f>
        <v>1</v>
      </c>
    </row>
    <row r="8" spans="1:29" s="108" customFormat="1" ht="15.75" thickBot="1">
      <c r="A8" s="362" t="s">
        <v>1678</v>
      </c>
      <c r="B8" s="363"/>
      <c r="C8" s="368" t="s">
        <v>3395</v>
      </c>
      <c r="D8" s="365">
        <v>100</v>
      </c>
      <c r="E8" s="368" t="s">
        <v>3417</v>
      </c>
      <c r="F8" s="367">
        <f>SUMIF(62:62,E8,63:63)-SUMIF(62:62,C8,63:63)+100</f>
        <v>102</v>
      </c>
      <c r="G8" s="368" t="s">
        <v>3417</v>
      </c>
      <c r="H8" s="365">
        <f>SUMIF(62:62,G8,63:63)-SUMIF(62:62,C8,63:63)+100</f>
        <v>102</v>
      </c>
      <c r="I8" s="368" t="s">
        <v>3395</v>
      </c>
      <c r="J8" s="365">
        <f>SUMIF(62:62,I8,63:63)-SUMIF(62:62,C8,63:63)+100</f>
        <v>100</v>
      </c>
      <c r="K8" s="560"/>
      <c r="L8" s="2717"/>
      <c r="M8" s="2718"/>
      <c r="N8" s="2718"/>
      <c r="O8" s="2718"/>
      <c r="P8" s="3704" t="s">
        <v>1680</v>
      </c>
      <c r="Q8" s="3705"/>
      <c r="R8" s="701" t="s">
        <v>14</v>
      </c>
      <c r="S8" s="702">
        <f t="shared" si="0"/>
        <v>102</v>
      </c>
      <c r="T8" s="701" t="s">
        <v>14</v>
      </c>
      <c r="U8" s="702">
        <f t="shared" si="1"/>
        <v>102</v>
      </c>
      <c r="V8" s="701" t="s">
        <v>14</v>
      </c>
      <c r="W8" s="702">
        <f t="shared" si="2"/>
        <v>100</v>
      </c>
      <c r="X8" s="703"/>
      <c r="Y8" s="3706" t="s">
        <v>1680</v>
      </c>
      <c r="Z8" s="3705"/>
      <c r="AA8" s="704">
        <f t="shared" ref="AA8:AA47" si="3">D8/F8</f>
        <v>0.98039215686274506</v>
      </c>
      <c r="AB8" s="704">
        <f t="shared" ref="AB8:AB47" si="4">D8/H8</f>
        <v>0.98039215686274506</v>
      </c>
      <c r="AC8" s="1959">
        <f t="shared" ref="AC8:AC47" si="5">D8/J8</f>
        <v>1</v>
      </c>
    </row>
    <row r="9" spans="1:29" s="108" customFormat="1">
      <c r="A9" s="369" t="s">
        <v>1681</v>
      </c>
      <c r="B9" s="63" t="s">
        <v>1682</v>
      </c>
      <c r="C9" s="3466" t="s">
        <v>3427</v>
      </c>
      <c r="D9" s="126">
        <v>100</v>
      </c>
      <c r="E9" s="373" t="s">
        <v>21</v>
      </c>
      <c r="F9" s="126">
        <f>SUMIF(64:64,E9,65:65)-SUMIF(64:64,C9,65:65)+100</f>
        <v>101</v>
      </c>
      <c r="G9" s="373" t="s">
        <v>21</v>
      </c>
      <c r="H9" s="126">
        <f>SUMIF(64:64,G9,65:65)-SUMIF(64:64,C9,65:65)+100</f>
        <v>101</v>
      </c>
      <c r="I9" s="373" t="s">
        <v>21</v>
      </c>
      <c r="J9" s="126">
        <f>SUMIF(64:64,I9,65:65)-SUMIF(64:64,C9,65:65)+100</f>
        <v>101</v>
      </c>
      <c r="K9" s="560"/>
      <c r="L9" s="2717"/>
      <c r="M9" s="2718"/>
      <c r="N9" s="2718"/>
      <c r="O9" s="2718"/>
      <c r="P9" s="3664" t="s">
        <v>1683</v>
      </c>
      <c r="Q9" s="1343" t="str">
        <f t="shared" ref="Q9:Q15" si="6">B9</f>
        <v>用途</v>
      </c>
      <c r="R9" s="701" t="s">
        <v>14</v>
      </c>
      <c r="S9" s="702">
        <f t="shared" si="0"/>
        <v>101</v>
      </c>
      <c r="T9" s="701" t="s">
        <v>14</v>
      </c>
      <c r="U9" s="702">
        <f t="shared" si="1"/>
        <v>101</v>
      </c>
      <c r="V9" s="701" t="s">
        <v>14</v>
      </c>
      <c r="W9" s="702">
        <f t="shared" si="2"/>
        <v>101</v>
      </c>
      <c r="X9" s="703"/>
      <c r="Y9" s="3563" t="s">
        <v>1684</v>
      </c>
      <c r="Z9" s="52" t="str">
        <f t="shared" ref="Z9:Z15" si="7">Q9</f>
        <v>用途</v>
      </c>
      <c r="AA9" s="704">
        <f t="shared" si="3"/>
        <v>0.99009900990099009</v>
      </c>
      <c r="AB9" s="704">
        <f t="shared" si="4"/>
        <v>0.99009900990099009</v>
      </c>
      <c r="AC9" s="1959">
        <f t="shared" si="5"/>
        <v>0.99009900990099009</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70" t="s">
        <v>1688</v>
      </c>
      <c r="Q15" s="1352" t="str">
        <f t="shared" si="6"/>
        <v>办公集聚程度</v>
      </c>
      <c r="R15" s="705" t="s">
        <v>14</v>
      </c>
      <c r="S15" s="706">
        <f t="shared" si="0"/>
        <v>100</v>
      </c>
      <c r="T15" s="705" t="s">
        <v>14</v>
      </c>
      <c r="U15" s="706">
        <f t="shared" si="1"/>
        <v>100</v>
      </c>
      <c r="V15" s="705" t="s">
        <v>14</v>
      </c>
      <c r="W15" s="706">
        <f t="shared" si="2"/>
        <v>100</v>
      </c>
      <c r="X15" s="1355"/>
      <c r="Y15" s="3672" t="s">
        <v>1688</v>
      </c>
      <c r="Z15" s="1356" t="str">
        <f t="shared" si="7"/>
        <v>办公集聚程度</v>
      </c>
      <c r="AA15" s="1353">
        <f t="shared" si="3"/>
        <v>1</v>
      </c>
      <c r="AB15" s="1353">
        <f t="shared" si="4"/>
        <v>1</v>
      </c>
      <c r="AC15" s="1962">
        <f t="shared" si="5"/>
        <v>1</v>
      </c>
    </row>
    <row r="16" spans="1:29" ht="15">
      <c r="A16" s="379"/>
      <c r="B16" s="578"/>
      <c r="C16" s="1904" t="s">
        <v>3396</v>
      </c>
      <c r="D16" s="399"/>
      <c r="E16" s="1904" t="s">
        <v>3396</v>
      </c>
      <c r="F16" s="399"/>
      <c r="G16" s="1904" t="s">
        <v>3396</v>
      </c>
      <c r="H16" s="401"/>
      <c r="I16" s="1904" t="s">
        <v>3396</v>
      </c>
      <c r="J16" s="399"/>
      <c r="K16" s="564"/>
      <c r="L16" s="2722"/>
      <c r="M16" s="2716"/>
      <c r="N16" s="2716"/>
      <c r="O16" s="2716"/>
      <c r="P16" s="3671"/>
      <c r="Q16" s="1352"/>
      <c r="R16" s="705"/>
      <c r="S16" s="706"/>
      <c r="T16" s="705"/>
      <c r="U16" s="706"/>
      <c r="V16" s="705"/>
      <c r="W16" s="706"/>
      <c r="X16" s="1355"/>
      <c r="Y16" s="3673"/>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t="s">
        <v>3397</v>
      </c>
      <c r="D18" s="401"/>
      <c r="E18" s="1964" t="s">
        <v>3397</v>
      </c>
      <c r="F18" s="401"/>
      <c r="G18" s="1964" t="s">
        <v>3397</v>
      </c>
      <c r="H18" s="399"/>
      <c r="I18" s="1964" t="s">
        <v>3397</v>
      </c>
      <c r="J18" s="399"/>
      <c r="K18" s="564"/>
      <c r="L18" s="2722"/>
      <c r="M18" s="2716"/>
      <c r="N18" s="2716"/>
      <c r="O18" s="2716"/>
      <c r="P18" s="3671"/>
      <c r="Q18" s="1352"/>
      <c r="R18" s="705"/>
      <c r="S18" s="706"/>
      <c r="T18" s="705"/>
      <c r="U18" s="706"/>
      <c r="V18" s="705"/>
      <c r="W18" s="706"/>
      <c r="X18" s="1355"/>
      <c r="Y18" s="3673"/>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2"/>
      <c r="M20" s="2716"/>
      <c r="N20" s="2716"/>
      <c r="O20" s="2716"/>
      <c r="P20" s="3671"/>
      <c r="Q20" s="1352"/>
      <c r="R20" s="705"/>
      <c r="S20" s="706"/>
      <c r="T20" s="705"/>
      <c r="U20" s="706"/>
      <c r="V20" s="705"/>
      <c r="W20" s="706"/>
      <c r="X20" s="1355"/>
      <c r="Y20" s="3673"/>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1964" t="s">
        <v>3398</v>
      </c>
      <c r="F22" s="399"/>
      <c r="G22" s="1964" t="s">
        <v>3398</v>
      </c>
      <c r="H22" s="399"/>
      <c r="I22" s="1964" t="s">
        <v>3398</v>
      </c>
      <c r="J22" s="399"/>
      <c r="K22" s="1130"/>
      <c r="L22" s="2722"/>
      <c r="M22" s="2716"/>
      <c r="N22" s="2716"/>
      <c r="O22" s="2716"/>
      <c r="P22" s="3671"/>
      <c r="Q22" s="1352"/>
      <c r="R22" s="705"/>
      <c r="S22" s="706"/>
      <c r="T22" s="705"/>
      <c r="U22" s="706"/>
      <c r="V22" s="705"/>
      <c r="W22" s="706"/>
      <c r="X22" s="1355"/>
      <c r="Y22" s="3673"/>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71"/>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71"/>
      <c r="Q24" s="1352"/>
      <c r="R24" s="705"/>
      <c r="S24" s="706"/>
      <c r="T24" s="705"/>
      <c r="U24" s="706"/>
      <c r="V24" s="705"/>
      <c r="W24" s="706"/>
      <c r="X24" s="1355"/>
      <c r="Y24" s="3673"/>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1"/>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1"/>
      <c r="Q26" s="1352"/>
      <c r="R26" s="705"/>
      <c r="S26" s="706"/>
      <c r="T26" s="705"/>
      <c r="U26" s="706"/>
      <c r="V26" s="705"/>
      <c r="W26" s="706"/>
      <c r="X26" s="1355"/>
      <c r="Y26" s="3673"/>
      <c r="Z26" s="1356"/>
      <c r="AA26" s="1353">
        <v>1</v>
      </c>
      <c r="AB26" s="1353">
        <v>1</v>
      </c>
      <c r="AC26" s="1962">
        <v>1</v>
      </c>
    </row>
    <row r="27" spans="1:29" ht="15">
      <c r="A27" s="379"/>
      <c r="B27" s="580" t="s">
        <v>1780</v>
      </c>
      <c r="C27" s="582" t="s">
        <v>3402</v>
      </c>
      <c r="D27" s="386">
        <v>100</v>
      </c>
      <c r="E27" s="582" t="s">
        <v>3402</v>
      </c>
      <c r="F27" s="386">
        <f>SUMIF(89:89,E27,90:90)-SUMIF(89:89,C27,90:90)+100</f>
        <v>100</v>
      </c>
      <c r="G27" s="582" t="s">
        <v>3402</v>
      </c>
      <c r="H27" s="386">
        <f>SUMIF(89:89,G27,90:90)-SUMIF(89:89,C27,90:90)+100</f>
        <v>100</v>
      </c>
      <c r="I27" s="582" t="s">
        <v>3420</v>
      </c>
      <c r="J27" s="386">
        <f>SUMIF(89:89,I27,90:90)-SUMIF(89:89,C27,90:90)+100</f>
        <v>95</v>
      </c>
      <c r="K27" s="561">
        <v>5</v>
      </c>
      <c r="L27" s="2722"/>
      <c r="M27" s="2716"/>
      <c r="N27" s="2716"/>
      <c r="O27" s="2716"/>
      <c r="P27" s="3671"/>
      <c r="Q27" s="1352" t="str">
        <f t="shared" ref="Q27:Q47" si="11">B27</f>
        <v>楼层</v>
      </c>
      <c r="R27" s="705" t="s">
        <v>14</v>
      </c>
      <c r="S27" s="706">
        <f>F27</f>
        <v>100</v>
      </c>
      <c r="T27" s="705" t="s">
        <v>14</v>
      </c>
      <c r="U27" s="706">
        <f>H27</f>
        <v>100</v>
      </c>
      <c r="V27" s="705" t="s">
        <v>14</v>
      </c>
      <c r="W27" s="706">
        <f>J27</f>
        <v>95</v>
      </c>
      <c r="X27" s="1355"/>
      <c r="Y27" s="3673"/>
      <c r="Z27" s="1356" t="str">
        <f>Q27</f>
        <v>楼层</v>
      </c>
      <c r="AA27" s="1353">
        <f t="shared" si="3"/>
        <v>1</v>
      </c>
      <c r="AB27" s="1353">
        <f t="shared" si="4"/>
        <v>1</v>
      </c>
      <c r="AC27" s="1962">
        <f t="shared" si="5"/>
        <v>1.0526315789473684</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1"/>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1"/>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1"/>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1"/>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1"/>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1691</v>
      </c>
      <c r="B33" s="63" t="s">
        <v>1814</v>
      </c>
      <c r="C33" s="1967" t="s">
        <v>3403</v>
      </c>
      <c r="D33" s="418">
        <v>100</v>
      </c>
      <c r="E33" s="1967" t="s">
        <v>3403</v>
      </c>
      <c r="F33" s="412">
        <f>SUMIF(101:101,E33,102:102)-SUMIF(101:101,C33,102:102)+100</f>
        <v>100</v>
      </c>
      <c r="G33" s="1967" t="s">
        <v>3403</v>
      </c>
      <c r="H33" s="386">
        <f>SUMIF(101:101,G33,102:102)-SUMIF(101:101,C33,102:102)+100</f>
        <v>100</v>
      </c>
      <c r="I33" s="1967" t="s">
        <v>3403</v>
      </c>
      <c r="J33" s="418">
        <f>SUMIF(101:101,I33,102:102)-SUMIF(101:101,C33,102:102)+100</f>
        <v>100</v>
      </c>
      <c r="K33" s="561"/>
      <c r="L33" s="2722"/>
      <c r="M33" s="2716"/>
      <c r="N33" s="2716"/>
      <c r="O33" s="2716"/>
      <c r="P33" s="3674" t="s">
        <v>1693</v>
      </c>
      <c r="Q33" s="1352" t="str">
        <f t="shared" si="11"/>
        <v>建筑类型</v>
      </c>
      <c r="R33" s="705" t="s">
        <v>14</v>
      </c>
      <c r="S33" s="706">
        <f t="shared" si="12"/>
        <v>100</v>
      </c>
      <c r="T33" s="705" t="s">
        <v>14</v>
      </c>
      <c r="U33" s="706">
        <f t="shared" si="13"/>
        <v>100</v>
      </c>
      <c r="V33" s="705" t="s">
        <v>14</v>
      </c>
      <c r="W33" s="706">
        <f t="shared" si="14"/>
        <v>100</v>
      </c>
      <c r="X33" s="1355"/>
      <c r="Y33" s="3677" t="s">
        <v>1693</v>
      </c>
      <c r="Z33" s="1356" t="str">
        <f t="shared" si="15"/>
        <v>建筑类型</v>
      </c>
      <c r="AA33" s="1353">
        <f t="shared" si="3"/>
        <v>1</v>
      </c>
      <c r="AB33" s="1353">
        <f t="shared" si="4"/>
        <v>1</v>
      </c>
      <c r="AC33" s="1962">
        <f t="shared" si="5"/>
        <v>1</v>
      </c>
    </row>
    <row r="34" spans="1:29" s="422" customFormat="1" ht="15">
      <c r="A34" s="419"/>
      <c r="B34" s="375" t="s">
        <v>1694</v>
      </c>
      <c r="C34" s="420">
        <f>'数据-汇总表'!F19</f>
        <v>257.75</v>
      </c>
      <c r="D34" s="127">
        <v>100</v>
      </c>
      <c r="E34" s="381">
        <v>127.09</v>
      </c>
      <c r="F34" s="376">
        <f>LOOKUP(E34,104:104,105:105)-LOOKUP(C34,104:104,105:105)+100</f>
        <v>100</v>
      </c>
      <c r="G34" s="380">
        <v>132.41999999999999</v>
      </c>
      <c r="H34" s="127">
        <f>LOOKUP(G34,104:104,105:105)-LOOKUP(C34,104:104,105:105)+100</f>
        <v>100</v>
      </c>
      <c r="I34" s="380">
        <f>案例!R8</f>
        <v>744.81</v>
      </c>
      <c r="J34" s="127">
        <f>LOOKUP(I34,104:104,105:105)-LOOKUP(C34,104:104,105:105)+100</f>
        <v>98</v>
      </c>
      <c r="K34" s="562"/>
      <c r="L34" s="2721"/>
      <c r="M34" s="2723"/>
      <c r="N34" s="2723"/>
      <c r="O34" s="2723"/>
      <c r="P34" s="3675"/>
      <c r="Q34" s="707" t="str">
        <f t="shared" si="11"/>
        <v>项目建筑规模</v>
      </c>
      <c r="R34" s="708" t="s">
        <v>14</v>
      </c>
      <c r="S34" s="709">
        <f t="shared" si="12"/>
        <v>100</v>
      </c>
      <c r="T34" s="708" t="s">
        <v>14</v>
      </c>
      <c r="U34" s="709">
        <f t="shared" si="13"/>
        <v>100</v>
      </c>
      <c r="V34" s="708" t="s">
        <v>14</v>
      </c>
      <c r="W34" s="709">
        <f t="shared" si="14"/>
        <v>98</v>
      </c>
      <c r="X34" s="710"/>
      <c r="Y34" s="3677"/>
      <c r="Z34" s="711" t="str">
        <f t="shared" si="15"/>
        <v>项目建筑规模</v>
      </c>
      <c r="AA34" s="1353">
        <f t="shared" si="3"/>
        <v>1</v>
      </c>
      <c r="AB34" s="1353">
        <f t="shared" si="4"/>
        <v>1</v>
      </c>
      <c r="AC34" s="1962">
        <f t="shared" si="5"/>
        <v>1.0204081632653061</v>
      </c>
    </row>
    <row r="35" spans="1:29" ht="15">
      <c r="A35" s="423"/>
      <c r="B35" s="375" t="s">
        <v>1695</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1</v>
      </c>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1782</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1</v>
      </c>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1783</v>
      </c>
      <c r="C37" s="425">
        <f>'数据-取费表'!N6</f>
        <v>0.82</v>
      </c>
      <c r="D37" s="386">
        <v>100</v>
      </c>
      <c r="E37" s="425">
        <v>0.85</v>
      </c>
      <c r="F37" s="412">
        <f>LOOKUP(E37,111:111,112:112)-LOOKUP(C37,111:111,112:112)+100</f>
        <v>100</v>
      </c>
      <c r="G37" s="425">
        <f>E37</f>
        <v>0.85</v>
      </c>
      <c r="H37" s="412">
        <f>LOOKUP(G37,111:111,112:112)-LOOKUP(C37,111:111,112:112)+100</f>
        <v>100</v>
      </c>
      <c r="I37" s="425">
        <f>C37</f>
        <v>0.82</v>
      </c>
      <c r="J37" s="386">
        <f>LOOKUP(I37,111:111,112:112)-LOOKUP(C37,111:111,112:112)+100</f>
        <v>100</v>
      </c>
      <c r="K37" s="561"/>
      <c r="L37" s="2722"/>
      <c r="M37" s="2716"/>
      <c r="N37" s="2716"/>
      <c r="O37" s="2716"/>
      <c r="P37" s="3675"/>
      <c r="Q37" s="1352" t="str">
        <f t="shared" si="11"/>
        <v>成新度</v>
      </c>
      <c r="R37" s="705" t="s">
        <v>14</v>
      </c>
      <c r="S37" s="706">
        <f t="shared" si="12"/>
        <v>100</v>
      </c>
      <c r="T37" s="705" t="s">
        <v>14</v>
      </c>
      <c r="U37" s="706">
        <f t="shared" si="13"/>
        <v>100</v>
      </c>
      <c r="V37" s="705" t="s">
        <v>14</v>
      </c>
      <c r="W37" s="706">
        <f t="shared" si="14"/>
        <v>100</v>
      </c>
      <c r="X37" s="1355"/>
      <c r="Y37" s="3677"/>
      <c r="Z37" s="1356" t="str">
        <f t="shared" si="15"/>
        <v>成新度</v>
      </c>
      <c r="AA37" s="1353">
        <f t="shared" si="3"/>
        <v>1</v>
      </c>
      <c r="AB37" s="1353">
        <f t="shared" si="4"/>
        <v>1</v>
      </c>
      <c r="AC37" s="1962">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1816</v>
      </c>
      <c r="C39" s="411" t="s">
        <v>3410</v>
      </c>
      <c r="D39" s="386">
        <v>100</v>
      </c>
      <c r="E39" s="411" t="s">
        <v>3410</v>
      </c>
      <c r="F39" s="412">
        <f>SUMIF(115:115,E39,116:116)-SUMIF(115:115,C39,116:116)+100</f>
        <v>100</v>
      </c>
      <c r="G39" s="411" t="s">
        <v>3410</v>
      </c>
      <c r="H39" s="386">
        <f>SUMIF(115:115,G39,116:116)-SUMIF(115:115,C39,116:116)+100</f>
        <v>100</v>
      </c>
      <c r="I39" s="411" t="s">
        <v>3410</v>
      </c>
      <c r="J39" s="386">
        <f>SUMIF(115:115,I39,116:116)-SUMIF(115:115,C39,116:116)+100</f>
        <v>100</v>
      </c>
      <c r="K39" s="561">
        <v>1</v>
      </c>
      <c r="L39" s="2722"/>
      <c r="M39" s="2716"/>
      <c r="N39" s="2716"/>
      <c r="O39" s="2716"/>
      <c r="P39" s="3675" t="s">
        <v>1693</v>
      </c>
      <c r="Q39" s="1352" t="str">
        <f t="shared" si="11"/>
        <v>物业管理</v>
      </c>
      <c r="R39" s="705" t="s">
        <v>14</v>
      </c>
      <c r="S39" s="706">
        <f t="shared" si="12"/>
        <v>100</v>
      </c>
      <c r="T39" s="705" t="s">
        <v>14</v>
      </c>
      <c r="U39" s="706">
        <f t="shared" si="13"/>
        <v>100</v>
      </c>
      <c r="V39" s="705" t="s">
        <v>14</v>
      </c>
      <c r="W39" s="706">
        <f t="shared" si="14"/>
        <v>100</v>
      </c>
      <c r="X39" s="1355"/>
      <c r="Y39" s="3677"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1789</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1</v>
      </c>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1704</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1</v>
      </c>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1705</v>
      </c>
      <c r="B48" s="431"/>
      <c r="C48" s="1154" t="s">
        <v>0</v>
      </c>
      <c r="D48" s="1155"/>
      <c r="E48" s="1156">
        <v>28799</v>
      </c>
      <c r="F48" s="1157"/>
      <c r="G48" s="1158">
        <v>28773</v>
      </c>
      <c r="H48" s="1159"/>
      <c r="I48" s="1156">
        <f>案例!O8</f>
        <v>31457</v>
      </c>
      <c r="J48" s="436"/>
      <c r="K48" s="714"/>
      <c r="L48" s="2724"/>
      <c r="M48" s="2716"/>
      <c r="N48" s="2716"/>
      <c r="O48" s="2716"/>
      <c r="P48" s="3664" t="str">
        <f>A48</f>
        <v>成交单价（元/平方米）</v>
      </c>
      <c r="Q48" s="3665"/>
      <c r="R48" s="3666">
        <f>E48</f>
        <v>28799</v>
      </c>
      <c r="S48" s="3666"/>
      <c r="T48" s="3666">
        <f>G48</f>
        <v>28773</v>
      </c>
      <c r="U48" s="3666"/>
      <c r="V48" s="3666">
        <f>I48</f>
        <v>31457</v>
      </c>
      <c r="W48" s="3666"/>
      <c r="X48" s="397"/>
      <c r="Y48" s="712"/>
      <c r="Z48" s="397"/>
      <c r="AA48" s="397"/>
      <c r="AB48" s="397"/>
      <c r="AC48" s="578"/>
    </row>
    <row r="49" spans="1:29" ht="15.75" thickBot="1">
      <c r="A49" s="437" t="s">
        <v>1790</v>
      </c>
      <c r="B49" s="438"/>
      <c r="C49" s="1160">
        <f>R50</f>
        <v>29780</v>
      </c>
      <c r="D49" s="2317" t="s">
        <v>2134</v>
      </c>
      <c r="E49" s="1161">
        <f>R49</f>
        <v>27955</v>
      </c>
      <c r="F49" s="2318"/>
      <c r="G49" s="1160">
        <f>T49</f>
        <v>27930</v>
      </c>
      <c r="H49" s="2318"/>
      <c r="I49" s="1161">
        <f>V49</f>
        <v>33454</v>
      </c>
      <c r="J49" s="2318"/>
      <c r="K49" s="2320">
        <f>F49+H49+J49</f>
        <v>0</v>
      </c>
      <c r="L49" s="2724"/>
      <c r="M49" s="2716"/>
      <c r="N49" s="2716"/>
      <c r="O49" s="2716"/>
      <c r="P49" s="3664" t="str">
        <f>A49</f>
        <v>比较价值（元/平方米）</v>
      </c>
      <c r="Q49" s="3665"/>
      <c r="R49" s="3666">
        <f>IF(F1="售价",ROUND(PRODUCT(R48,AA7:AA47),0),ROUND(PRODUCT(R48,AA7:AA47),1))</f>
        <v>27955</v>
      </c>
      <c r="S49" s="3666"/>
      <c r="T49" s="3666">
        <f>IF(F1="售价",ROUND(PRODUCT(T48,AB7:AB47),0),ROUND(PRODUCT(T48,AB7:AB47),1))</f>
        <v>27930</v>
      </c>
      <c r="U49" s="3666"/>
      <c r="V49" s="3666">
        <f>IF(F1="售价",ROUND(PRODUCT(V48,AC7:AC47),0),ROUND(PRODUCT(V48,AC7:AC47),1))</f>
        <v>33454</v>
      </c>
      <c r="W49" s="3666"/>
      <c r="X49" s="397"/>
      <c r="Y49" s="397"/>
      <c r="Z49" s="397"/>
      <c r="AA49" s="397"/>
      <c r="AB49" s="397"/>
      <c r="AC49" s="578"/>
    </row>
    <row r="50" spans="1:29" ht="15.75" thickBot="1">
      <c r="A50" s="441" t="s">
        <v>1791</v>
      </c>
      <c r="B50" s="442"/>
      <c r="C50" s="1163">
        <f>R50</f>
        <v>29780</v>
      </c>
      <c r="D50" s="1163"/>
      <c r="E50" s="1163"/>
      <c r="F50" s="1163"/>
      <c r="G50" s="1163"/>
      <c r="H50" s="1163"/>
      <c r="I50" s="1163"/>
      <c r="J50" s="443"/>
      <c r="K50" s="715"/>
      <c r="L50" s="2724"/>
      <c r="M50" s="2716"/>
      <c r="N50" s="2716"/>
      <c r="O50" s="2716"/>
      <c r="P50" s="3667" t="str">
        <f>A50</f>
        <v>估价对象XX用房的比较价值（楼面单价，元/平方米）</v>
      </c>
      <c r="Q50" s="3668"/>
      <c r="R50" s="3669">
        <f>IF(F1="售价",ROUND(IF(D49="简单平均",AVERAGE(R49:V49),R49*F49+T49*H49+V49*J49),0),ROUND(IF(D49="简单平均",AVERAGE(R49:V49),R49*F49+T49*H49+V49*J49),1))</f>
        <v>29780</v>
      </c>
      <c r="S50" s="3669"/>
      <c r="T50" s="3669"/>
      <c r="U50" s="3669"/>
      <c r="V50" s="3669"/>
      <c r="W50" s="366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f>IF(E48&lt;E49,E49/E48-1,E48/E49-1)</f>
        <v>3.0191379001967444E-2</v>
      </c>
      <c r="F53" s="449" t="str">
        <f>IF(OR(E53&gt;=0.3,E53&lt;=-0.3),"超过30%","")</f>
        <v/>
      </c>
      <c r="G53" s="448">
        <f>IF(G48&lt;G49,G49/G48-1,G48/G49-1)</f>
        <v>3.0182599355531581E-2</v>
      </c>
      <c r="H53" s="449" t="str">
        <f>IF(OR(G53&gt;=0.3,G53&lt;=-0.3),"超过30%","")</f>
        <v/>
      </c>
      <c r="I53" s="448">
        <f>IF(I48&lt;I49,I49/I48-1,I48/I49-1)</f>
        <v>6.3483485392758388E-2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f>IF(E49&lt;G49,G49/E49-1,E49/G49-1)</f>
        <v>8.9509488005723448E-4</v>
      </c>
      <c r="F54" s="449" t="str">
        <f>IF(OR(E54&gt;=0.2,E54&lt;=-0.2),"超过20%","")</f>
        <v/>
      </c>
      <c r="G54" s="448">
        <f>IF(G49&lt;I49,I49/G49-1,G49/I49-1)</f>
        <v>0.19778016469745796</v>
      </c>
      <c r="H54" s="449" t="str">
        <f>IF(OR(G54&gt;=0.2,G54&lt;=-0.2),"超过20%","")</f>
        <v/>
      </c>
      <c r="I54" s="448">
        <f>IF(I49&lt;E49,E49/I49-1,I49/E49-1)</f>
        <v>0.19670899660168129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f>IF(E48&lt;G48,G48/E48-1,E48/G48-1)</f>
        <v>9.0362492614604051E-4</v>
      </c>
      <c r="F55" s="449" t="str">
        <f>IF(OR(E55&gt;=0.3,E55&lt;=-0.3),"超过30%","")</f>
        <v/>
      </c>
      <c r="G55" s="448">
        <f>IF(G48&lt;I48,I48/G48-1,G48/I48-1)</f>
        <v>9.328189622215266E-2</v>
      </c>
      <c r="H55" s="449" t="str">
        <f>IF(OR(G55&gt;=0.3,G55&lt;=-0.3),"超过30%","")</f>
        <v/>
      </c>
      <c r="I55" s="448">
        <f>IF(I48&lt;E48,E48/I48-1,I48/E48-1)</f>
        <v>9.2294871349699603E-2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3471" t="s">
        <v>3418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t="str">
        <f>C9</f>
        <v>商业</v>
      </c>
      <c r="D64" s="3468" t="s">
        <v>3428</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101</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7" t="s">
        <v>3399</v>
      </c>
      <c r="D89" s="3467" t="s">
        <v>3400</v>
      </c>
      <c r="E89" s="3467"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3468" t="s">
        <v>3404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0(含)-500</v>
      </c>
      <c r="D103" s="527" t="str">
        <f t="shared" ref="D103:L103" si="23">D104&amp;"(含)"&amp;"-"&amp;E104</f>
        <v>500(含)-1000</v>
      </c>
      <c r="E103" s="527" t="str">
        <f t="shared" si="23"/>
        <v>1000(含)-2000</v>
      </c>
      <c r="F103" s="527" t="str">
        <f t="shared" si="23"/>
        <v>2000(含)-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2000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3467" t="s">
        <v>3405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3467" t="s">
        <v>3406</v>
      </c>
      <c r="D108" s="3467" t="s">
        <v>3407</v>
      </c>
      <c r="E108" s="3467" t="s">
        <v>3408</v>
      </c>
      <c r="F108" s="3469" t="s">
        <v>3409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3467"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3467" t="s">
        <v>3406</v>
      </c>
      <c r="D123" s="3467" t="s">
        <v>3407</v>
      </c>
      <c r="E123" s="3467" t="s">
        <v>3408</v>
      </c>
      <c r="F123" s="3469" t="s">
        <v>3409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v>1102</v>
      </c>
      <c r="D1" s="1362" t="s">
        <v>43</v>
      </c>
      <c r="E1" s="1363" t="s">
        <v>675</v>
      </c>
      <c r="F1" s="1062">
        <f ca="1">J53</f>
        <v>25.55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534.54319999999996</v>
      </c>
      <c r="C2" s="1387" t="s">
        <v>876</v>
      </c>
      <c r="D2" s="1471">
        <f ca="1">C40+J29+L46</f>
        <v>5345432</v>
      </c>
      <c r="E2" s="1388" t="s">
        <v>877</v>
      </c>
      <c r="F2" s="1389"/>
      <c r="G2" s="2706"/>
      <c r="H2" s="2695"/>
      <c r="I2" s="2695"/>
      <c r="J2" s="2695"/>
      <c r="K2" s="2696"/>
      <c r="L2" s="2695"/>
      <c r="M2" s="2695"/>
    </row>
    <row r="3" spans="1:37" ht="18" customHeight="1" thickBot="1">
      <c r="A3" s="1390" t="s">
        <v>878</v>
      </c>
      <c r="B3" s="1391">
        <f ca="1">IF(ISERROR(D2/F43),0,ROUND(D2/F43,0))</f>
        <v>20739</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339107</v>
      </c>
      <c r="D5" s="1364" t="s">
        <v>886</v>
      </c>
      <c r="E5" s="1071"/>
      <c r="F5" s="1072"/>
      <c r="G5" s="1384"/>
      <c r="H5" s="299">
        <v>1</v>
      </c>
      <c r="I5" s="300" t="s">
        <v>885</v>
      </c>
      <c r="J5" s="1070">
        <f ca="1">J6+J10+J12</f>
        <v>0</v>
      </c>
      <c r="K5" s="1364" t="s">
        <v>886</v>
      </c>
      <c r="L5" s="1071"/>
      <c r="M5" s="1072"/>
    </row>
    <row r="6" spans="1:37" ht="18" customHeight="1">
      <c r="A6" s="1069" t="s">
        <v>398</v>
      </c>
      <c r="B6" s="3661" t="s">
        <v>691</v>
      </c>
      <c r="C6" s="1074">
        <f ca="1">ROUND(F6*F8*F7*(1-F9),0)</f>
        <v>338684</v>
      </c>
      <c r="D6" s="155" t="s">
        <v>2102</v>
      </c>
      <c r="E6" s="302" t="s">
        <v>693</v>
      </c>
      <c r="F6" s="303">
        <f ca="1">INDIRECT("'数据-取费表'!u"&amp;$G$1)</f>
        <v>4</v>
      </c>
      <c r="G6" s="1384"/>
      <c r="H6" s="1069" t="s">
        <v>398</v>
      </c>
      <c r="I6" s="3661" t="s">
        <v>691</v>
      </c>
      <c r="J6" s="301">
        <f ca="1">ROUND(M6*M8*M7*(1-M9),0)</f>
        <v>0</v>
      </c>
      <c r="K6" s="1376" t="s">
        <v>2103</v>
      </c>
      <c r="L6" s="302" t="s">
        <v>693</v>
      </c>
      <c r="M6" s="303">
        <f ca="1">INDIRECT("'数据-取费表'!z"&amp;$G$1)</f>
        <v>0</v>
      </c>
    </row>
    <row r="7" spans="1:37" ht="18" customHeight="1">
      <c r="A7" s="1073"/>
      <c r="B7" s="3662"/>
      <c r="C7" s="1075"/>
      <c r="D7" s="307"/>
      <c r="E7" s="1076" t="s">
        <v>694</v>
      </c>
      <c r="F7" s="303">
        <f ca="1">IF(INDIRECT("'数据-取费表'!ah"&amp;$G$1)="",INDIRECT("'数据-取费表'!k"&amp;$G$1),INDIRECT("'数据-取费表'!ah"&amp;$G$1))</f>
        <v>257.75</v>
      </c>
      <c r="G7" s="1384"/>
      <c r="H7" s="304"/>
      <c r="I7" s="3662"/>
      <c r="J7" s="306"/>
      <c r="K7" s="307"/>
      <c r="L7" s="302" t="s">
        <v>694</v>
      </c>
      <c r="M7" s="303">
        <f ca="1">F7</f>
        <v>257.75</v>
      </c>
    </row>
    <row r="8" spans="1:37" ht="18" customHeight="1">
      <c r="A8" s="304"/>
      <c r="B8" s="3662"/>
      <c r="C8" s="306"/>
      <c r="D8" s="307"/>
      <c r="E8" s="302" t="s">
        <v>695</v>
      </c>
      <c r="F8" s="303">
        <f ca="1">INDIRECT("'数据-取费表'!ai"&amp;$G$1)</f>
        <v>365</v>
      </c>
      <c r="G8" s="1384"/>
      <c r="H8" s="304"/>
      <c r="I8" s="3662"/>
      <c r="J8" s="306"/>
      <c r="K8" s="307"/>
      <c r="L8" s="302" t="s">
        <v>695</v>
      </c>
      <c r="M8" s="303">
        <f ca="1">INDIRECT("'数据-取费表'!ai"&amp;$G$1)</f>
        <v>365</v>
      </c>
    </row>
    <row r="9" spans="1:37" ht="18" customHeight="1">
      <c r="A9" s="304"/>
      <c r="B9" s="3663"/>
      <c r="C9" s="306"/>
      <c r="D9" s="307"/>
      <c r="E9" s="302" t="s">
        <v>696</v>
      </c>
      <c r="F9" s="312">
        <f ca="1">INDIRECT("'数据-取费表'!w"&amp;$G$1)</f>
        <v>0.1</v>
      </c>
      <c r="G9" s="1384"/>
      <c r="H9" s="304"/>
      <c r="I9" s="3663"/>
      <c r="J9" s="306"/>
      <c r="K9" s="307"/>
      <c r="L9" s="313" t="s">
        <v>696</v>
      </c>
      <c r="M9" s="314">
        <f ca="1">INDIRECT("'数据-取费表'!ab"&amp;$G$1)</f>
        <v>0</v>
      </c>
    </row>
    <row r="10" spans="1:37" ht="18" customHeight="1">
      <c r="A10" s="1069" t="s">
        <v>402</v>
      </c>
      <c r="B10" s="1365" t="s">
        <v>697</v>
      </c>
      <c r="C10" s="316">
        <f ca="1">ROUND(IF(F10="押一",C6/12*F11,IF(F10="押二",C6/12*2*F11,IF(F10="押三",C6/12*3*F11,C11*F11))),0)</f>
        <v>423</v>
      </c>
      <c r="D10" s="1366" t="s">
        <v>2112</v>
      </c>
      <c r="E10" s="313" t="s">
        <v>698</v>
      </c>
      <c r="F10" s="1116" t="s">
        <v>3388</v>
      </c>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1362550</v>
      </c>
      <c r="D13" s="1081" t="s">
        <v>702</v>
      </c>
      <c r="E13" s="1081" t="s">
        <v>703</v>
      </c>
      <c r="F13" s="1082">
        <f ca="1">INDIRECT("'数据-取费表'!y"&amp;$G$1)</f>
        <v>0.82</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1159875</v>
      </c>
      <c r="D14" s="1345" t="s">
        <v>705</v>
      </c>
      <c r="E14" s="1342"/>
      <c r="F14" s="319"/>
      <c r="G14" s="1384"/>
      <c r="H14" s="982" t="s">
        <v>398</v>
      </c>
      <c r="I14" s="302" t="s">
        <v>706</v>
      </c>
      <c r="J14" s="21">
        <f ca="1">C29</f>
        <v>1661646</v>
      </c>
      <c r="K14" s="12"/>
      <c r="L14" s="807"/>
      <c r="M14" s="808"/>
    </row>
    <row r="15" spans="1:37" s="1397" customFormat="1" ht="18" customHeight="1" thickBot="1">
      <c r="A15" s="982" t="s">
        <v>399</v>
      </c>
      <c r="B15" s="302" t="s">
        <v>707</v>
      </c>
      <c r="C15" s="21">
        <f ca="1">ROUND(C14*F15,0)</f>
        <v>34796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8308</v>
      </c>
      <c r="K16" s="1087" t="s">
        <v>712</v>
      </c>
      <c r="L16" s="1088"/>
      <c r="M16" s="1072"/>
    </row>
    <row r="17" spans="1:37" s="1397" customFormat="1" ht="18" customHeight="1">
      <c r="A17" s="982" t="s">
        <v>678</v>
      </c>
      <c r="B17" s="302" t="s">
        <v>713</v>
      </c>
      <c r="C17" s="21">
        <f ca="1">ROUND(F17*(F43+INDIRECT("'数据-取费表'!S"&amp;$G$1)),0)</f>
        <v>51550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23198</v>
      </c>
      <c r="D18" s="302" t="s">
        <v>708</v>
      </c>
      <c r="E18" s="302" t="s">
        <v>709</v>
      </c>
      <c r="F18" s="322">
        <f>'数据-取费表'!B36</f>
        <v>0.02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1269419</v>
      </c>
      <c r="D19" s="131" t="s">
        <v>723</v>
      </c>
      <c r="E19" s="1360"/>
      <c r="F19" s="23"/>
      <c r="G19" s="1384"/>
      <c r="H19" s="982" t="s">
        <v>399</v>
      </c>
      <c r="I19" s="302" t="s">
        <v>724</v>
      </c>
      <c r="J19" s="21">
        <f ca="1">IF(K19="按租金收入计税",ROUND(J6*M19/(1+'数据-取费表'!C42),0),ROUND(C29*M19*0.7,0))</f>
        <v>0</v>
      </c>
      <c r="K19" s="1370" t="s">
        <v>3336</v>
      </c>
      <c r="L19" s="302" t="s">
        <v>709</v>
      </c>
      <c r="M19" s="322">
        <f>IF(K19="按租金收入计税",'数据-取费表'!B51,'数据-取费表'!B50)</f>
        <v>0.12</v>
      </c>
    </row>
    <row r="20" spans="1:37" s="1397" customFormat="1" ht="18" customHeight="1">
      <c r="A20" s="982" t="s">
        <v>402</v>
      </c>
      <c r="B20" s="302" t="s">
        <v>725</v>
      </c>
      <c r="C20" s="21">
        <f ca="1">ROUND(C19*F20,0)</f>
        <v>25388</v>
      </c>
      <c r="D20" s="323" t="s">
        <v>726</v>
      </c>
      <c r="E20" s="302" t="s">
        <v>709</v>
      </c>
      <c r="F20" s="322">
        <f>'数据-取费表'!B37</f>
        <v>0.02</v>
      </c>
      <c r="G20" s="1396"/>
      <c r="H20" s="982" t="s">
        <v>677</v>
      </c>
      <c r="I20" s="155" t="s">
        <v>727</v>
      </c>
      <c r="J20" s="22">
        <f ca="1">ROUND(M20*M21,0)</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8308</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44671</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-8308</v>
      </c>
      <c r="K25" s="1095" t="s">
        <v>750</v>
      </c>
      <c r="L25" s="1096"/>
      <c r="M25" s="1097"/>
    </row>
    <row r="26" spans="1:37" ht="18" customHeight="1">
      <c r="A26" s="982" t="s">
        <v>397</v>
      </c>
      <c r="B26" s="302" t="s">
        <v>751</v>
      </c>
      <c r="C26" s="21">
        <f ca="1">ROUND((C19+C20)*F26,0)</f>
        <v>194221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1661646</v>
      </c>
      <c r="D29" s="1092"/>
      <c r="E29" s="1090"/>
      <c r="F29" s="1093"/>
      <c r="G29" s="1396"/>
      <c r="H29" s="334" t="s">
        <v>396</v>
      </c>
      <c r="I29" s="335" t="s">
        <v>765</v>
      </c>
      <c r="J29" s="336">
        <f ca="1">ROUND(J26/(1+F40)^F41,0)</f>
        <v>0</v>
      </c>
      <c r="K29" s="337" t="s">
        <v>766</v>
      </c>
      <c r="L29" s="338"/>
      <c r="M29" s="339">
        <f ca="1">INDIRECT("'数据-取费表'!k"&amp;$G$1)</f>
        <v>257.75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69832</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56770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18063</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38707</v>
      </c>
      <c r="D33" s="1370" t="s">
        <v>3336</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8308</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1363</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3391</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269275</v>
      </c>
      <c r="D39" s="1095" t="s">
        <v>770</v>
      </c>
      <c r="E39" s="1096"/>
      <c r="F39" s="1097"/>
      <c r="G39" s="1384"/>
      <c r="H39" s="2700"/>
      <c r="I39" s="1398"/>
      <c r="J39" s="1399"/>
      <c r="K39" s="2704"/>
      <c r="L39" s="2700"/>
      <c r="M39" s="2700"/>
    </row>
    <row r="40" spans="1:18" ht="18" customHeight="1">
      <c r="A40" s="299" t="s">
        <v>395</v>
      </c>
      <c r="B40" s="300" t="s">
        <v>771</v>
      </c>
      <c r="C40" s="301">
        <f ca="1">ROUND(C39*(1-((1+F42)/(1+F40))^F41)/(F40-F42),0)</f>
        <v>4680774</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25.55</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18160</v>
      </c>
      <c r="D43" s="337" t="s">
        <v>774</v>
      </c>
      <c r="E43" s="338" t="s">
        <v>775</v>
      </c>
      <c r="F43" s="339">
        <f ca="1">INDIRECT("'数据-取费表'!k"&amp;$G$1)</f>
        <v>257.75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-481.18380000000002</v>
      </c>
      <c r="D45" s="3432" t="s">
        <v>3353</v>
      </c>
      <c r="E45" s="1400"/>
      <c r="F45" s="1400"/>
      <c r="O45" s="1403" t="s">
        <v>805</v>
      </c>
      <c r="P45" s="1461"/>
      <c r="Q45" s="1461"/>
      <c r="R45" s="1461"/>
    </row>
    <row r="46" spans="1:18" s="1384" customFormat="1" ht="13.5" thickBot="1">
      <c r="A46" s="1404" t="s">
        <v>806</v>
      </c>
      <c r="C46" s="1405">
        <f ca="1">ROUND(C45,0)</f>
        <v>-481</v>
      </c>
      <c r="D46" s="1406" t="str">
        <f>C2</f>
        <v>万元</v>
      </c>
      <c r="I46" s="1407" t="s">
        <v>807</v>
      </c>
      <c r="J46" s="1408"/>
      <c r="K46" s="1409"/>
      <c r="L46" s="1410">
        <f ca="1">IF(M47="住宅",0,IF(L48&gt;J51,L60,J60))</f>
        <v>664658</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3389</v>
      </c>
      <c r="K47" s="1416" t="s">
        <v>813</v>
      </c>
      <c r="L47" s="1417">
        <f ca="1">INDIRECT("'数据-取费表'!d"&amp;$G$1)</f>
        <v>40</v>
      </c>
      <c r="M47" s="1380" t="str">
        <f>IF(ISNUMBER(FIND("住宅",C1)),"住宅","非住宅")</f>
        <v>非住宅</v>
      </c>
      <c r="O47" s="1418" t="s">
        <v>403</v>
      </c>
      <c r="P47" s="1419" t="s">
        <v>814</v>
      </c>
      <c r="Q47" s="1420">
        <f ca="1">C40+J29</f>
        <v>4680774</v>
      </c>
      <c r="R47" s="1420" t="s">
        <v>815</v>
      </c>
    </row>
    <row r="48" spans="1:18" s="1384" customFormat="1" ht="28.5" thickBot="1">
      <c r="A48" s="1110" t="s">
        <v>438</v>
      </c>
      <c r="B48" s="300" t="s">
        <v>689</v>
      </c>
      <c r="C48" s="1359">
        <f ca="1">C49+C53+C55</f>
        <v>0</v>
      </c>
      <c r="D48" s="1112"/>
      <c r="E48" s="1113"/>
      <c r="F48" s="962"/>
      <c r="G48" s="722"/>
      <c r="H48" s="723"/>
      <c r="I48" s="1421" t="s">
        <v>816</v>
      </c>
      <c r="J48" s="1422" t="s">
        <v>3390</v>
      </c>
      <c r="K48" s="1423" t="s">
        <v>817</v>
      </c>
      <c r="L48" s="1424">
        <f ca="1">INDIRECT("'数据-取费表'!f"&amp;$G$1)</f>
        <v>25.55</v>
      </c>
      <c r="O48" s="1418" t="s">
        <v>404</v>
      </c>
      <c r="P48" s="1419" t="s">
        <v>818</v>
      </c>
      <c r="Q48" s="1420">
        <f ca="1">J60</f>
        <v>664658</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2013</v>
      </c>
      <c r="K49" s="1423" t="s">
        <v>821</v>
      </c>
      <c r="L49" s="1427"/>
      <c r="O49" s="1428" t="s">
        <v>405</v>
      </c>
      <c r="P49" s="1419" t="s">
        <v>822</v>
      </c>
      <c r="Q49" s="1420">
        <f ca="1">C29</f>
        <v>1661646</v>
      </c>
      <c r="R49" s="1420" t="s">
        <v>815</v>
      </c>
    </row>
    <row r="50" spans="1:18" s="1384" customFormat="1" ht="13.5" thickBot="1">
      <c r="A50" s="976"/>
      <c r="B50" s="979"/>
      <c r="C50" s="980"/>
      <c r="D50" s="953"/>
      <c r="E50" s="1056" t="s">
        <v>694</v>
      </c>
      <c r="F50" s="1057">
        <f ca="1">F7</f>
        <v>257.75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49</v>
      </c>
      <c r="K51" s="1434" t="s">
        <v>827</v>
      </c>
      <c r="L51" s="1435">
        <f ca="1">ROUND(-PV(INDIRECT("'数据-取费表'!h"&amp;$G$1),J51,(C39-C13*C76),0),0)</f>
        <v>3159477</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25.55</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25.55</v>
      </c>
      <c r="K53" s="3659" t="s">
        <v>834</v>
      </c>
      <c r="L53" s="3660"/>
      <c r="O53" s="1418" t="s">
        <v>409</v>
      </c>
      <c r="P53" s="1419" t="s">
        <v>835</v>
      </c>
      <c r="Q53" s="1420">
        <f ca="1">Q47+Q48</f>
        <v>5345432</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0.39100000000000001</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1362550</v>
      </c>
      <c r="D56" s="1447"/>
      <c r="E56" s="1448"/>
      <c r="F56" s="1440"/>
      <c r="I56" s="1449" t="s">
        <v>839</v>
      </c>
      <c r="J56" s="1450" t="s">
        <v>3391</v>
      </c>
      <c r="K56" s="1421" t="s">
        <v>840</v>
      </c>
      <c r="L56" s="1424" t="str">
        <f ca="1">IF(L48&lt;J51,"——",L48-J51)</f>
        <v>——</v>
      </c>
      <c r="O56" s="1418" t="s">
        <v>403</v>
      </c>
      <c r="P56" s="1419" t="s">
        <v>814</v>
      </c>
      <c r="Q56" s="1420">
        <f ca="1">C40+J29</f>
        <v>4680774</v>
      </c>
      <c r="R56" s="1420" t="s">
        <v>815</v>
      </c>
    </row>
    <row r="57" spans="1:18" s="1384" customFormat="1" ht="24.75" thickBot="1">
      <c r="A57" s="1451"/>
      <c r="B57" s="950" t="s">
        <v>764</v>
      </c>
      <c r="C57" s="238">
        <f ca="1">C29</f>
        <v>1661646</v>
      </c>
      <c r="D57" s="1452"/>
      <c r="E57" s="1453"/>
      <c r="F57" s="1454"/>
      <c r="I57" s="1455" t="s">
        <v>841</v>
      </c>
      <c r="J57" s="1456">
        <f ca="1">IF(OR(M47="住宅",J51&lt;L48,J56="是"),"——",J51-L48)</f>
        <v>23.45</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9671</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664658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f ca="1">IF(OR(M47="住宅",J51&lt;L48,J56="是"),"0",ROUND(J59/(1+J52)^J53,0))</f>
        <v>664658</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3336</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3</v>
      </c>
      <c r="I62" s="1462" t="s">
        <v>855</v>
      </c>
      <c r="J62" s="1463" t="s">
        <v>856</v>
      </c>
      <c r="K62" s="1463" t="s">
        <v>857</v>
      </c>
      <c r="L62" s="1463" t="s">
        <v>858</v>
      </c>
      <c r="M62" s="1464" t="s">
        <v>859</v>
      </c>
      <c r="O62" s="1418" t="s">
        <v>409</v>
      </c>
      <c r="P62" s="1419" t="s">
        <v>860</v>
      </c>
      <c r="Q62" s="1420">
        <f ca="1">Q56+Q57</f>
        <v>4680774</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8308</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1363</v>
      </c>
      <c r="D65" s="964" t="s">
        <v>740</v>
      </c>
      <c r="E65" s="950" t="s">
        <v>741</v>
      </c>
      <c r="F65" s="330">
        <f t="shared" ca="1" si="0"/>
        <v>1E-3</v>
      </c>
      <c r="I65" s="1462" t="s">
        <v>864</v>
      </c>
      <c r="J65" s="1463">
        <v>40</v>
      </c>
      <c r="K65" s="1463">
        <v>30</v>
      </c>
      <c r="L65" s="1463">
        <v>50</v>
      </c>
      <c r="M65" s="1465">
        <v>0.02</v>
      </c>
      <c r="O65" s="1418" t="s">
        <v>403</v>
      </c>
      <c r="P65" s="1419" t="s">
        <v>865</v>
      </c>
      <c r="Q65" s="1420">
        <f ca="1">C40+J29</f>
        <v>4680774</v>
      </c>
      <c r="R65" s="1420" t="s">
        <v>815</v>
      </c>
    </row>
    <row r="66" spans="1:18" s="1384" customFormat="1" ht="16.5" thickBot="1">
      <c r="A66" s="982" t="s">
        <v>790</v>
      </c>
      <c r="B66" s="950" t="s">
        <v>725</v>
      </c>
      <c r="C66" s="21">
        <f ca="1">ROUND(C48*F66,0)</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-9671</v>
      </c>
      <c r="D67" s="963" t="s">
        <v>750</v>
      </c>
      <c r="E67" s="968"/>
      <c r="F67" s="969"/>
      <c r="O67" s="1428" t="s">
        <v>405</v>
      </c>
      <c r="P67" s="1419" t="s">
        <v>847</v>
      </c>
      <c r="Q67" s="1466">
        <f ca="1">L51</f>
        <v>3159477</v>
      </c>
      <c r="R67" s="1420" t="s">
        <v>867</v>
      </c>
    </row>
    <row r="68" spans="1:18" s="1384" customFormat="1" ht="16.5" thickBot="1">
      <c r="A68" s="947" t="s">
        <v>395</v>
      </c>
      <c r="B68" s="948" t="s">
        <v>771</v>
      </c>
      <c r="C68" s="301">
        <f ca="1">ROUND(C67*(1-((1+F70)/(1+F68))^F69)/(F68-F70),0)</f>
        <v>-131064</v>
      </c>
      <c r="D68" s="965" t="s">
        <v>755</v>
      </c>
      <c r="E68" s="950" t="s">
        <v>756</v>
      </c>
      <c r="F68" s="312">
        <f ca="1">F40</f>
        <v>5.5E-2</v>
      </c>
      <c r="O68" s="1428" t="s">
        <v>406</v>
      </c>
      <c r="P68" s="1467" t="s">
        <v>868</v>
      </c>
      <c r="Q68" s="1420">
        <f ca="1">ROUND(Q69-Q70*Q71,0)</f>
        <v>173897</v>
      </c>
      <c r="R68" s="1420" t="s">
        <v>414</v>
      </c>
    </row>
    <row r="69" spans="1:18" s="1384" customFormat="1" ht="13.5" thickBot="1">
      <c r="A69" s="951"/>
      <c r="B69" s="952"/>
      <c r="C69" s="306"/>
      <c r="D69" s="970" t="s">
        <v>759</v>
      </c>
      <c r="E69" s="950" t="s">
        <v>760</v>
      </c>
      <c r="F69" s="333">
        <f ca="1">F41</f>
        <v>25.55</v>
      </c>
      <c r="O69" s="1428" t="s">
        <v>411</v>
      </c>
      <c r="P69" s="1467" t="s">
        <v>869</v>
      </c>
      <c r="Q69" s="1420">
        <f ca="1">C39</f>
        <v>269275</v>
      </c>
      <c r="R69" s="1420" t="s">
        <v>815</v>
      </c>
    </row>
    <row r="70" spans="1:18" s="1384" customFormat="1" ht="13.5" thickBot="1">
      <c r="A70" s="954"/>
      <c r="B70" s="955"/>
      <c r="C70" s="310"/>
      <c r="D70" s="966"/>
      <c r="E70" s="950" t="s">
        <v>763</v>
      </c>
      <c r="F70" s="1054"/>
      <c r="O70" s="1428" t="s">
        <v>412</v>
      </c>
      <c r="P70" s="1467" t="s">
        <v>870</v>
      </c>
      <c r="Q70" s="1420">
        <f ca="1">C13</f>
        <v>1362550</v>
      </c>
      <c r="R70" s="1420" t="s">
        <v>815</v>
      </c>
    </row>
    <row r="71" spans="1:18" s="1384" customFormat="1" ht="13.5" thickBot="1">
      <c r="A71" s="971" t="s">
        <v>396</v>
      </c>
      <c r="B71" s="972" t="s">
        <v>773</v>
      </c>
      <c r="C71" s="336">
        <f ca="1">ROUND(C68/F71,0)</f>
        <v>-508</v>
      </c>
      <c r="D71" s="973" t="s">
        <v>774</v>
      </c>
      <c r="E71" s="974" t="s">
        <v>775</v>
      </c>
      <c r="F71" s="339">
        <f ca="1">F43</f>
        <v>257.75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95379</v>
      </c>
      <c r="D75" s="1384"/>
      <c r="E75" s="1384"/>
      <c r="F75" s="1384"/>
      <c r="K75" s="1402"/>
      <c r="L75" s="1384"/>
      <c r="O75" s="1418" t="s">
        <v>409</v>
      </c>
      <c r="P75" s="1419" t="s">
        <v>835</v>
      </c>
      <c r="Q75" s="1420">
        <f ca="1">Q65+Q66</f>
        <v>4680774</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0.64600000000000002</v>
      </c>
    </row>
    <row r="80" spans="1:18">
      <c r="B80" s="340" t="s">
        <v>797</v>
      </c>
      <c r="C80" s="274">
        <f ca="1">ROUND(C75/C39,3)</f>
        <v>0.35399999999999998</v>
      </c>
    </row>
    <row r="81" spans="2:3">
      <c r="B81" s="270" t="s">
        <v>798</v>
      </c>
      <c r="C81" s="238"/>
    </row>
    <row r="82" spans="2:3">
      <c r="B82" s="273" t="s">
        <v>799</v>
      </c>
      <c r="C82" s="275">
        <f ca="1">1-C83</f>
        <v>0.70900000000000007</v>
      </c>
    </row>
    <row r="83" spans="2:3">
      <c r="B83" s="273" t="s">
        <v>800</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22" t="s">
        <v>2317</v>
      </c>
      <c r="K2" s="3723"/>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24" t="s">
        <v>2327</v>
      </c>
      <c r="K3" s="3725"/>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24" t="s">
        <v>2329</v>
      </c>
      <c r="K4" s="3725"/>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30" t="s">
        <v>2333</v>
      </c>
      <c r="B6" s="3731"/>
      <c r="C6" s="3732"/>
      <c r="D6" s="2870"/>
      <c r="E6" s="2871"/>
      <c r="F6" s="2872"/>
      <c r="G6" s="2873"/>
      <c r="H6" s="2848"/>
      <c r="I6" s="2849"/>
      <c r="J6" s="3716">
        <v>1</v>
      </c>
      <c r="K6" s="371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16"/>
      <c r="K7" s="371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33" t="s">
        <v>2347</v>
      </c>
      <c r="C8" s="3734"/>
      <c r="D8" s="2889" t="s">
        <v>2348</v>
      </c>
      <c r="E8" s="2890" t="s">
        <v>2349</v>
      </c>
      <c r="F8" s="2891" t="s">
        <v>2350</v>
      </c>
      <c r="G8" s="2892"/>
      <c r="H8" s="2848"/>
      <c r="I8" s="2849"/>
      <c r="J8" s="3716"/>
      <c r="K8" s="371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33" t="s">
        <v>2353</v>
      </c>
      <c r="C9" s="3734"/>
      <c r="D9" s="2889">
        <f>ROUND(D6*E9,0)</f>
        <v>0</v>
      </c>
      <c r="E9" s="2893"/>
      <c r="F9" s="2894" t="s">
        <v>2354</v>
      </c>
      <c r="G9" s="2873"/>
      <c r="H9" s="2848"/>
      <c r="I9" s="2849"/>
      <c r="J9" s="3716"/>
      <c r="K9" s="3718"/>
      <c r="L9" s="2883" t="s">
        <v>2355</v>
      </c>
      <c r="M9" s="2884"/>
      <c r="N9" s="2860"/>
      <c r="O9" s="2885"/>
      <c r="P9" s="2885"/>
      <c r="Q9" s="2886">
        <v>365</v>
      </c>
      <c r="R9" s="2887">
        <f t="shared" si="0"/>
        <v>0</v>
      </c>
      <c r="S9" s="2841"/>
      <c r="T9" s="2841"/>
      <c r="U9" s="2841"/>
      <c r="V9" s="2849"/>
    </row>
    <row r="10" spans="1:22" s="2853" customFormat="1" ht="13.15" customHeight="1">
      <c r="A10" s="2888">
        <v>2</v>
      </c>
      <c r="B10" s="3733" t="s">
        <v>2356</v>
      </c>
      <c r="C10" s="3734"/>
      <c r="D10" s="2889">
        <f>ROUND(D6*E10,0)</f>
        <v>0</v>
      </c>
      <c r="E10" s="2893"/>
      <c r="F10" s="2894" t="s">
        <v>2357</v>
      </c>
      <c r="G10" s="2873"/>
      <c r="H10" s="2848"/>
      <c r="I10" s="2849"/>
      <c r="J10" s="3716"/>
      <c r="K10" s="3718"/>
      <c r="L10" s="2883" t="s">
        <v>2358</v>
      </c>
      <c r="M10" s="2884"/>
      <c r="N10" s="2860"/>
      <c r="O10" s="2885"/>
      <c r="P10" s="2885"/>
      <c r="Q10" s="2886">
        <v>365</v>
      </c>
      <c r="R10" s="2887">
        <f t="shared" si="0"/>
        <v>0</v>
      </c>
      <c r="S10" s="2841"/>
      <c r="T10" s="2841"/>
      <c r="U10" s="2841"/>
      <c r="V10" s="2849"/>
    </row>
    <row r="11" spans="1:22" s="2853" customFormat="1" ht="13.15" customHeight="1">
      <c r="A11" s="2888">
        <v>3</v>
      </c>
      <c r="B11" s="3733" t="s">
        <v>2359</v>
      </c>
      <c r="C11" s="3734"/>
      <c r="D11" s="2889">
        <f>D12+D14+D15+D16</f>
        <v>0</v>
      </c>
      <c r="E11" s="2895" t="e">
        <f>D11/D6</f>
        <v>#DIV/0!</v>
      </c>
      <c r="F11" s="2891"/>
      <c r="G11" s="2892"/>
      <c r="H11" s="2848"/>
      <c r="I11" s="2849"/>
      <c r="J11" s="3716"/>
      <c r="K11" s="371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26" t="s">
        <v>2362</v>
      </c>
      <c r="C12" s="3727"/>
      <c r="D12" s="2897">
        <f>ROUND(D13*1.2%*(1-30%),0)</f>
        <v>0</v>
      </c>
      <c r="E12" s="2898">
        <v>1.2E-2</v>
      </c>
      <c r="F12" s="2891" t="s">
        <v>2363</v>
      </c>
      <c r="G12" s="2892"/>
      <c r="H12" s="2848"/>
      <c r="I12" s="2849"/>
      <c r="J12" s="3716"/>
      <c r="K12" s="371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16"/>
      <c r="K13" s="371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26" t="s">
        <v>2368</v>
      </c>
      <c r="C14" s="3727"/>
      <c r="D14" s="2897">
        <f>ROUND(E14*B5/10000,0)</f>
        <v>0</v>
      </c>
      <c r="E14" s="2886"/>
      <c r="F14" s="2891" t="s">
        <v>2369</v>
      </c>
      <c r="G14" s="2892"/>
      <c r="H14" s="2848"/>
      <c r="I14" s="2849"/>
      <c r="J14" s="3716"/>
      <c r="K14" s="371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26" t="s">
        <v>2372</v>
      </c>
      <c r="C15" s="3727"/>
      <c r="D15" s="2897">
        <f>ROUND(D6*E15,0)</f>
        <v>0</v>
      </c>
      <c r="E15" s="2898">
        <v>5.5E-2</v>
      </c>
      <c r="F15" s="2891" t="s">
        <v>2373</v>
      </c>
      <c r="G15" s="2873"/>
      <c r="H15" s="2848"/>
      <c r="I15" s="2849"/>
      <c r="J15" s="3716">
        <v>2</v>
      </c>
      <c r="K15" s="371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26" t="s">
        <v>2381</v>
      </c>
      <c r="C16" s="3727"/>
      <c r="D16" s="2908">
        <f>D6*E16</f>
        <v>0</v>
      </c>
      <c r="E16" s="2909"/>
      <c r="F16" s="2894" t="s">
        <v>2382</v>
      </c>
      <c r="G16" s="2873"/>
      <c r="H16" s="2848"/>
      <c r="I16" s="2849"/>
      <c r="J16" s="3716"/>
      <c r="K16" s="371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2384</v>
      </c>
      <c r="C17" s="3729"/>
      <c r="D17" s="2911">
        <f>ROUND(D6*E17,0)</f>
        <v>0</v>
      </c>
      <c r="E17" s="2912"/>
      <c r="F17" s="2913" t="s">
        <v>2385</v>
      </c>
      <c r="G17" s="2873"/>
      <c r="H17" s="2848"/>
      <c r="I17" s="2849"/>
      <c r="J17" s="3716"/>
      <c r="K17" s="371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16"/>
      <c r="K18" s="371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16"/>
      <c r="K19" s="371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6">
        <v>3</v>
      </c>
      <c r="K20" s="371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16"/>
      <c r="K21" s="371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16"/>
      <c r="K22" s="371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16"/>
      <c r="K23" s="371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16"/>
      <c r="K24" s="371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2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22" t="s">
        <v>2317</v>
      </c>
      <c r="K32" s="3723"/>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24" t="s">
        <v>2327</v>
      </c>
      <c r="K33" s="3725"/>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24" t="s">
        <v>2329</v>
      </c>
      <c r="K34" s="372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16">
        <v>1</v>
      </c>
      <c r="K36" s="371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6"/>
      <c r="K38" s="371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16"/>
      <c r="K40" s="371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534.54319999999996</v>
      </c>
      <c r="C2" s="1872" t="s">
        <v>1648</v>
      </c>
      <c r="D2" s="1873" t="s">
        <v>1649</v>
      </c>
      <c r="E2" s="2607">
        <f>SUM(E6:E13)</f>
        <v>257.75</v>
      </c>
      <c r="F2" s="2707"/>
      <c r="G2" s="1489"/>
      <c r="H2" s="1489"/>
      <c r="I2" s="1489"/>
      <c r="J2" s="1489"/>
      <c r="K2" s="1489"/>
      <c r="L2" s="1489"/>
      <c r="M2" s="1489"/>
      <c r="N2" s="1489"/>
      <c r="O2" s="1489"/>
      <c r="P2" s="1489"/>
      <c r="Q2" s="1489"/>
      <c r="R2" s="1489"/>
      <c r="S2" s="1489"/>
    </row>
    <row r="3" spans="1:22" ht="15.75">
      <c r="A3" s="1870" t="s">
        <v>683</v>
      </c>
      <c r="B3" s="2601">
        <f ca="1">ROUND(B2*10000/E2,0)</f>
        <v>20739</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35" t="s">
        <v>1651</v>
      </c>
      <c r="C5" s="3736"/>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534.54319999999996</v>
      </c>
      <c r="C6" s="1872" t="s">
        <v>1648</v>
      </c>
      <c r="D6" s="2709"/>
      <c r="E6" s="2606">
        <f>IF(OR(A6=0,F6="否"),0,'数据-取费表'!K6+'数据-取费表'!S6)</f>
        <v>257.75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820.19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682" t="s">
        <v>1664</v>
      </c>
      <c r="D4" s="3683"/>
      <c r="E4" s="3684" t="s">
        <v>1665</v>
      </c>
      <c r="F4" s="3685"/>
      <c r="G4" s="3682" t="s">
        <v>1666</v>
      </c>
      <c r="H4" s="3683"/>
      <c r="I4" s="3682" t="s">
        <v>1667</v>
      </c>
      <c r="J4" s="3683"/>
      <c r="K4" s="1889" t="s">
        <v>1668</v>
      </c>
      <c r="L4" s="2715"/>
      <c r="M4" s="2716"/>
      <c r="N4" s="2716"/>
      <c r="O4" s="2716"/>
      <c r="P4" s="3741" t="s">
        <v>1669</v>
      </c>
      <c r="Q4" s="3742"/>
      <c r="R4" s="3745" t="s">
        <v>1665</v>
      </c>
      <c r="S4" s="3746"/>
      <c r="T4" s="3745" t="s">
        <v>1666</v>
      </c>
      <c r="U4" s="3746"/>
      <c r="V4" s="3699" t="s">
        <v>1667</v>
      </c>
      <c r="W4" s="3699"/>
      <c r="X4" s="1355"/>
      <c r="Y4" s="3745" t="s">
        <v>1669</v>
      </c>
      <c r="Z4" s="3746"/>
      <c r="AA4" s="3740" t="s">
        <v>1665</v>
      </c>
      <c r="AB4" s="3740" t="s">
        <v>1666</v>
      </c>
      <c r="AC4" s="3740" t="s">
        <v>1667</v>
      </c>
    </row>
    <row r="5" spans="1:29" ht="15">
      <c r="A5" s="358"/>
      <c r="B5" s="359"/>
      <c r="C5" s="3702" t="s">
        <v>1670</v>
      </c>
      <c r="D5" s="3703"/>
      <c r="E5" s="3747" t="s">
        <v>1671</v>
      </c>
      <c r="F5" s="3715"/>
      <c r="G5" s="3702" t="s">
        <v>1672</v>
      </c>
      <c r="H5" s="3703"/>
      <c r="I5" s="3702" t="s">
        <v>1673</v>
      </c>
      <c r="J5" s="3703"/>
      <c r="K5" s="1890"/>
      <c r="L5" s="2715"/>
      <c r="M5" s="2716"/>
      <c r="N5" s="2716"/>
      <c r="O5" s="2716"/>
      <c r="P5" s="3743"/>
      <c r="Q5" s="3689"/>
      <c r="R5" s="3694"/>
      <c r="S5" s="3695"/>
      <c r="T5" s="3694"/>
      <c r="U5" s="3695"/>
      <c r="V5" s="3699"/>
      <c r="W5" s="3699"/>
      <c r="X5" s="1355"/>
      <c r="Y5" s="3694"/>
      <c r="Z5" s="3695"/>
      <c r="AA5" s="3712"/>
      <c r="AB5" s="3712"/>
      <c r="AC5" s="3712"/>
    </row>
    <row r="6" spans="1:29" ht="15.75" thickBot="1">
      <c r="A6" s="360"/>
      <c r="B6" s="361"/>
      <c r="C6" s="3700" t="s">
        <v>1674</v>
      </c>
      <c r="D6" s="3701"/>
      <c r="E6" s="3709" t="s">
        <v>1674</v>
      </c>
      <c r="F6" s="3710"/>
      <c r="G6" s="3700" t="s">
        <v>1674</v>
      </c>
      <c r="H6" s="3701"/>
      <c r="I6" s="3700" t="s">
        <v>1674</v>
      </c>
      <c r="J6" s="3701"/>
      <c r="K6" s="1890" t="s">
        <v>1675</v>
      </c>
      <c r="L6" s="2715"/>
      <c r="M6" s="2716"/>
      <c r="N6" s="2716"/>
      <c r="O6" s="2716"/>
      <c r="P6" s="3744"/>
      <c r="Q6" s="3691"/>
      <c r="R6" s="3694"/>
      <c r="S6" s="3695"/>
      <c r="T6" s="3696"/>
      <c r="U6" s="3697"/>
      <c r="V6" s="3699"/>
      <c r="W6" s="3699"/>
      <c r="X6" s="1355"/>
      <c r="Y6" s="3696"/>
      <c r="Z6" s="3697"/>
      <c r="AA6" s="3713"/>
      <c r="AB6" s="3713"/>
      <c r="AC6" s="3713"/>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1677</v>
      </c>
      <c r="Q7" s="3707"/>
      <c r="R7" s="701" t="s">
        <v>20</v>
      </c>
      <c r="S7" s="702">
        <f t="shared" ref="S7:S15" si="0">F7</f>
        <v>0</v>
      </c>
      <c r="T7" s="701" t="s">
        <v>20</v>
      </c>
      <c r="U7" s="702">
        <f t="shared" ref="U7:U15" si="1">H7</f>
        <v>0</v>
      </c>
      <c r="V7" s="701" t="s">
        <v>20</v>
      </c>
      <c r="W7" s="702">
        <f t="shared" ref="W7:W15" si="2">J7</f>
        <v>0</v>
      </c>
      <c r="X7" s="703"/>
      <c r="Y7" s="3706" t="s">
        <v>1677</v>
      </c>
      <c r="Z7" s="3705"/>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1680</v>
      </c>
      <c r="Q8" s="3705"/>
      <c r="R8" s="701" t="s">
        <v>20</v>
      </c>
      <c r="S8" s="702">
        <f t="shared" si="0"/>
        <v>100</v>
      </c>
      <c r="T8" s="701" t="s">
        <v>20</v>
      </c>
      <c r="U8" s="702">
        <f t="shared" si="1"/>
        <v>100</v>
      </c>
      <c r="V8" s="701" t="s">
        <v>20</v>
      </c>
      <c r="W8" s="702">
        <f t="shared" si="2"/>
        <v>100</v>
      </c>
      <c r="X8" s="703"/>
      <c r="Y8" s="3706" t="s">
        <v>1680</v>
      </c>
      <c r="Z8" s="3705"/>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1683</v>
      </c>
      <c r="Q9" s="1343" t="str">
        <f t="shared" ref="Q9:Q15" si="6">B9</f>
        <v>用途</v>
      </c>
      <c r="R9" s="701" t="s">
        <v>14</v>
      </c>
      <c r="S9" s="702">
        <f t="shared" si="0"/>
        <v>100</v>
      </c>
      <c r="T9" s="701" t="s">
        <v>14</v>
      </c>
      <c r="U9" s="702">
        <f t="shared" si="1"/>
        <v>100</v>
      </c>
      <c r="V9" s="701" t="s">
        <v>14</v>
      </c>
      <c r="W9" s="702">
        <f t="shared" si="2"/>
        <v>100</v>
      </c>
      <c r="X9" s="703"/>
      <c r="Y9" s="3563"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0" t="s">
        <v>1688</v>
      </c>
      <c r="Q15" s="1352" t="str">
        <f t="shared" si="6"/>
        <v>居住社区成熟度</v>
      </c>
      <c r="R15" s="705" t="s">
        <v>18</v>
      </c>
      <c r="S15" s="706">
        <f t="shared" si="0"/>
        <v>100</v>
      </c>
      <c r="T15" s="705" t="s">
        <v>18</v>
      </c>
      <c r="U15" s="706">
        <f t="shared" si="1"/>
        <v>100</v>
      </c>
      <c r="V15" s="705" t="s">
        <v>18</v>
      </c>
      <c r="W15" s="706">
        <f t="shared" si="2"/>
        <v>100</v>
      </c>
      <c r="X15" s="1355"/>
      <c r="Y15" s="3672"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1"/>
      <c r="Q16" s="1352"/>
      <c r="R16" s="705"/>
      <c r="S16" s="706"/>
      <c r="T16" s="705"/>
      <c r="U16" s="706"/>
      <c r="V16" s="705"/>
      <c r="W16" s="706"/>
      <c r="X16" s="1355"/>
      <c r="Y16" s="3673"/>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1"/>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1"/>
      <c r="Q18" s="1352"/>
      <c r="R18" s="705"/>
      <c r="S18" s="706"/>
      <c r="T18" s="705"/>
      <c r="U18" s="706"/>
      <c r="V18" s="705"/>
      <c r="W18" s="706"/>
      <c r="X18" s="1355"/>
      <c r="Y18" s="3673"/>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1"/>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1"/>
      <c r="Q20" s="1352"/>
      <c r="R20" s="705"/>
      <c r="S20" s="706"/>
      <c r="T20" s="705"/>
      <c r="U20" s="706"/>
      <c r="V20" s="705"/>
      <c r="W20" s="706"/>
      <c r="X20" s="1355"/>
      <c r="Y20" s="3673"/>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1"/>
      <c r="Q22" s="1352"/>
      <c r="R22" s="705"/>
      <c r="S22" s="706"/>
      <c r="T22" s="705"/>
      <c r="U22" s="706"/>
      <c r="V22" s="705"/>
      <c r="W22" s="706"/>
      <c r="X22" s="1355"/>
      <c r="Y22" s="3673"/>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1"/>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1"/>
      <c r="Q24" s="1352"/>
      <c r="R24" s="705"/>
      <c r="S24" s="706"/>
      <c r="T24" s="705"/>
      <c r="U24" s="706"/>
      <c r="V24" s="705"/>
      <c r="W24" s="706"/>
      <c r="X24" s="1355"/>
      <c r="Y24" s="3673"/>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1"/>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1"/>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1"/>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1"/>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1"/>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1"/>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1693</v>
      </c>
      <c r="Q32" s="1352" t="str">
        <f t="shared" si="11"/>
        <v>建筑类型</v>
      </c>
      <c r="R32" s="705" t="s">
        <v>18</v>
      </c>
      <c r="S32" s="706">
        <f t="shared" si="12"/>
        <v>100</v>
      </c>
      <c r="T32" s="705" t="s">
        <v>18</v>
      </c>
      <c r="U32" s="706">
        <f t="shared" si="13"/>
        <v>100</v>
      </c>
      <c r="V32" s="705" t="s">
        <v>18</v>
      </c>
      <c r="W32" s="706">
        <f t="shared" si="14"/>
        <v>100</v>
      </c>
      <c r="X32" s="1355"/>
      <c r="Y32" s="3677"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1693</v>
      </c>
      <c r="Q38" s="1352" t="str">
        <f t="shared" si="11"/>
        <v>物业管理</v>
      </c>
      <c r="R38" s="705" t="s">
        <v>18</v>
      </c>
      <c r="S38" s="706">
        <f t="shared" si="12"/>
        <v>100</v>
      </c>
      <c r="T38" s="705" t="s">
        <v>18</v>
      </c>
      <c r="U38" s="706">
        <f t="shared" si="13"/>
        <v>100</v>
      </c>
      <c r="V38" s="705" t="s">
        <v>18</v>
      </c>
      <c r="W38" s="706">
        <f t="shared" si="14"/>
        <v>100</v>
      </c>
      <c r="X38" s="1355"/>
      <c r="Y38" s="3677"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36">
      <c r="A4" s="1480" t="str">
        <f>"受贵公司委托，我公司对"&amp;项目基本情况!S1&amp;"进行了预评估。"</f>
        <v>受贵公司委托，我公司对北京市石景山区八角东街65号院主楼北座2号楼1102、1103、1104房地产抵押价值进行了预评估。</v>
      </c>
    </row>
    <row r="5" spans="1:1" ht="18.75">
      <c r="A5" s="1481" t="s">
        <v>896</v>
      </c>
    </row>
    <row r="6" spans="1:1" ht="18.75">
      <c r="A6" s="1482" t="s">
        <v>897</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估价对象为北京市石景山区八角东街65号院主楼北座2号楼1102、1103、1104房地产，为所有。根据《国有土地使用证》[]，估价对象（分摊）出让国有建设用地使用权面积为0平方米，建筑面积为820.19平方米。</v>
      </c>
    </row>
    <row r="8" spans="1:1" ht="57.75">
      <c r="A8" s="1483" t="s">
        <v>898</v>
      </c>
    </row>
    <row r="9" spans="1:1" ht="18.75">
      <c r="A9" s="1482" t="s">
        <v>899</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开发建设的，该项目尚在开发建设中。根据《国有土地使用证》[]，估价对象（分摊）出让国有建设用地使用权面积为0平方米，规划建筑面积为820.19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石景山区八角东街65号院主楼北座2号楼1102、1103、1104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2024年5月23日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本次评估采用的主估价方法为比较法和收益法。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820.19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682" t="s">
        <v>1767</v>
      </c>
      <c r="D4" s="3683"/>
      <c r="E4" s="3684" t="s">
        <v>1768</v>
      </c>
      <c r="F4" s="3685"/>
      <c r="G4" s="3682" t="s">
        <v>1769</v>
      </c>
      <c r="H4" s="3683"/>
      <c r="I4" s="3682" t="s">
        <v>1770</v>
      </c>
      <c r="J4" s="3683"/>
      <c r="K4" s="559" t="s">
        <v>1771</v>
      </c>
      <c r="L4" s="2715"/>
      <c r="M4" s="2716"/>
      <c r="N4" s="2716"/>
      <c r="O4" s="2716"/>
      <c r="P4" s="3741" t="s">
        <v>1772</v>
      </c>
      <c r="Q4" s="3742"/>
      <c r="R4" s="3745" t="s">
        <v>1768</v>
      </c>
      <c r="S4" s="3746"/>
      <c r="T4" s="3745" t="s">
        <v>1769</v>
      </c>
      <c r="U4" s="3746"/>
      <c r="V4" s="3699" t="s">
        <v>1770</v>
      </c>
      <c r="W4" s="3699"/>
      <c r="X4" s="1355"/>
      <c r="Y4" s="3745" t="s">
        <v>1772</v>
      </c>
      <c r="Z4" s="3746"/>
      <c r="AA4" s="3740" t="s">
        <v>1768</v>
      </c>
      <c r="AB4" s="3699" t="s">
        <v>1769</v>
      </c>
      <c r="AC4" s="3740" t="s">
        <v>1770</v>
      </c>
    </row>
    <row r="5" spans="1:29" ht="15">
      <c r="A5" s="358"/>
      <c r="B5" s="359"/>
      <c r="C5" s="3702" t="s">
        <v>1670</v>
      </c>
      <c r="D5" s="3703"/>
      <c r="E5" s="3747" t="s">
        <v>1671</v>
      </c>
      <c r="F5" s="3715"/>
      <c r="G5" s="3702" t="s">
        <v>1672</v>
      </c>
      <c r="H5" s="3703"/>
      <c r="I5" s="3702" t="s">
        <v>1673</v>
      </c>
      <c r="J5" s="3703"/>
      <c r="K5" s="559"/>
      <c r="L5" s="2715"/>
      <c r="M5" s="2716"/>
      <c r="N5" s="2716"/>
      <c r="O5" s="2716"/>
      <c r="P5" s="3743"/>
      <c r="Q5" s="3689"/>
      <c r="R5" s="3694"/>
      <c r="S5" s="3695"/>
      <c r="T5" s="3694"/>
      <c r="U5" s="3695"/>
      <c r="V5" s="3699"/>
      <c r="W5" s="3699"/>
      <c r="X5" s="1355"/>
      <c r="Y5" s="3694"/>
      <c r="Z5" s="3695"/>
      <c r="AA5" s="3712"/>
      <c r="AB5" s="3699"/>
      <c r="AC5" s="3712"/>
    </row>
    <row r="6" spans="1:29" ht="15.75" thickBot="1">
      <c r="A6" s="360"/>
      <c r="B6" s="361"/>
      <c r="C6" s="3700" t="s">
        <v>1674</v>
      </c>
      <c r="D6" s="3701"/>
      <c r="E6" s="3709" t="s">
        <v>1674</v>
      </c>
      <c r="F6" s="3710"/>
      <c r="G6" s="3700" t="s">
        <v>1674</v>
      </c>
      <c r="H6" s="3701"/>
      <c r="I6" s="3700" t="s">
        <v>1674</v>
      </c>
      <c r="J6" s="3701"/>
      <c r="K6" s="559" t="s">
        <v>1675</v>
      </c>
      <c r="L6" s="2715"/>
      <c r="M6" s="2716"/>
      <c r="N6" s="2716"/>
      <c r="O6" s="2716"/>
      <c r="P6" s="3744"/>
      <c r="Q6" s="3691"/>
      <c r="R6" s="3694"/>
      <c r="S6" s="3695"/>
      <c r="T6" s="3696"/>
      <c r="U6" s="3697"/>
      <c r="V6" s="3699"/>
      <c r="W6" s="3699"/>
      <c r="X6" s="1355"/>
      <c r="Y6" s="3696"/>
      <c r="Z6" s="3697"/>
      <c r="AA6" s="3713"/>
      <c r="AB6" s="3699"/>
      <c r="AC6" s="3713"/>
    </row>
    <row r="7" spans="1:29" s="108" customFormat="1" ht="15.75" thickBot="1">
      <c r="A7" s="362" t="s">
        <v>1676</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1677</v>
      </c>
      <c r="Q7" s="3707"/>
      <c r="R7" s="701" t="s">
        <v>14</v>
      </c>
      <c r="S7" s="702">
        <f t="shared" ref="S7:S15" si="0">F7</f>
        <v>0</v>
      </c>
      <c r="T7" s="701" t="s">
        <v>14</v>
      </c>
      <c r="U7" s="702">
        <f t="shared" ref="U7:U15" si="1">H7</f>
        <v>0</v>
      </c>
      <c r="V7" s="701" t="s">
        <v>14</v>
      </c>
      <c r="W7" s="702">
        <f t="shared" ref="W7:W15" si="2">J7</f>
        <v>0</v>
      </c>
      <c r="X7" s="703"/>
      <c r="Y7" s="3706" t="s">
        <v>1677</v>
      </c>
      <c r="Z7" s="3705"/>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1680</v>
      </c>
      <c r="Q8" s="3705"/>
      <c r="R8" s="701" t="s">
        <v>14</v>
      </c>
      <c r="S8" s="702">
        <f t="shared" si="0"/>
        <v>100</v>
      </c>
      <c r="T8" s="701" t="s">
        <v>14</v>
      </c>
      <c r="U8" s="702">
        <f t="shared" si="1"/>
        <v>100</v>
      </c>
      <c r="V8" s="701" t="s">
        <v>14</v>
      </c>
      <c r="W8" s="702">
        <f t="shared" si="2"/>
        <v>100</v>
      </c>
      <c r="X8" s="703"/>
      <c r="Y8" s="3706" t="s">
        <v>1680</v>
      </c>
      <c r="Z8" s="3705"/>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4" t="s">
        <v>1683</v>
      </c>
      <c r="Q9" s="1343" t="str">
        <f t="shared" ref="Q9:Q15" si="6">B9</f>
        <v>用途</v>
      </c>
      <c r="R9" s="701" t="s">
        <v>14</v>
      </c>
      <c r="S9" s="702">
        <f t="shared" si="0"/>
        <v>100</v>
      </c>
      <c r="T9" s="701" t="s">
        <v>14</v>
      </c>
      <c r="U9" s="702">
        <f t="shared" si="1"/>
        <v>100</v>
      </c>
      <c r="V9" s="701" t="s">
        <v>14</v>
      </c>
      <c r="W9" s="702">
        <f t="shared" si="2"/>
        <v>100</v>
      </c>
      <c r="X9" s="703"/>
      <c r="Y9" s="3563"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4"/>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0" t="s">
        <v>1688</v>
      </c>
      <c r="Q15" s="1352" t="str">
        <f t="shared" si="6"/>
        <v>商业繁华度</v>
      </c>
      <c r="R15" s="705" t="s">
        <v>14</v>
      </c>
      <c r="S15" s="706">
        <f t="shared" si="0"/>
        <v>100</v>
      </c>
      <c r="T15" s="705" t="s">
        <v>14</v>
      </c>
      <c r="U15" s="706">
        <f t="shared" si="1"/>
        <v>100</v>
      </c>
      <c r="V15" s="705" t="s">
        <v>14</v>
      </c>
      <c r="W15" s="706">
        <f t="shared" si="2"/>
        <v>100</v>
      </c>
      <c r="X15" s="1355"/>
      <c r="Y15" s="3672"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1"/>
      <c r="Q16" s="1352"/>
      <c r="R16" s="705"/>
      <c r="S16" s="706"/>
      <c r="T16" s="705"/>
      <c r="U16" s="706"/>
      <c r="V16" s="705"/>
      <c r="W16" s="706"/>
      <c r="X16" s="1355"/>
      <c r="Y16" s="3673"/>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1"/>
      <c r="Q18" s="1352"/>
      <c r="R18" s="705"/>
      <c r="S18" s="706"/>
      <c r="T18" s="705"/>
      <c r="U18" s="706"/>
      <c r="V18" s="705"/>
      <c r="W18" s="706"/>
      <c r="X18" s="1355"/>
      <c r="Y18" s="3673"/>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1"/>
      <c r="Q20" s="1352"/>
      <c r="R20" s="705"/>
      <c r="S20" s="706"/>
      <c r="T20" s="705"/>
      <c r="U20" s="706"/>
      <c r="V20" s="705"/>
      <c r="W20" s="706"/>
      <c r="X20" s="1355"/>
      <c r="Y20" s="3673"/>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1"/>
      <c r="Q22" s="1352"/>
      <c r="R22" s="705"/>
      <c r="S22" s="706"/>
      <c r="T22" s="705"/>
      <c r="U22" s="706"/>
      <c r="V22" s="705"/>
      <c r="W22" s="706"/>
      <c r="X22" s="1355"/>
      <c r="Y22" s="3673"/>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1"/>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1"/>
      <c r="Q24" s="1352"/>
      <c r="R24" s="705"/>
      <c r="S24" s="706"/>
      <c r="T24" s="705"/>
      <c r="U24" s="706"/>
      <c r="V24" s="705"/>
      <c r="W24" s="706"/>
      <c r="X24" s="1355"/>
      <c r="Y24" s="3673"/>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1"/>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1"/>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1"/>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1"/>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1"/>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1"/>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1693</v>
      </c>
      <c r="Q32" s="1352" t="str">
        <f t="shared" si="11"/>
        <v>商业类型</v>
      </c>
      <c r="R32" s="705" t="s">
        <v>14</v>
      </c>
      <c r="S32" s="706">
        <f t="shared" si="12"/>
        <v>100</v>
      </c>
      <c r="T32" s="705" t="s">
        <v>14</v>
      </c>
      <c r="U32" s="706">
        <f t="shared" si="13"/>
        <v>100</v>
      </c>
      <c r="V32" s="705" t="s">
        <v>14</v>
      </c>
      <c r="W32" s="706">
        <f t="shared" si="14"/>
        <v>100</v>
      </c>
      <c r="X32" s="1355"/>
      <c r="Y32" s="3677"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1693</v>
      </c>
      <c r="Q38" s="1352" t="str">
        <f t="shared" si="11"/>
        <v>业态</v>
      </c>
      <c r="R38" s="705" t="s">
        <v>14</v>
      </c>
      <c r="S38" s="706">
        <f t="shared" si="12"/>
        <v>100</v>
      </c>
      <c r="T38" s="705" t="s">
        <v>14</v>
      </c>
      <c r="U38" s="706">
        <f t="shared" si="13"/>
        <v>100</v>
      </c>
      <c r="V38" s="705" t="s">
        <v>14</v>
      </c>
      <c r="W38" s="706">
        <f t="shared" si="14"/>
        <v>100</v>
      </c>
      <c r="X38" s="1355"/>
      <c r="Y38" s="3677"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665" t="str">
        <f>A47</f>
        <v>成交单价（元/平方米）</v>
      </c>
      <c r="Q47" s="3665"/>
      <c r="R47" s="3699">
        <f>E47</f>
        <v>0</v>
      </c>
      <c r="S47" s="3699"/>
      <c r="T47" s="3699">
        <f>G47</f>
        <v>0</v>
      </c>
      <c r="U47" s="3699"/>
      <c r="V47" s="3699">
        <f>I47</f>
        <v>0</v>
      </c>
      <c r="W47" s="3699"/>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820.19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82" t="s">
        <v>1767</v>
      </c>
      <c r="D4" s="3683"/>
      <c r="E4" s="3684" t="s">
        <v>1768</v>
      </c>
      <c r="F4" s="3685"/>
      <c r="G4" s="3682" t="s">
        <v>1769</v>
      </c>
      <c r="H4" s="3683"/>
      <c r="I4" s="3682" t="s">
        <v>1770</v>
      </c>
      <c r="J4" s="3683"/>
      <c r="K4" s="559" t="s">
        <v>1771</v>
      </c>
      <c r="L4" s="913"/>
      <c r="M4" s="914"/>
      <c r="N4" s="914"/>
      <c r="O4" s="914"/>
      <c r="P4" s="3741" t="s">
        <v>1772</v>
      </c>
      <c r="Q4" s="3742"/>
      <c r="R4" s="3745" t="s">
        <v>1768</v>
      </c>
      <c r="S4" s="3746"/>
      <c r="T4" s="3745" t="s">
        <v>1769</v>
      </c>
      <c r="U4" s="3746"/>
      <c r="V4" s="3699" t="s">
        <v>1770</v>
      </c>
      <c r="W4" s="3699"/>
      <c r="X4" s="1355"/>
      <c r="Y4" s="3745" t="s">
        <v>1772</v>
      </c>
      <c r="Z4" s="3746"/>
      <c r="AA4" s="3740" t="s">
        <v>1768</v>
      </c>
      <c r="AB4" s="3712" t="s">
        <v>1769</v>
      </c>
      <c r="AC4" s="3740" t="s">
        <v>1770</v>
      </c>
    </row>
    <row r="5" spans="1:29" ht="15">
      <c r="A5" s="358"/>
      <c r="B5" s="359"/>
      <c r="C5" s="3702" t="s">
        <v>1670</v>
      </c>
      <c r="D5" s="3703"/>
      <c r="E5" s="3747" t="s">
        <v>1671</v>
      </c>
      <c r="F5" s="3715"/>
      <c r="G5" s="3702" t="s">
        <v>1672</v>
      </c>
      <c r="H5" s="3703"/>
      <c r="I5" s="3702" t="s">
        <v>1673</v>
      </c>
      <c r="J5" s="3703"/>
      <c r="K5" s="559"/>
      <c r="L5" s="913"/>
      <c r="M5" s="914"/>
      <c r="N5" s="914"/>
      <c r="O5" s="914"/>
      <c r="P5" s="3743"/>
      <c r="Q5" s="3689"/>
      <c r="R5" s="3694"/>
      <c r="S5" s="3695"/>
      <c r="T5" s="3694"/>
      <c r="U5" s="3695"/>
      <c r="V5" s="3699"/>
      <c r="W5" s="3699"/>
      <c r="X5" s="1355"/>
      <c r="Y5" s="3694"/>
      <c r="Z5" s="3695"/>
      <c r="AA5" s="3712"/>
      <c r="AB5" s="3712"/>
      <c r="AC5" s="3712"/>
    </row>
    <row r="6" spans="1:29" ht="15.75" thickBot="1">
      <c r="A6" s="360"/>
      <c r="B6" s="361"/>
      <c r="C6" s="3700" t="s">
        <v>1674</v>
      </c>
      <c r="D6" s="3701"/>
      <c r="E6" s="3709" t="s">
        <v>1674</v>
      </c>
      <c r="F6" s="3710"/>
      <c r="G6" s="3700" t="s">
        <v>1674</v>
      </c>
      <c r="H6" s="3701"/>
      <c r="I6" s="3700" t="s">
        <v>1674</v>
      </c>
      <c r="J6" s="3701"/>
      <c r="K6" s="559" t="s">
        <v>1675</v>
      </c>
      <c r="L6" s="913"/>
      <c r="M6" s="914"/>
      <c r="N6" s="914"/>
      <c r="O6" s="914"/>
      <c r="P6" s="3744"/>
      <c r="Q6" s="3691"/>
      <c r="R6" s="3694"/>
      <c r="S6" s="3695"/>
      <c r="T6" s="3696"/>
      <c r="U6" s="3697"/>
      <c r="V6" s="3699"/>
      <c r="W6" s="3699"/>
      <c r="X6" s="1355"/>
      <c r="Y6" s="3696"/>
      <c r="Z6" s="3697"/>
      <c r="AA6" s="3713"/>
      <c r="AB6" s="3713"/>
      <c r="AC6" s="3713"/>
    </row>
    <row r="7" spans="1:29" s="108" customFormat="1" ht="15.75" thickBot="1">
      <c r="A7" s="362" t="s">
        <v>1676</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1677</v>
      </c>
      <c r="Q7" s="3707"/>
      <c r="R7" s="701" t="s">
        <v>14</v>
      </c>
      <c r="S7" s="702">
        <f t="shared" ref="S7:S15" si="0">F7</f>
        <v>0</v>
      </c>
      <c r="T7" s="701" t="s">
        <v>14</v>
      </c>
      <c r="U7" s="702">
        <f t="shared" ref="U7:U15" si="1">H7</f>
        <v>0</v>
      </c>
      <c r="V7" s="701" t="s">
        <v>14</v>
      </c>
      <c r="W7" s="702">
        <f t="shared" ref="W7:W15" si="2">J7</f>
        <v>0</v>
      </c>
      <c r="X7" s="703"/>
      <c r="Y7" s="3706" t="s">
        <v>1677</v>
      </c>
      <c r="Z7" s="3705"/>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1680</v>
      </c>
      <c r="Q8" s="3705"/>
      <c r="R8" s="701" t="s">
        <v>14</v>
      </c>
      <c r="S8" s="702">
        <f t="shared" si="0"/>
        <v>100</v>
      </c>
      <c r="T8" s="701" t="s">
        <v>14</v>
      </c>
      <c r="U8" s="702">
        <f t="shared" si="1"/>
        <v>100</v>
      </c>
      <c r="V8" s="701" t="s">
        <v>14</v>
      </c>
      <c r="W8" s="702">
        <f t="shared" si="2"/>
        <v>100</v>
      </c>
      <c r="X8" s="703"/>
      <c r="Y8" s="3706" t="s">
        <v>1680</v>
      </c>
      <c r="Z8" s="3705"/>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1683</v>
      </c>
      <c r="Q9" s="1343" t="str">
        <f t="shared" ref="Q9:Q15" si="6">B9</f>
        <v>用途</v>
      </c>
      <c r="R9" s="701" t="s">
        <v>14</v>
      </c>
      <c r="S9" s="702">
        <f t="shared" si="0"/>
        <v>100</v>
      </c>
      <c r="T9" s="701" t="s">
        <v>14</v>
      </c>
      <c r="U9" s="702">
        <f t="shared" si="1"/>
        <v>100</v>
      </c>
      <c r="V9" s="701" t="s">
        <v>14</v>
      </c>
      <c r="W9" s="702">
        <f t="shared" si="2"/>
        <v>100</v>
      </c>
      <c r="X9" s="703"/>
      <c r="Y9" s="3563"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1688</v>
      </c>
      <c r="Q15" s="1352" t="str">
        <f t="shared" si="6"/>
        <v>产业集聚程度</v>
      </c>
      <c r="R15" s="705" t="s">
        <v>14</v>
      </c>
      <c r="S15" s="706">
        <f t="shared" si="0"/>
        <v>100</v>
      </c>
      <c r="T15" s="705" t="s">
        <v>14</v>
      </c>
      <c r="U15" s="706">
        <f t="shared" si="1"/>
        <v>100</v>
      </c>
      <c r="V15" s="705" t="s">
        <v>14</v>
      </c>
      <c r="W15" s="706">
        <f t="shared" si="2"/>
        <v>100</v>
      </c>
      <c r="X15" s="1355"/>
      <c r="Y15" s="3672"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1693</v>
      </c>
      <c r="Q29" s="1352" t="str">
        <f t="shared" si="11"/>
        <v>建筑类型</v>
      </c>
      <c r="R29" s="705" t="s">
        <v>14</v>
      </c>
      <c r="S29" s="706">
        <f t="shared" si="12"/>
        <v>100</v>
      </c>
      <c r="T29" s="705" t="s">
        <v>14</v>
      </c>
      <c r="U29" s="706">
        <f t="shared" si="13"/>
        <v>100</v>
      </c>
      <c r="V29" s="705" t="s">
        <v>14</v>
      </c>
      <c r="W29" s="706">
        <f t="shared" si="14"/>
        <v>100</v>
      </c>
      <c r="X29" s="1355"/>
      <c r="Y29" s="3677"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1693</v>
      </c>
      <c r="Q35" s="1352" t="str">
        <f t="shared" si="11"/>
        <v>市政基础设施</v>
      </c>
      <c r="R35" s="705" t="s">
        <v>14</v>
      </c>
      <c r="S35" s="706">
        <f t="shared" si="12"/>
        <v>100</v>
      </c>
      <c r="T35" s="705" t="s">
        <v>14</v>
      </c>
      <c r="U35" s="706">
        <f t="shared" si="13"/>
        <v>100</v>
      </c>
      <c r="V35" s="705" t="s">
        <v>14</v>
      </c>
      <c r="W35" s="706">
        <f t="shared" si="14"/>
        <v>100</v>
      </c>
      <c r="X35" s="1355"/>
      <c r="Y35" s="3677"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682" t="s">
        <v>1767</v>
      </c>
      <c r="D4" s="3683"/>
      <c r="E4" s="3684" t="s">
        <v>1768</v>
      </c>
      <c r="F4" s="3685"/>
      <c r="G4" s="3682" t="s">
        <v>1769</v>
      </c>
      <c r="H4" s="3683"/>
      <c r="I4" s="3682" t="s">
        <v>1770</v>
      </c>
      <c r="J4" s="3683"/>
      <c r="K4" s="559" t="s">
        <v>1771</v>
      </c>
      <c r="L4" s="2715"/>
      <c r="M4" s="2716"/>
      <c r="N4" s="2716"/>
      <c r="O4" s="2716"/>
      <c r="P4" s="3741" t="s">
        <v>1772</v>
      </c>
      <c r="Q4" s="3742"/>
      <c r="R4" s="3745" t="s">
        <v>1768</v>
      </c>
      <c r="S4" s="3746"/>
      <c r="T4" s="3745" t="s">
        <v>1769</v>
      </c>
      <c r="U4" s="3746"/>
      <c r="V4" s="3699" t="s">
        <v>1770</v>
      </c>
      <c r="W4" s="3699"/>
      <c r="X4" s="1355"/>
      <c r="Y4" s="3745" t="s">
        <v>1772</v>
      </c>
      <c r="Z4" s="3746"/>
      <c r="AA4" s="3740" t="s">
        <v>1768</v>
      </c>
      <c r="AB4" s="3712" t="s">
        <v>1769</v>
      </c>
      <c r="AC4" s="3740" t="s">
        <v>1770</v>
      </c>
    </row>
    <row r="5" spans="1:29" ht="15">
      <c r="A5" s="358"/>
      <c r="B5" s="359"/>
      <c r="C5" s="3702" t="s">
        <v>1670</v>
      </c>
      <c r="D5" s="3703"/>
      <c r="E5" s="3747" t="s">
        <v>1671</v>
      </c>
      <c r="F5" s="3715"/>
      <c r="G5" s="3702" t="s">
        <v>1672</v>
      </c>
      <c r="H5" s="3703"/>
      <c r="I5" s="3702" t="s">
        <v>1673</v>
      </c>
      <c r="J5" s="3703"/>
      <c r="K5" s="559"/>
      <c r="L5" s="2715"/>
      <c r="M5" s="2716"/>
      <c r="N5" s="2716"/>
      <c r="O5" s="2716"/>
      <c r="P5" s="3743"/>
      <c r="Q5" s="3689"/>
      <c r="R5" s="3694"/>
      <c r="S5" s="3695"/>
      <c r="T5" s="3694"/>
      <c r="U5" s="3695"/>
      <c r="V5" s="3699"/>
      <c r="W5" s="3699"/>
      <c r="X5" s="1355"/>
      <c r="Y5" s="3694"/>
      <c r="Z5" s="3695"/>
      <c r="AA5" s="3712"/>
      <c r="AB5" s="3712"/>
      <c r="AC5" s="3712"/>
    </row>
    <row r="6" spans="1:29" ht="15.75" thickBot="1">
      <c r="A6" s="360"/>
      <c r="B6" s="361"/>
      <c r="C6" s="3700" t="s">
        <v>1674</v>
      </c>
      <c r="D6" s="3701"/>
      <c r="E6" s="3709" t="s">
        <v>1674</v>
      </c>
      <c r="F6" s="3710"/>
      <c r="G6" s="3700" t="s">
        <v>1674</v>
      </c>
      <c r="H6" s="3701"/>
      <c r="I6" s="3700" t="s">
        <v>1674</v>
      </c>
      <c r="J6" s="3701"/>
      <c r="K6" s="559" t="s">
        <v>1675</v>
      </c>
      <c r="L6" s="2715"/>
      <c r="M6" s="2716"/>
      <c r="N6" s="2716"/>
      <c r="O6" s="2716"/>
      <c r="P6" s="3744"/>
      <c r="Q6" s="3691"/>
      <c r="R6" s="3694"/>
      <c r="S6" s="3695"/>
      <c r="T6" s="3696"/>
      <c r="U6" s="3697"/>
      <c r="V6" s="3699"/>
      <c r="W6" s="3699"/>
      <c r="X6" s="1355"/>
      <c r="Y6" s="3696"/>
      <c r="Z6" s="3697"/>
      <c r="AA6" s="3713"/>
      <c r="AB6" s="3713"/>
      <c r="AC6" s="3713"/>
    </row>
    <row r="7" spans="1:29" s="108" customFormat="1" ht="15.75" thickBot="1">
      <c r="A7" s="362" t="s">
        <v>1676</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1677</v>
      </c>
      <c r="Q7" s="3707"/>
      <c r="R7" s="701" t="s">
        <v>14</v>
      </c>
      <c r="S7" s="702">
        <f t="shared" ref="S7:S14" si="0">F7</f>
        <v>0</v>
      </c>
      <c r="T7" s="701" t="s">
        <v>14</v>
      </c>
      <c r="U7" s="702">
        <f t="shared" ref="U7:U14" si="1">H7</f>
        <v>0</v>
      </c>
      <c r="V7" s="701" t="s">
        <v>14</v>
      </c>
      <c r="W7" s="702">
        <f t="shared" ref="W7:W14" si="2">J7</f>
        <v>0</v>
      </c>
      <c r="X7" s="703"/>
      <c r="Y7" s="3706" t="s">
        <v>1677</v>
      </c>
      <c r="Z7" s="3705"/>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1680</v>
      </c>
      <c r="Q8" s="3705"/>
      <c r="R8" s="701" t="s">
        <v>14</v>
      </c>
      <c r="S8" s="702">
        <f t="shared" si="0"/>
        <v>100</v>
      </c>
      <c r="T8" s="701" t="s">
        <v>14</v>
      </c>
      <c r="U8" s="702">
        <f t="shared" si="1"/>
        <v>100</v>
      </c>
      <c r="V8" s="701" t="s">
        <v>14</v>
      </c>
      <c r="W8" s="702">
        <f t="shared" si="2"/>
        <v>100</v>
      </c>
      <c r="X8" s="703"/>
      <c r="Y8" s="3706" t="s">
        <v>1680</v>
      </c>
      <c r="Z8" s="3705"/>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1683</v>
      </c>
      <c r="Q9" s="1343" t="str">
        <f t="shared" ref="Q9:Q14" si="6">B9</f>
        <v>用途</v>
      </c>
      <c r="R9" s="701" t="s">
        <v>14</v>
      </c>
      <c r="S9" s="702">
        <f t="shared" si="0"/>
        <v>100</v>
      </c>
      <c r="T9" s="701" t="s">
        <v>14</v>
      </c>
      <c r="U9" s="702">
        <f t="shared" si="1"/>
        <v>100</v>
      </c>
      <c r="V9" s="701" t="s">
        <v>14</v>
      </c>
      <c r="W9" s="702">
        <f t="shared" si="2"/>
        <v>100</v>
      </c>
      <c r="X9" s="703"/>
      <c r="Y9" s="3563"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1688</v>
      </c>
      <c r="Q14" s="1352" t="str">
        <f t="shared" si="6"/>
        <v>交通便捷度</v>
      </c>
      <c r="R14" s="705" t="s">
        <v>14</v>
      </c>
      <c r="S14" s="706">
        <f t="shared" si="0"/>
        <v>100</v>
      </c>
      <c r="T14" s="705" t="s">
        <v>14</v>
      </c>
      <c r="U14" s="706">
        <f t="shared" si="1"/>
        <v>100</v>
      </c>
      <c r="V14" s="705" t="s">
        <v>14</v>
      </c>
      <c r="W14" s="706">
        <f t="shared" si="2"/>
        <v>100</v>
      </c>
      <c r="X14" s="1355"/>
      <c r="Y14" s="3672"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1693</v>
      </c>
      <c r="Q32" s="1352" t="str">
        <f t="shared" si="11"/>
        <v>车位类型</v>
      </c>
      <c r="R32" s="705" t="s">
        <v>14</v>
      </c>
      <c r="S32" s="706">
        <f t="shared" si="12"/>
        <v>100</v>
      </c>
      <c r="T32" s="705" t="s">
        <v>14</v>
      </c>
      <c r="U32" s="706">
        <f t="shared" si="13"/>
        <v>100</v>
      </c>
      <c r="V32" s="705" t="s">
        <v>14</v>
      </c>
      <c r="W32" s="706">
        <f t="shared" si="14"/>
        <v>100</v>
      </c>
      <c r="X32" s="1355"/>
      <c r="Y32" s="3677"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82" t="s">
        <v>1767</v>
      </c>
      <c r="D4" s="3683"/>
      <c r="E4" s="3684" t="s">
        <v>1768</v>
      </c>
      <c r="F4" s="3685"/>
      <c r="G4" s="3682" t="s">
        <v>1769</v>
      </c>
      <c r="H4" s="3683"/>
      <c r="I4" s="3682" t="s">
        <v>1770</v>
      </c>
      <c r="J4" s="3683"/>
      <c r="K4" s="559" t="s">
        <v>1771</v>
      </c>
      <c r="L4" s="2715"/>
      <c r="M4" s="2716"/>
      <c r="N4" s="2716"/>
      <c r="O4" s="2716"/>
      <c r="P4" s="3741" t="s">
        <v>1772</v>
      </c>
      <c r="Q4" s="3742"/>
      <c r="R4" s="3745" t="s">
        <v>1768</v>
      </c>
      <c r="S4" s="3746"/>
      <c r="T4" s="3745" t="s">
        <v>1769</v>
      </c>
      <c r="U4" s="3746"/>
      <c r="V4" s="3699" t="s">
        <v>1770</v>
      </c>
      <c r="W4" s="3699"/>
      <c r="X4" s="1355"/>
      <c r="Y4" s="3745" t="s">
        <v>1772</v>
      </c>
      <c r="Z4" s="3746"/>
      <c r="AA4" s="3740" t="s">
        <v>1768</v>
      </c>
      <c r="AB4" s="3712" t="s">
        <v>1769</v>
      </c>
      <c r="AC4" s="3740" t="s">
        <v>1770</v>
      </c>
    </row>
    <row r="5" spans="1:29" ht="15">
      <c r="A5" s="358"/>
      <c r="B5" s="359"/>
      <c r="C5" s="3702" t="s">
        <v>1670</v>
      </c>
      <c r="D5" s="3703"/>
      <c r="E5" s="3747" t="s">
        <v>1671</v>
      </c>
      <c r="F5" s="3715"/>
      <c r="G5" s="3702" t="s">
        <v>1672</v>
      </c>
      <c r="H5" s="3703"/>
      <c r="I5" s="3702" t="s">
        <v>1673</v>
      </c>
      <c r="J5" s="3703"/>
      <c r="K5" s="559"/>
      <c r="L5" s="2715"/>
      <c r="M5" s="2716"/>
      <c r="N5" s="2716"/>
      <c r="O5" s="2716"/>
      <c r="P5" s="3743"/>
      <c r="Q5" s="3689"/>
      <c r="R5" s="3694"/>
      <c r="S5" s="3695"/>
      <c r="T5" s="3694"/>
      <c r="U5" s="3695"/>
      <c r="V5" s="3699"/>
      <c r="W5" s="3699"/>
      <c r="X5" s="1355"/>
      <c r="Y5" s="3694"/>
      <c r="Z5" s="3695"/>
      <c r="AA5" s="3712"/>
      <c r="AB5" s="3712"/>
      <c r="AC5" s="3712"/>
    </row>
    <row r="6" spans="1:29" ht="15.75" thickBot="1">
      <c r="A6" s="360"/>
      <c r="B6" s="361"/>
      <c r="C6" s="3700" t="s">
        <v>1674</v>
      </c>
      <c r="D6" s="3701"/>
      <c r="E6" s="3709" t="s">
        <v>1674</v>
      </c>
      <c r="F6" s="3710"/>
      <c r="G6" s="3700" t="s">
        <v>1674</v>
      </c>
      <c r="H6" s="3701"/>
      <c r="I6" s="3700" t="s">
        <v>1674</v>
      </c>
      <c r="J6" s="3701"/>
      <c r="K6" s="559" t="s">
        <v>1675</v>
      </c>
      <c r="L6" s="2715"/>
      <c r="M6" s="2716"/>
      <c r="N6" s="2716"/>
      <c r="O6" s="2716"/>
      <c r="P6" s="3744"/>
      <c r="Q6" s="3691"/>
      <c r="R6" s="3694"/>
      <c r="S6" s="3695"/>
      <c r="T6" s="3696"/>
      <c r="U6" s="3697"/>
      <c r="V6" s="3699"/>
      <c r="W6" s="3699"/>
      <c r="X6" s="1355"/>
      <c r="Y6" s="3696"/>
      <c r="Z6" s="3697"/>
      <c r="AA6" s="3713"/>
      <c r="AB6" s="3713"/>
      <c r="AC6" s="3713"/>
    </row>
    <row r="7" spans="1:29" s="108" customFormat="1" ht="15.75" thickBot="1">
      <c r="A7" s="362" t="s">
        <v>1676</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1677</v>
      </c>
      <c r="Q7" s="3707"/>
      <c r="R7" s="701" t="s">
        <v>14</v>
      </c>
      <c r="S7" s="702">
        <f t="shared" ref="S7:S14" si="0">F7</f>
        <v>0</v>
      </c>
      <c r="T7" s="701" t="s">
        <v>14</v>
      </c>
      <c r="U7" s="702">
        <f t="shared" ref="U7:U14" si="1">H7</f>
        <v>0</v>
      </c>
      <c r="V7" s="701" t="s">
        <v>14</v>
      </c>
      <c r="W7" s="702">
        <f t="shared" ref="W7:W14" si="2">J7</f>
        <v>0</v>
      </c>
      <c r="X7" s="703"/>
      <c r="Y7" s="3706" t="s">
        <v>1677</v>
      </c>
      <c r="Z7" s="3705"/>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1680</v>
      </c>
      <c r="Q8" s="3705"/>
      <c r="R8" s="701" t="s">
        <v>14</v>
      </c>
      <c r="S8" s="702">
        <f t="shared" si="0"/>
        <v>100</v>
      </c>
      <c r="T8" s="701" t="s">
        <v>14</v>
      </c>
      <c r="U8" s="702">
        <f t="shared" si="1"/>
        <v>100</v>
      </c>
      <c r="V8" s="701" t="s">
        <v>14</v>
      </c>
      <c r="W8" s="702">
        <f t="shared" si="2"/>
        <v>100</v>
      </c>
      <c r="X8" s="703"/>
      <c r="Y8" s="3706" t="s">
        <v>1680</v>
      </c>
      <c r="Z8" s="3705"/>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1683</v>
      </c>
      <c r="Q9" s="1343" t="str">
        <f t="shared" ref="Q9:Q14" si="6">B9</f>
        <v>用途</v>
      </c>
      <c r="R9" s="701" t="s">
        <v>14</v>
      </c>
      <c r="S9" s="702">
        <f t="shared" si="0"/>
        <v>100</v>
      </c>
      <c r="T9" s="701" t="s">
        <v>14</v>
      </c>
      <c r="U9" s="702">
        <f t="shared" si="1"/>
        <v>100</v>
      </c>
      <c r="V9" s="701" t="s">
        <v>14</v>
      </c>
      <c r="W9" s="702">
        <f t="shared" si="2"/>
        <v>100</v>
      </c>
      <c r="X9" s="703"/>
      <c r="Y9" s="3563"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1688</v>
      </c>
      <c r="Q14" s="1352" t="str">
        <f t="shared" si="6"/>
        <v>交通便捷度</v>
      </c>
      <c r="R14" s="705" t="s">
        <v>14</v>
      </c>
      <c r="S14" s="706">
        <f t="shared" si="0"/>
        <v>100</v>
      </c>
      <c r="T14" s="705" t="s">
        <v>14</v>
      </c>
      <c r="U14" s="706">
        <f t="shared" si="1"/>
        <v>100</v>
      </c>
      <c r="V14" s="705" t="s">
        <v>14</v>
      </c>
      <c r="W14" s="706">
        <f t="shared" si="2"/>
        <v>100</v>
      </c>
      <c r="X14" s="1355"/>
      <c r="Y14" s="3672"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1693</v>
      </c>
      <c r="Q32" s="1352">
        <f t="shared" si="11"/>
        <v>111</v>
      </c>
      <c r="R32" s="705" t="s">
        <v>14</v>
      </c>
      <c r="S32" s="706">
        <f t="shared" si="12"/>
        <v>100</v>
      </c>
      <c r="T32" s="705" t="s">
        <v>14</v>
      </c>
      <c r="U32" s="706">
        <f t="shared" si="13"/>
        <v>100</v>
      </c>
      <c r="V32" s="705" t="s">
        <v>14</v>
      </c>
      <c r="W32" s="706">
        <f t="shared" si="14"/>
        <v>100</v>
      </c>
      <c r="X32" s="1355"/>
      <c r="Y32" s="3677"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37" t="str">
        <f>A37</f>
        <v>估价对象XX用房的比较价值（楼面单价，元/平方米）</v>
      </c>
      <c r="Q37" s="373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682" t="s">
        <v>1767</v>
      </c>
      <c r="D4" s="3683"/>
      <c r="E4" s="3684" t="s">
        <v>1768</v>
      </c>
      <c r="F4" s="3685"/>
      <c r="G4" s="3682" t="s">
        <v>1769</v>
      </c>
      <c r="H4" s="3683"/>
      <c r="I4" s="3682" t="s">
        <v>1770</v>
      </c>
      <c r="J4" s="3683"/>
      <c r="K4" s="559" t="s">
        <v>1771</v>
      </c>
      <c r="L4" s="2715"/>
      <c r="M4" s="2716"/>
      <c r="N4" s="2716"/>
      <c r="O4" s="2716"/>
      <c r="P4" s="3741" t="s">
        <v>1772</v>
      </c>
      <c r="Q4" s="3742"/>
      <c r="R4" s="3745" t="s">
        <v>1768</v>
      </c>
      <c r="S4" s="3746"/>
      <c r="T4" s="3745" t="s">
        <v>1769</v>
      </c>
      <c r="U4" s="3746"/>
      <c r="V4" s="3699" t="s">
        <v>1770</v>
      </c>
      <c r="W4" s="3699"/>
      <c r="X4" s="1355"/>
      <c r="Y4" s="3745" t="s">
        <v>1772</v>
      </c>
      <c r="Z4" s="3746"/>
      <c r="AA4" s="3740" t="s">
        <v>1768</v>
      </c>
      <c r="AB4" s="3712" t="s">
        <v>1769</v>
      </c>
      <c r="AC4" s="3740" t="s">
        <v>1770</v>
      </c>
    </row>
    <row r="5" spans="1:30" ht="15">
      <c r="A5" s="358"/>
      <c r="B5" s="359"/>
      <c r="C5" s="3702" t="s">
        <v>1670</v>
      </c>
      <c r="D5" s="3703"/>
      <c r="E5" s="3747" t="s">
        <v>1671</v>
      </c>
      <c r="F5" s="3715"/>
      <c r="G5" s="3702" t="s">
        <v>1672</v>
      </c>
      <c r="H5" s="3703"/>
      <c r="I5" s="3702" t="s">
        <v>1673</v>
      </c>
      <c r="J5" s="3703"/>
      <c r="K5" s="559"/>
      <c r="L5" s="2715"/>
      <c r="M5" s="2716"/>
      <c r="N5" s="2716"/>
      <c r="O5" s="2716"/>
      <c r="P5" s="3743"/>
      <c r="Q5" s="3689"/>
      <c r="R5" s="3694"/>
      <c r="S5" s="3695"/>
      <c r="T5" s="3694"/>
      <c r="U5" s="3695"/>
      <c r="V5" s="3699"/>
      <c r="W5" s="3699"/>
      <c r="X5" s="1355"/>
      <c r="Y5" s="3694"/>
      <c r="Z5" s="3695"/>
      <c r="AA5" s="3712"/>
      <c r="AB5" s="3712"/>
      <c r="AC5" s="3712"/>
    </row>
    <row r="6" spans="1:30" ht="15.75" thickBot="1">
      <c r="A6" s="360"/>
      <c r="B6" s="361"/>
      <c r="C6" s="3700" t="s">
        <v>1674</v>
      </c>
      <c r="D6" s="3701"/>
      <c r="E6" s="3709" t="s">
        <v>1674</v>
      </c>
      <c r="F6" s="3710"/>
      <c r="G6" s="3700" t="s">
        <v>1674</v>
      </c>
      <c r="H6" s="3701"/>
      <c r="I6" s="3700" t="s">
        <v>1674</v>
      </c>
      <c r="J6" s="3701"/>
      <c r="K6" s="559" t="s">
        <v>1675</v>
      </c>
      <c r="L6" s="2715"/>
      <c r="M6" s="2716"/>
      <c r="N6" s="2716"/>
      <c r="O6" s="2716"/>
      <c r="P6" s="3744"/>
      <c r="Q6" s="3691"/>
      <c r="R6" s="3694"/>
      <c r="S6" s="3695"/>
      <c r="T6" s="3696"/>
      <c r="U6" s="3697"/>
      <c r="V6" s="3699"/>
      <c r="W6" s="3699"/>
      <c r="X6" s="1355"/>
      <c r="Y6" s="3696"/>
      <c r="Z6" s="3697"/>
      <c r="AA6" s="3713"/>
      <c r="AB6" s="3713"/>
      <c r="AC6" s="3713"/>
    </row>
    <row r="7" spans="1:30" s="108" customFormat="1" ht="15.75" thickBot="1">
      <c r="A7" s="362" t="s">
        <v>1676</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1677</v>
      </c>
      <c r="Q7" s="3707"/>
      <c r="R7" s="701" t="s">
        <v>14</v>
      </c>
      <c r="S7" s="702">
        <f t="shared" ref="S7:S15" si="0">F7</f>
        <v>0</v>
      </c>
      <c r="T7" s="701" t="s">
        <v>14</v>
      </c>
      <c r="U7" s="702">
        <f t="shared" ref="U7:U15" si="1">H7</f>
        <v>0</v>
      </c>
      <c r="V7" s="701" t="s">
        <v>14</v>
      </c>
      <c r="W7" s="702">
        <f t="shared" ref="W7:W15" si="2">J7</f>
        <v>0</v>
      </c>
      <c r="X7" s="703"/>
      <c r="Y7" s="3706" t="s">
        <v>1677</v>
      </c>
      <c r="Z7" s="3705"/>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1680</v>
      </c>
      <c r="Q8" s="3705"/>
      <c r="R8" s="701" t="s">
        <v>14</v>
      </c>
      <c r="S8" s="702">
        <f t="shared" si="0"/>
        <v>0</v>
      </c>
      <c r="T8" s="701" t="s">
        <v>14</v>
      </c>
      <c r="U8" s="702">
        <f t="shared" si="1"/>
        <v>0</v>
      </c>
      <c r="V8" s="701" t="s">
        <v>14</v>
      </c>
      <c r="W8" s="702">
        <f t="shared" si="2"/>
        <v>0</v>
      </c>
      <c r="X8" s="703"/>
      <c r="Y8" s="3706" t="s">
        <v>1680</v>
      </c>
      <c r="Z8" s="3705"/>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1683</v>
      </c>
      <c r="Q9" s="1343" t="str">
        <f t="shared" ref="Q9:Q15" si="6">B9</f>
        <v>用途</v>
      </c>
      <c r="R9" s="701" t="s">
        <v>14</v>
      </c>
      <c r="S9" s="702">
        <f t="shared" si="0"/>
        <v>100</v>
      </c>
      <c r="T9" s="701" t="s">
        <v>14</v>
      </c>
      <c r="U9" s="702">
        <f t="shared" si="1"/>
        <v>100</v>
      </c>
      <c r="V9" s="701" t="s">
        <v>14</v>
      </c>
      <c r="W9" s="702">
        <f t="shared" si="2"/>
        <v>100</v>
      </c>
      <c r="X9" s="703"/>
      <c r="Y9" s="3563"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665"/>
      <c r="Q10" s="1343" t="str">
        <f t="shared" si="6"/>
        <v>土地使用年限（年）</v>
      </c>
      <c r="R10" s="701" t="s">
        <v>14</v>
      </c>
      <c r="S10" s="702">
        <f t="shared" si="0"/>
        <v>120</v>
      </c>
      <c r="T10" s="701" t="s">
        <v>14</v>
      </c>
      <c r="U10" s="702">
        <f t="shared" si="1"/>
        <v>120</v>
      </c>
      <c r="V10" s="701" t="s">
        <v>14</v>
      </c>
      <c r="W10" s="702">
        <f t="shared" si="2"/>
        <v>120</v>
      </c>
      <c r="X10" s="703"/>
      <c r="Y10" s="3563"/>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1688</v>
      </c>
      <c r="Q15" s="1352" t="str">
        <f t="shared" si="6"/>
        <v>居住社区成熟度</v>
      </c>
      <c r="R15" s="705" t="s">
        <v>14</v>
      </c>
      <c r="S15" s="706">
        <f t="shared" si="0"/>
        <v>100</v>
      </c>
      <c r="T15" s="705" t="s">
        <v>14</v>
      </c>
      <c r="U15" s="706">
        <f t="shared" si="1"/>
        <v>100</v>
      </c>
      <c r="V15" s="705" t="s">
        <v>14</v>
      </c>
      <c r="W15" s="706">
        <f t="shared" si="2"/>
        <v>100</v>
      </c>
      <c r="X15" s="1355"/>
      <c r="Y15" s="3672"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1693</v>
      </c>
      <c r="Q36" s="1352">
        <f t="shared" si="8"/>
        <v>111</v>
      </c>
      <c r="R36" s="705" t="s">
        <v>14</v>
      </c>
      <c r="S36" s="706">
        <f t="shared" si="10"/>
        <v>100</v>
      </c>
      <c r="T36" s="705" t="s">
        <v>14</v>
      </c>
      <c r="U36" s="706">
        <f t="shared" si="11"/>
        <v>100</v>
      </c>
      <c r="V36" s="705" t="s">
        <v>14</v>
      </c>
      <c r="W36" s="706">
        <f t="shared" si="12"/>
        <v>100</v>
      </c>
      <c r="X36" s="1355"/>
      <c r="Y36" s="3677"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1693</v>
      </c>
      <c r="Q42" s="1352" t="str">
        <f t="shared" si="14"/>
        <v>工程地质条件</v>
      </c>
      <c r="R42" s="705" t="s">
        <v>14</v>
      </c>
      <c r="S42" s="706">
        <f t="shared" si="10"/>
        <v>100</v>
      </c>
      <c r="T42" s="705" t="s">
        <v>14</v>
      </c>
      <c r="U42" s="706">
        <f t="shared" si="11"/>
        <v>100</v>
      </c>
      <c r="V42" s="705" t="s">
        <v>14</v>
      </c>
      <c r="W42" s="706">
        <f t="shared" si="12"/>
        <v>100</v>
      </c>
      <c r="X42" s="1355"/>
      <c r="Y42" s="3677"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665" t="str">
        <f>A46</f>
        <v>成交单价</v>
      </c>
      <c r="Q46" s="3665"/>
      <c r="R46" s="3699">
        <f>E46</f>
        <v>0</v>
      </c>
      <c r="S46" s="3699"/>
      <c r="T46" s="3699">
        <f>G46</f>
        <v>0</v>
      </c>
      <c r="U46" s="3699"/>
      <c r="V46" s="3699">
        <f>I46</f>
        <v>0</v>
      </c>
      <c r="W46" s="3699"/>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682" t="s">
        <v>1884</v>
      </c>
      <c r="H55" s="3752"/>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820.19</v>
      </c>
      <c r="F56" s="886" t="e">
        <f t="shared" ref="F56:F64" si="15">ROUND(B56*E56/10000,0)</f>
        <v>#DIV/0!</v>
      </c>
      <c r="G56" s="3664"/>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820.19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682" t="s">
        <v>1767</v>
      </c>
      <c r="D4" s="3683"/>
      <c r="E4" s="3684" t="s">
        <v>1768</v>
      </c>
      <c r="F4" s="3685"/>
      <c r="G4" s="3682" t="s">
        <v>1769</v>
      </c>
      <c r="H4" s="3683"/>
      <c r="I4" s="3682" t="s">
        <v>1770</v>
      </c>
      <c r="J4" s="3683"/>
      <c r="K4" s="559" t="s">
        <v>1771</v>
      </c>
      <c r="L4" s="2715"/>
      <c r="M4" s="2716"/>
      <c r="N4" s="2716"/>
      <c r="O4" s="2716"/>
      <c r="P4" s="3741" t="s">
        <v>1772</v>
      </c>
      <c r="Q4" s="3742"/>
      <c r="R4" s="3745" t="s">
        <v>1768</v>
      </c>
      <c r="S4" s="3746"/>
      <c r="T4" s="3745" t="s">
        <v>1769</v>
      </c>
      <c r="U4" s="3746"/>
      <c r="V4" s="3699" t="s">
        <v>1770</v>
      </c>
      <c r="W4" s="3699"/>
      <c r="X4" s="1355"/>
      <c r="Y4" s="3745" t="s">
        <v>1772</v>
      </c>
      <c r="Z4" s="3746"/>
      <c r="AA4" s="3740" t="s">
        <v>1768</v>
      </c>
      <c r="AB4" s="3712" t="s">
        <v>1769</v>
      </c>
      <c r="AC4" s="3740" t="s">
        <v>1770</v>
      </c>
    </row>
    <row r="5" spans="1:29" ht="15">
      <c r="A5" s="358"/>
      <c r="B5" s="359"/>
      <c r="C5" s="3702" t="s">
        <v>1670</v>
      </c>
      <c r="D5" s="3703"/>
      <c r="E5" s="3747" t="s">
        <v>1671</v>
      </c>
      <c r="F5" s="3715"/>
      <c r="G5" s="3702" t="s">
        <v>1672</v>
      </c>
      <c r="H5" s="3703"/>
      <c r="I5" s="3702" t="s">
        <v>1673</v>
      </c>
      <c r="J5" s="3703"/>
      <c r="K5" s="559"/>
      <c r="L5" s="2715"/>
      <c r="M5" s="2716"/>
      <c r="N5" s="2716"/>
      <c r="O5" s="2716"/>
      <c r="P5" s="3743"/>
      <c r="Q5" s="3689"/>
      <c r="R5" s="3694"/>
      <c r="S5" s="3695"/>
      <c r="T5" s="3694"/>
      <c r="U5" s="3695"/>
      <c r="V5" s="3699"/>
      <c r="W5" s="3699"/>
      <c r="X5" s="1355"/>
      <c r="Y5" s="3694"/>
      <c r="Z5" s="3695"/>
      <c r="AA5" s="3712"/>
      <c r="AB5" s="3712"/>
      <c r="AC5" s="3712"/>
    </row>
    <row r="6" spans="1:29" ht="15.75" thickBot="1">
      <c r="A6" s="360"/>
      <c r="B6" s="361"/>
      <c r="C6" s="3753" t="s">
        <v>1916</v>
      </c>
      <c r="D6" s="3754"/>
      <c r="E6" s="3755" t="s">
        <v>1916</v>
      </c>
      <c r="F6" s="3756"/>
      <c r="G6" s="3753" t="s">
        <v>1916</v>
      </c>
      <c r="H6" s="3754"/>
      <c r="I6" s="3753" t="s">
        <v>1916</v>
      </c>
      <c r="J6" s="3754"/>
      <c r="K6" s="559" t="s">
        <v>1675</v>
      </c>
      <c r="L6" s="2715"/>
      <c r="M6" s="2716"/>
      <c r="N6" s="2716"/>
      <c r="O6" s="2716"/>
      <c r="P6" s="3744"/>
      <c r="Q6" s="3691"/>
      <c r="R6" s="3694"/>
      <c r="S6" s="3695"/>
      <c r="T6" s="3696"/>
      <c r="U6" s="3697"/>
      <c r="V6" s="3699"/>
      <c r="W6" s="3699"/>
      <c r="X6" s="1355"/>
      <c r="Y6" s="3696"/>
      <c r="Z6" s="3697"/>
      <c r="AA6" s="3713"/>
      <c r="AB6" s="3713"/>
      <c r="AC6" s="3713"/>
    </row>
    <row r="7" spans="1:29" s="108" customFormat="1" ht="15.75" thickBot="1">
      <c r="A7" s="362" t="s">
        <v>1676</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1677</v>
      </c>
      <c r="Q7" s="3707"/>
      <c r="R7" s="701" t="s">
        <v>14</v>
      </c>
      <c r="S7" s="702">
        <f t="shared" ref="S7:S15" si="0">F7</f>
        <v>0</v>
      </c>
      <c r="T7" s="701" t="s">
        <v>14</v>
      </c>
      <c r="U7" s="702">
        <f t="shared" ref="U7:U15" si="1">H7</f>
        <v>0</v>
      </c>
      <c r="V7" s="701" t="s">
        <v>14</v>
      </c>
      <c r="W7" s="702">
        <f t="shared" ref="W7:W15" si="2">J7</f>
        <v>0</v>
      </c>
      <c r="X7" s="703"/>
      <c r="Y7" s="3706" t="s">
        <v>1677</v>
      </c>
      <c r="Z7" s="3705"/>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1680</v>
      </c>
      <c r="Q8" s="3705"/>
      <c r="R8" s="701" t="s">
        <v>14</v>
      </c>
      <c r="S8" s="702">
        <f t="shared" si="0"/>
        <v>0</v>
      </c>
      <c r="T8" s="701" t="s">
        <v>14</v>
      </c>
      <c r="U8" s="702">
        <f t="shared" si="1"/>
        <v>0</v>
      </c>
      <c r="V8" s="701" t="s">
        <v>14</v>
      </c>
      <c r="W8" s="702">
        <f t="shared" si="2"/>
        <v>0</v>
      </c>
      <c r="X8" s="703"/>
      <c r="Y8" s="3706" t="s">
        <v>1680</v>
      </c>
      <c r="Z8" s="3705"/>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1683</v>
      </c>
      <c r="Q9" s="1343" t="str">
        <f t="shared" ref="Q9:Q15" si="6">B9</f>
        <v>用途</v>
      </c>
      <c r="R9" s="701" t="s">
        <v>14</v>
      </c>
      <c r="S9" s="702">
        <f t="shared" si="0"/>
        <v>100</v>
      </c>
      <c r="T9" s="701" t="s">
        <v>14</v>
      </c>
      <c r="U9" s="702">
        <f t="shared" si="1"/>
        <v>100</v>
      </c>
      <c r="V9" s="701" t="s">
        <v>14</v>
      </c>
      <c r="W9" s="702">
        <f t="shared" si="2"/>
        <v>100</v>
      </c>
      <c r="X9" s="703"/>
      <c r="Y9" s="3563"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665"/>
      <c r="Q10" s="1343" t="str">
        <f t="shared" si="6"/>
        <v>土地使用年限（年）</v>
      </c>
      <c r="R10" s="701" t="s">
        <v>14</v>
      </c>
      <c r="S10" s="702">
        <f t="shared" si="0"/>
        <v>120</v>
      </c>
      <c r="T10" s="701" t="s">
        <v>14</v>
      </c>
      <c r="U10" s="702">
        <f t="shared" si="1"/>
        <v>120</v>
      </c>
      <c r="V10" s="701" t="s">
        <v>14</v>
      </c>
      <c r="W10" s="702">
        <f t="shared" si="2"/>
        <v>120</v>
      </c>
      <c r="X10" s="703"/>
      <c r="Y10" s="3563"/>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1688</v>
      </c>
      <c r="Q15" s="1352" t="str">
        <f t="shared" si="6"/>
        <v>产业集聚程度</v>
      </c>
      <c r="R15" s="705" t="s">
        <v>14</v>
      </c>
      <c r="S15" s="706">
        <f t="shared" si="0"/>
        <v>100</v>
      </c>
      <c r="T15" s="705" t="s">
        <v>14</v>
      </c>
      <c r="U15" s="706">
        <f t="shared" si="1"/>
        <v>100</v>
      </c>
      <c r="V15" s="705" t="s">
        <v>14</v>
      </c>
      <c r="W15" s="706">
        <f t="shared" si="2"/>
        <v>100</v>
      </c>
      <c r="X15" s="1355"/>
      <c r="Y15" s="3672"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1693</v>
      </c>
      <c r="Q32" s="1352">
        <f t="shared" si="8"/>
        <v>111</v>
      </c>
      <c r="R32" s="705" t="s">
        <v>14</v>
      </c>
      <c r="S32" s="706">
        <f t="shared" si="10"/>
        <v>100</v>
      </c>
      <c r="T32" s="705" t="s">
        <v>14</v>
      </c>
      <c r="U32" s="706">
        <f t="shared" si="11"/>
        <v>100</v>
      </c>
      <c r="V32" s="705" t="s">
        <v>14</v>
      </c>
      <c r="W32" s="706">
        <f t="shared" si="12"/>
        <v>100</v>
      </c>
      <c r="X32" s="1355"/>
      <c r="Y32" s="3677"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1693</v>
      </c>
      <c r="Q37" s="1352" t="str">
        <f t="shared" si="14"/>
        <v>工程地质条件</v>
      </c>
      <c r="R37" s="705" t="s">
        <v>14</v>
      </c>
      <c r="S37" s="706">
        <f t="shared" si="10"/>
        <v>100</v>
      </c>
      <c r="T37" s="705" t="s">
        <v>14</v>
      </c>
      <c r="U37" s="706">
        <f t="shared" si="11"/>
        <v>100</v>
      </c>
      <c r="V37" s="705" t="s">
        <v>14</v>
      </c>
      <c r="W37" s="706">
        <f t="shared" si="12"/>
        <v>100</v>
      </c>
      <c r="X37" s="1355"/>
      <c r="Y37" s="3677"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665" t="str">
        <f>A41</f>
        <v>成交单价</v>
      </c>
      <c r="Q41" s="3665"/>
      <c r="R41" s="3699">
        <f>E41</f>
        <v>0</v>
      </c>
      <c r="S41" s="3699"/>
      <c r="T41" s="3699">
        <f>G41</f>
        <v>0</v>
      </c>
      <c r="U41" s="3699"/>
      <c r="V41" s="3699">
        <f>I41</f>
        <v>0</v>
      </c>
      <c r="W41" s="3699"/>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682" t="s">
        <v>1884</v>
      </c>
      <c r="H50" s="3752"/>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820.19</v>
      </c>
      <c r="F51" s="639" t="e">
        <f t="shared" ref="F51:F60" si="15">ROUND(B51*E51/10000,0)</f>
        <v>#DIV/0!</v>
      </c>
      <c r="G51" s="3664"/>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40" sqref="V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0" t="s">
        <v>2081</v>
      </c>
      <c r="D1" s="3761"/>
      <c r="E1" s="3761"/>
      <c r="F1" s="3761"/>
      <c r="G1" s="3761"/>
      <c r="H1" s="3761"/>
      <c r="I1" s="3761"/>
      <c r="J1" s="3761"/>
      <c r="K1" s="3761"/>
      <c r="L1" s="3761"/>
      <c r="M1" s="3761"/>
      <c r="N1" s="3761"/>
      <c r="O1" s="3761"/>
      <c r="P1" s="3761"/>
      <c r="Q1" s="3761"/>
      <c r="R1" s="3761"/>
      <c r="S1" s="3762"/>
      <c r="T1" s="983" t="s">
        <v>2082</v>
      </c>
    </row>
    <row r="2" spans="1:45" s="655" customFormat="1">
      <c r="A2" s="984"/>
      <c r="B2" s="651" t="s">
        <v>2083</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820.19</v>
      </c>
      <c r="C22" s="3757" t="s">
        <v>27</v>
      </c>
      <c r="D22" s="3758"/>
      <c r="E22" s="3758"/>
      <c r="F22" s="3758"/>
      <c r="G22" s="3758"/>
      <c r="H22" s="3758"/>
      <c r="I22" s="3758"/>
      <c r="J22" s="3758"/>
      <c r="K22" s="3758"/>
      <c r="L22" s="3758"/>
      <c r="M22" s="3758"/>
      <c r="N22" s="3758"/>
      <c r="O22" s="3758"/>
      <c r="P22" s="3758"/>
      <c r="Q22" s="3759"/>
      <c r="R22" s="663">
        <f ca="1">ROUND(S22*10000/B22,0)</f>
        <v>27079</v>
      </c>
      <c r="S22" s="21">
        <f ca="1">SUM(S24:S10000)</f>
        <v>2221</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1102</v>
      </c>
      <c r="B24" s="665">
        <f>'数据-基础表'!I13</f>
        <v>257.75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27068</v>
      </c>
      <c r="S24" s="666">
        <f t="shared" ref="S24:S54" ca="1" si="11">ROUND(R24*B24/10000,0)</f>
        <v>698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1103</v>
      </c>
      <c r="B25" s="665">
        <f>'数据-基础表'!I14</f>
        <v>302.77999999999997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27068</v>
      </c>
      <c r="S25" s="316">
        <f t="shared" ca="1" si="11"/>
        <v>820</v>
      </c>
    </row>
    <row r="26" spans="1:45">
      <c r="A26" s="665">
        <f>'数据-基础表'!C15</f>
        <v>1104</v>
      </c>
      <c r="B26" s="665">
        <f>'数据-基础表'!I15</f>
        <v>259.66000000000003</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27068</v>
      </c>
      <c r="S26" s="316">
        <f t="shared" ca="1" si="11"/>
        <v>703</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t="e">
        <f ca="1">SUMIF(B6:B13,"&lt;&gt;#ref!",B6:B13)</f>
        <v>#DIV/0!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#DIV/0!</v>
      </c>
      <c r="C6" s="2145" t="s">
        <v>2071</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2"/>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20"/>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9"/>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1957</v>
      </c>
      <c r="X8" s="3768"/>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3254</v>
      </c>
      <c r="B20" s="167" t="s">
        <v>1991</v>
      </c>
      <c r="C20" s="3325" t="e">
        <f>ROUND(IF(F21="与级别开发程度一致",0,(G21-E21)/C21),0)</f>
        <v>#DIV/0!</v>
      </c>
      <c r="D20" s="3341" t="s">
        <v>1995</v>
      </c>
      <c r="E20" s="3342"/>
      <c r="F20" s="3780" t="s">
        <v>1992</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45435</v>
      </c>
      <c r="H23" s="3343" t="s">
        <v>3256</v>
      </c>
      <c r="I23" s="3344" t="str">
        <f>IF(H23="季度增幅（自定义）",SUMIF(N25:N28,E2,O25:O28),"")</f>
        <v/>
      </c>
      <c r="J23" s="3446" t="s">
        <v>3255</v>
      </c>
      <c r="K23" s="1125"/>
      <c r="L23" s="2055" t="s">
        <v>2001</v>
      </c>
      <c r="M23" s="1328">
        <f>ROUND(SUMIF(地价!B2:G2,E2,地价!B16:G16),0)</f>
        <v>0</v>
      </c>
      <c r="N23" s="2056" t="s">
        <v>2002</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1" t="s">
        <v>1933</v>
      </c>
      <c r="M30" s="3352" t="s">
        <v>1987</v>
      </c>
      <c r="N30" s="3352" t="s">
        <v>1988</v>
      </c>
      <c r="O30" s="3352" t="s">
        <v>1989</v>
      </c>
      <c r="P30" s="3352" t="s">
        <v>1990</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1" t="s">
        <v>2607</v>
      </c>
      <c r="B20" s="3786" t="s">
        <v>2628</v>
      </c>
      <c r="C20" s="3103" t="s">
        <v>2439</v>
      </c>
      <c r="D20" s="3104"/>
      <c r="E20" s="3105">
        <v>1</v>
      </c>
      <c r="F20" s="3106" t="s">
        <v>2440</v>
      </c>
      <c r="G20" s="3106"/>
    </row>
    <row r="21" spans="1:13" ht="19.5" customHeight="1">
      <c r="A21" s="3792"/>
      <c r="B21" s="3785"/>
      <c r="C21" s="3107" t="s">
        <v>2441</v>
      </c>
      <c r="D21" s="3108"/>
      <c r="E21" s="3109">
        <v>1</v>
      </c>
      <c r="F21" s="3106" t="s">
        <v>2442</v>
      </c>
      <c r="G21" s="3106"/>
    </row>
    <row r="22" spans="1:13" ht="19.5" customHeight="1">
      <c r="A22" s="3792"/>
      <c r="B22" s="3785"/>
      <c r="C22" s="3107" t="s">
        <v>2443</v>
      </c>
      <c r="D22" s="3108"/>
      <c r="E22" s="3109">
        <v>0.9</v>
      </c>
      <c r="F22" s="3106" t="s">
        <v>2444</v>
      </c>
      <c r="G22" s="3106"/>
    </row>
    <row r="23" spans="1:13" ht="19.5" customHeight="1">
      <c r="A23" s="3792"/>
      <c r="B23" s="3785"/>
      <c r="C23" s="3107" t="s">
        <v>2445</v>
      </c>
      <c r="D23" s="3108"/>
      <c r="E23" s="3109">
        <v>0.9</v>
      </c>
      <c r="F23" s="3106" t="s">
        <v>2446</v>
      </c>
      <c r="G23" s="3106"/>
    </row>
    <row r="24" spans="1:13" ht="19.5" customHeight="1">
      <c r="A24" s="3792"/>
      <c r="B24" s="3785"/>
      <c r="C24" s="3107" t="s">
        <v>2447</v>
      </c>
      <c r="D24" s="3108"/>
      <c r="E24" s="3109">
        <v>0.8</v>
      </c>
      <c r="F24" s="3106" t="s">
        <v>2448</v>
      </c>
      <c r="G24" s="3106"/>
    </row>
    <row r="25" spans="1:13" ht="19.5" customHeight="1" thickBot="1">
      <c r="A25" s="3793"/>
      <c r="B25" s="378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8" t="s">
        <v>2631</v>
      </c>
      <c r="B27" s="3786" t="s">
        <v>2612</v>
      </c>
      <c r="C27" s="3103" t="s">
        <v>2452</v>
      </c>
      <c r="D27" s="3104"/>
      <c r="E27" s="3105">
        <v>1</v>
      </c>
      <c r="F27" s="3106" t="s">
        <v>2453</v>
      </c>
      <c r="G27" s="3106"/>
    </row>
    <row r="28" spans="1:13" ht="19.5" customHeight="1">
      <c r="A28" s="3789"/>
      <c r="B28" s="3785"/>
      <c r="C28" s="3107" t="s">
        <v>2454</v>
      </c>
      <c r="D28" s="3108"/>
      <c r="E28" s="3109">
        <v>1</v>
      </c>
      <c r="F28" s="3106" t="s">
        <v>2455</v>
      </c>
      <c r="G28" s="3106"/>
    </row>
    <row r="29" spans="1:13" ht="19.5" customHeight="1">
      <c r="A29" s="3789"/>
      <c r="B29" s="3785"/>
      <c r="C29" s="3107" t="s">
        <v>2456</v>
      </c>
      <c r="D29" s="3108"/>
      <c r="E29" s="3109">
        <v>0.8</v>
      </c>
      <c r="F29" s="3106" t="s">
        <v>2457</v>
      </c>
      <c r="G29" s="3106"/>
    </row>
    <row r="30" spans="1:13" ht="19.5" customHeight="1">
      <c r="A30" s="3789"/>
      <c r="B30" s="3785"/>
      <c r="C30" s="3107" t="s">
        <v>2458</v>
      </c>
      <c r="D30" s="3108"/>
      <c r="E30" s="3109">
        <v>0.8</v>
      </c>
      <c r="F30" s="3106" t="s">
        <v>2459</v>
      </c>
      <c r="G30" s="3106"/>
    </row>
    <row r="31" spans="1:13" ht="19.5" customHeight="1">
      <c r="A31" s="3789"/>
      <c r="B31" s="3785"/>
      <c r="C31" s="3107" t="s">
        <v>2460</v>
      </c>
      <c r="D31" s="3108"/>
      <c r="E31" s="3109">
        <v>0.8</v>
      </c>
      <c r="F31" s="3106" t="s">
        <v>2461</v>
      </c>
      <c r="G31" s="3106"/>
    </row>
    <row r="32" spans="1:13" ht="19.5" customHeight="1">
      <c r="A32" s="3789"/>
      <c r="B32" s="3785"/>
      <c r="C32" s="3107" t="s">
        <v>2462</v>
      </c>
      <c r="D32" s="3108"/>
      <c r="E32" s="3109">
        <v>0.7</v>
      </c>
      <c r="F32" s="3106" t="s">
        <v>2463</v>
      </c>
      <c r="G32" s="3106"/>
    </row>
    <row r="33" spans="1:7" ht="19.5" customHeight="1">
      <c r="A33" s="3789"/>
      <c r="B33" s="3785"/>
      <c r="C33" s="3107" t="s">
        <v>2464</v>
      </c>
      <c r="D33" s="3108"/>
      <c r="E33" s="3109">
        <v>0.8</v>
      </c>
      <c r="F33" s="3106" t="s">
        <v>2465</v>
      </c>
      <c r="G33" s="3106"/>
    </row>
    <row r="34" spans="1:7" ht="19.5" customHeight="1">
      <c r="A34" s="3789"/>
      <c r="B34" s="3785"/>
      <c r="C34" s="3107" t="s">
        <v>2466</v>
      </c>
      <c r="D34" s="3108"/>
      <c r="E34" s="3109">
        <v>0.6</v>
      </c>
      <c r="F34" s="3106" t="s">
        <v>2467</v>
      </c>
      <c r="G34" s="3106"/>
    </row>
    <row r="35" spans="1:7" ht="19.5" customHeight="1">
      <c r="A35" s="3789"/>
      <c r="B35" s="3785"/>
      <c r="C35" s="3107" t="s">
        <v>2468</v>
      </c>
      <c r="D35" s="3108"/>
      <c r="E35" s="3109">
        <v>0.2</v>
      </c>
      <c r="F35" s="3106" t="s">
        <v>2469</v>
      </c>
      <c r="G35" s="3106"/>
    </row>
    <row r="36" spans="1:7" ht="19.5" customHeight="1">
      <c r="A36" s="3789"/>
      <c r="B36" s="3785"/>
      <c r="C36" s="3107" t="s">
        <v>2470</v>
      </c>
      <c r="D36" s="3108"/>
      <c r="E36" s="3109">
        <v>0.2</v>
      </c>
      <c r="F36" s="3106" t="s">
        <v>2471</v>
      </c>
      <c r="G36" s="3106"/>
    </row>
    <row r="37" spans="1:7" ht="19.5" customHeight="1">
      <c r="A37" s="3789"/>
      <c r="B37" s="3783" t="s">
        <v>2632</v>
      </c>
      <c r="C37" s="3107" t="s">
        <v>2472</v>
      </c>
      <c r="D37" s="3108"/>
      <c r="E37" s="3109">
        <v>0.6</v>
      </c>
      <c r="F37" s="3106" t="s">
        <v>2473</v>
      </c>
      <c r="G37" s="3106"/>
    </row>
    <row r="38" spans="1:7" ht="19.5" customHeight="1">
      <c r="A38" s="3789"/>
      <c r="B38" s="3785"/>
      <c r="C38" s="3107" t="s">
        <v>2474</v>
      </c>
      <c r="D38" s="3108"/>
      <c r="E38" s="3109">
        <v>0.6</v>
      </c>
      <c r="F38" s="3106" t="s">
        <v>2475</v>
      </c>
      <c r="G38" s="3106"/>
    </row>
    <row r="39" spans="1:7" ht="19.5" customHeight="1" thickBot="1">
      <c r="A39" s="3790"/>
      <c r="B39" s="378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1" t="s">
        <v>2610</v>
      </c>
      <c r="B41" s="3786" t="s">
        <v>2634</v>
      </c>
      <c r="C41" s="3103" t="s">
        <v>2479</v>
      </c>
      <c r="D41" s="3104"/>
      <c r="E41" s="3105">
        <v>1</v>
      </c>
      <c r="F41" s="3106" t="s">
        <v>2480</v>
      </c>
      <c r="G41" s="3106"/>
    </row>
    <row r="42" spans="1:7" ht="19.5" customHeight="1">
      <c r="A42" s="3792"/>
      <c r="B42" s="3785"/>
      <c r="C42" s="3107" t="s">
        <v>2481</v>
      </c>
      <c r="D42" s="3108"/>
      <c r="E42" s="3109">
        <v>1</v>
      </c>
      <c r="F42" s="3106" t="s">
        <v>2482</v>
      </c>
      <c r="G42" s="3106"/>
    </row>
    <row r="43" spans="1:7" ht="19.5" customHeight="1">
      <c r="A43" s="3792"/>
      <c r="B43" s="3784"/>
      <c r="C43" s="3107" t="s">
        <v>2483</v>
      </c>
      <c r="D43" s="3108"/>
      <c r="E43" s="3109">
        <v>1.5</v>
      </c>
      <c r="F43" s="3106" t="s">
        <v>2484</v>
      </c>
      <c r="G43" s="3106"/>
    </row>
    <row r="44" spans="1:7" ht="19.5" customHeight="1">
      <c r="A44" s="3792"/>
      <c r="B44" s="3118" t="s">
        <v>2635</v>
      </c>
      <c r="C44" s="3107" t="s">
        <v>2636</v>
      </c>
      <c r="D44" s="3108"/>
      <c r="E44" s="3109">
        <v>2</v>
      </c>
      <c r="F44" s="3106" t="s">
        <v>2485</v>
      </c>
      <c r="G44" s="3106"/>
    </row>
    <row r="45" spans="1:7" ht="19.5" customHeight="1">
      <c r="A45" s="3792"/>
      <c r="B45" s="3783" t="s">
        <v>2637</v>
      </c>
      <c r="C45" s="3107" t="s">
        <v>2486</v>
      </c>
      <c r="D45" s="3108"/>
      <c r="E45" s="3109">
        <v>1</v>
      </c>
      <c r="F45" s="3106" t="s">
        <v>2487</v>
      </c>
      <c r="G45" s="3106"/>
    </row>
    <row r="46" spans="1:7" ht="19.5" customHeight="1">
      <c r="A46" s="3792"/>
      <c r="B46" s="3785"/>
      <c r="C46" s="3107" t="s">
        <v>2488</v>
      </c>
      <c r="D46" s="3108"/>
      <c r="E46" s="3109">
        <v>1</v>
      </c>
      <c r="F46" s="3106" t="s">
        <v>2489</v>
      </c>
      <c r="G46" s="3106"/>
    </row>
    <row r="47" spans="1:7" ht="19.5" customHeight="1">
      <c r="A47" s="3792"/>
      <c r="B47" s="3785"/>
      <c r="C47" s="3107" t="s">
        <v>2490</v>
      </c>
      <c r="D47" s="3108"/>
      <c r="E47" s="3109">
        <v>1</v>
      </c>
      <c r="F47" s="3106" t="s">
        <v>2491</v>
      </c>
      <c r="G47" s="3106"/>
    </row>
    <row r="48" spans="1:7" ht="19.5" customHeight="1">
      <c r="A48" s="3792"/>
      <c r="B48" s="3785"/>
      <c r="C48" s="3107" t="s">
        <v>2492</v>
      </c>
      <c r="D48" s="3108"/>
      <c r="E48" s="3109">
        <v>1</v>
      </c>
      <c r="F48" s="3106" t="s">
        <v>2493</v>
      </c>
      <c r="G48" s="3106"/>
    </row>
    <row r="49" spans="1:7" ht="19.5" customHeight="1">
      <c r="A49" s="3792"/>
      <c r="B49" s="3785"/>
      <c r="C49" s="3107" t="s">
        <v>2494</v>
      </c>
      <c r="D49" s="3108"/>
      <c r="E49" s="3109">
        <v>1</v>
      </c>
      <c r="F49" s="3106" t="s">
        <v>2495</v>
      </c>
      <c r="G49" s="3106"/>
    </row>
    <row r="50" spans="1:7" ht="19.5" customHeight="1">
      <c r="A50" s="3792"/>
      <c r="B50" s="3785"/>
      <c r="C50" s="3107" t="s">
        <v>2496</v>
      </c>
      <c r="D50" s="3108"/>
      <c r="E50" s="3109">
        <v>1</v>
      </c>
      <c r="F50" s="3106" t="s">
        <v>2497</v>
      </c>
      <c r="G50" s="3106"/>
    </row>
    <row r="51" spans="1:7" ht="19.5" customHeight="1" thickBot="1">
      <c r="A51" s="3793"/>
      <c r="B51" s="378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3" t="s">
        <v>2651</v>
      </c>
      <c r="C73" s="3092" t="s">
        <v>2652</v>
      </c>
      <c r="D73" s="3092" t="s">
        <v>2653</v>
      </c>
      <c r="E73" s="3118">
        <v>0.2</v>
      </c>
      <c r="F73" s="3118">
        <v>25</v>
      </c>
    </row>
    <row r="74" spans="1:7" ht="24">
      <c r="A74" s="3118">
        <v>2</v>
      </c>
      <c r="B74" s="3785"/>
      <c r="C74" s="3092" t="s">
        <v>2654</v>
      </c>
      <c r="D74" s="3092" t="s">
        <v>2655</v>
      </c>
      <c r="E74" s="3118">
        <v>0.2</v>
      </c>
      <c r="F74" s="3118">
        <v>25</v>
      </c>
    </row>
    <row r="75" spans="1:7" ht="24">
      <c r="A75" s="3118">
        <v>3</v>
      </c>
      <c r="B75" s="3785"/>
      <c r="C75" s="3092" t="s">
        <v>2656</v>
      </c>
      <c r="D75" s="3092" t="s">
        <v>2657</v>
      </c>
      <c r="E75" s="3118">
        <v>0.2</v>
      </c>
      <c r="F75" s="3118">
        <v>25</v>
      </c>
    </row>
    <row r="76" spans="1:7" ht="13.5">
      <c r="A76" s="3118">
        <v>4</v>
      </c>
      <c r="B76" s="3785"/>
      <c r="C76" s="3092" t="s">
        <v>2658</v>
      </c>
      <c r="D76" s="3092" t="s">
        <v>2659</v>
      </c>
      <c r="E76" s="3118">
        <v>0.15</v>
      </c>
      <c r="F76" s="3118">
        <v>20</v>
      </c>
    </row>
    <row r="77" spans="1:7" ht="24">
      <c r="A77" s="3118">
        <v>5</v>
      </c>
      <c r="B77" s="3785"/>
      <c r="C77" s="3092" t="s">
        <v>2660</v>
      </c>
      <c r="D77" s="3092" t="s">
        <v>2661</v>
      </c>
      <c r="E77" s="3118">
        <v>0.15</v>
      </c>
      <c r="F77" s="3118">
        <v>20</v>
      </c>
    </row>
    <row r="78" spans="1:7" ht="24">
      <c r="A78" s="3118">
        <v>6</v>
      </c>
      <c r="B78" s="3785"/>
      <c r="C78" s="3092" t="s">
        <v>2662</v>
      </c>
      <c r="D78" s="3092" t="s">
        <v>2663</v>
      </c>
      <c r="E78" s="3118">
        <v>0.15</v>
      </c>
      <c r="F78" s="3118">
        <v>20</v>
      </c>
    </row>
    <row r="79" spans="1:7" ht="24">
      <c r="A79" s="3118">
        <v>7</v>
      </c>
      <c r="B79" s="3785"/>
      <c r="C79" s="3092" t="s">
        <v>2664</v>
      </c>
      <c r="D79" s="3092" t="s">
        <v>2665</v>
      </c>
      <c r="E79" s="3118">
        <v>0.15</v>
      </c>
      <c r="F79" s="3118">
        <v>20</v>
      </c>
    </row>
    <row r="80" spans="1:7" ht="24">
      <c r="A80" s="3118">
        <v>8</v>
      </c>
      <c r="B80" s="3785"/>
      <c r="C80" s="3092" t="s">
        <v>2666</v>
      </c>
      <c r="D80" s="3092" t="s">
        <v>2667</v>
      </c>
      <c r="E80" s="3118">
        <v>0.1</v>
      </c>
      <c r="F80" s="3118">
        <v>15</v>
      </c>
    </row>
    <row r="81" spans="1:6" ht="24">
      <c r="A81" s="3118">
        <v>9</v>
      </c>
      <c r="B81" s="3785"/>
      <c r="C81" s="3092" t="s">
        <v>2668</v>
      </c>
      <c r="D81" s="3092" t="s">
        <v>2669</v>
      </c>
      <c r="E81" s="3118">
        <v>0.1</v>
      </c>
      <c r="F81" s="3118">
        <v>15</v>
      </c>
    </row>
    <row r="82" spans="1:6" ht="24">
      <c r="A82" s="3118">
        <v>10</v>
      </c>
      <c r="B82" s="3785"/>
      <c r="C82" s="3092" t="s">
        <v>2670</v>
      </c>
      <c r="D82" s="3092" t="s">
        <v>2671</v>
      </c>
      <c r="E82" s="3118">
        <v>0.1</v>
      </c>
      <c r="F82" s="3118">
        <v>15</v>
      </c>
    </row>
    <row r="83" spans="1:6" ht="24">
      <c r="A83" s="3118">
        <v>11</v>
      </c>
      <c r="B83" s="3785"/>
      <c r="C83" s="3092" t="s">
        <v>2672</v>
      </c>
      <c r="D83" s="3092" t="s">
        <v>2673</v>
      </c>
      <c r="E83" s="3118">
        <v>0.1</v>
      </c>
      <c r="F83" s="3118">
        <v>15</v>
      </c>
    </row>
    <row r="84" spans="1:6" ht="24">
      <c r="A84" s="3118">
        <v>12</v>
      </c>
      <c r="B84" s="3785"/>
      <c r="C84" s="3092" t="s">
        <v>2674</v>
      </c>
      <c r="D84" s="3092" t="s">
        <v>2675</v>
      </c>
      <c r="E84" s="3118">
        <v>0.1</v>
      </c>
      <c r="F84" s="3118">
        <v>15</v>
      </c>
    </row>
    <row r="85" spans="1:6" ht="13.5">
      <c r="A85" s="3118">
        <v>13</v>
      </c>
      <c r="B85" s="3785"/>
      <c r="C85" s="3092" t="s">
        <v>2676</v>
      </c>
      <c r="D85" s="3092" t="s">
        <v>2677</v>
      </c>
      <c r="E85" s="3118">
        <v>0.1</v>
      </c>
      <c r="F85" s="3118">
        <v>15</v>
      </c>
    </row>
    <row r="86" spans="1:6" ht="13.5">
      <c r="A86" s="3118">
        <v>14</v>
      </c>
      <c r="B86" s="3785"/>
      <c r="C86" s="3092" t="s">
        <v>2678</v>
      </c>
      <c r="D86" s="3092" t="s">
        <v>2679</v>
      </c>
      <c r="E86" s="3118">
        <v>0.1</v>
      </c>
      <c r="F86" s="3118">
        <v>15</v>
      </c>
    </row>
    <row r="87" spans="1:6" ht="13.5">
      <c r="A87" s="3118">
        <v>15</v>
      </c>
      <c r="B87" s="3785"/>
      <c r="C87" s="3092" t="s">
        <v>2680</v>
      </c>
      <c r="D87" s="3092" t="s">
        <v>2681</v>
      </c>
      <c r="E87" s="3118">
        <v>0.1</v>
      </c>
      <c r="F87" s="3118">
        <v>15</v>
      </c>
    </row>
    <row r="88" spans="1:6" ht="24">
      <c r="A88" s="3118">
        <v>16</v>
      </c>
      <c r="B88" s="3785"/>
      <c r="C88" s="3092" t="s">
        <v>2682</v>
      </c>
      <c r="D88" s="3092" t="s">
        <v>2683</v>
      </c>
      <c r="E88" s="3118">
        <v>0.1</v>
      </c>
      <c r="F88" s="3118">
        <v>15</v>
      </c>
    </row>
    <row r="89" spans="1:6" ht="24">
      <c r="A89" s="3118">
        <v>17</v>
      </c>
      <c r="B89" s="3784"/>
      <c r="C89" s="3092" t="s">
        <v>2684</v>
      </c>
      <c r="D89" s="3092" t="s">
        <v>2685</v>
      </c>
      <c r="E89" s="3118">
        <v>0.1</v>
      </c>
      <c r="F89" s="3118">
        <v>15</v>
      </c>
    </row>
    <row r="90" spans="1:6" ht="13.5">
      <c r="A90" s="3118">
        <v>18</v>
      </c>
      <c r="B90" s="3783" t="s">
        <v>2686</v>
      </c>
      <c r="C90" s="3092" t="s">
        <v>2687</v>
      </c>
      <c r="D90" s="3092" t="s">
        <v>2688</v>
      </c>
      <c r="E90" s="3118">
        <v>0.2</v>
      </c>
      <c r="F90" s="3118">
        <v>25</v>
      </c>
    </row>
    <row r="91" spans="1:6" ht="24">
      <c r="A91" s="3118">
        <v>19</v>
      </c>
      <c r="B91" s="3785"/>
      <c r="C91" s="3092" t="s">
        <v>2689</v>
      </c>
      <c r="D91" s="3092" t="s">
        <v>2690</v>
      </c>
      <c r="E91" s="3118">
        <v>0.2</v>
      </c>
      <c r="F91" s="3118">
        <v>25</v>
      </c>
    </row>
    <row r="92" spans="1:6" ht="13.5">
      <c r="A92" s="3118">
        <v>20</v>
      </c>
      <c r="B92" s="3785"/>
      <c r="C92" s="3092" t="s">
        <v>2691</v>
      </c>
      <c r="D92" s="3092" t="s">
        <v>2692</v>
      </c>
      <c r="E92" s="3118">
        <v>0.15</v>
      </c>
      <c r="F92" s="3118">
        <v>20</v>
      </c>
    </row>
    <row r="93" spans="1:6" ht="13.5">
      <c r="A93" s="3118">
        <v>21</v>
      </c>
      <c r="B93" s="3785"/>
      <c r="C93" s="3092" t="s">
        <v>2693</v>
      </c>
      <c r="D93" s="3092" t="s">
        <v>2694</v>
      </c>
      <c r="E93" s="3118">
        <v>0.15</v>
      </c>
      <c r="F93" s="3118">
        <v>20</v>
      </c>
    </row>
    <row r="94" spans="1:6" ht="13.5">
      <c r="A94" s="3118">
        <v>22</v>
      </c>
      <c r="B94" s="3785"/>
      <c r="C94" s="3092" t="s">
        <v>2695</v>
      </c>
      <c r="D94" s="3092" t="s">
        <v>2696</v>
      </c>
      <c r="E94" s="3118">
        <v>0.15</v>
      </c>
      <c r="F94" s="3118">
        <v>20</v>
      </c>
    </row>
    <row r="95" spans="1:6" ht="36">
      <c r="A95" s="3118">
        <v>23</v>
      </c>
      <c r="B95" s="3785"/>
      <c r="C95" s="3092" t="s">
        <v>2697</v>
      </c>
      <c r="D95" s="3092" t="s">
        <v>2698</v>
      </c>
      <c r="E95" s="3118">
        <v>0.15</v>
      </c>
      <c r="F95" s="3118">
        <v>20</v>
      </c>
    </row>
    <row r="96" spans="1:6" ht="13.5">
      <c r="A96" s="3118">
        <v>24</v>
      </c>
      <c r="B96" s="3785"/>
      <c r="C96" s="3092" t="s">
        <v>2699</v>
      </c>
      <c r="D96" s="3092" t="s">
        <v>2700</v>
      </c>
      <c r="E96" s="3118">
        <v>0.1</v>
      </c>
      <c r="F96" s="3118">
        <v>15</v>
      </c>
    </row>
    <row r="97" spans="1:6" ht="13.5">
      <c r="A97" s="3118">
        <v>25</v>
      </c>
      <c r="B97" s="3785"/>
      <c r="C97" s="3092" t="s">
        <v>2701</v>
      </c>
      <c r="D97" s="3092" t="s">
        <v>2702</v>
      </c>
      <c r="E97" s="3118">
        <v>0.1</v>
      </c>
      <c r="F97" s="3118">
        <v>15</v>
      </c>
    </row>
    <row r="98" spans="1:6" ht="24">
      <c r="A98" s="3118">
        <v>26</v>
      </c>
      <c r="B98" s="3785"/>
      <c r="C98" s="3092" t="s">
        <v>2703</v>
      </c>
      <c r="D98" s="3092" t="s">
        <v>2704</v>
      </c>
      <c r="E98" s="3118">
        <v>0.1</v>
      </c>
      <c r="F98" s="3118">
        <v>15</v>
      </c>
    </row>
    <row r="99" spans="1:6" ht="24">
      <c r="A99" s="3118">
        <v>27</v>
      </c>
      <c r="B99" s="3785"/>
      <c r="C99" s="3092" t="s">
        <v>2705</v>
      </c>
      <c r="D99" s="3092" t="s">
        <v>2706</v>
      </c>
      <c r="E99" s="3118">
        <v>0.1</v>
      </c>
      <c r="F99" s="3118">
        <v>15</v>
      </c>
    </row>
    <row r="100" spans="1:6" ht="13.5">
      <c r="A100" s="3118">
        <v>28</v>
      </c>
      <c r="B100" s="3785"/>
      <c r="C100" s="3092" t="s">
        <v>2707</v>
      </c>
      <c r="D100" s="3092" t="s">
        <v>2708</v>
      </c>
      <c r="E100" s="3118">
        <v>0.1</v>
      </c>
      <c r="F100" s="3118">
        <v>15</v>
      </c>
    </row>
    <row r="101" spans="1:6" ht="13.5">
      <c r="A101" s="3118">
        <v>29</v>
      </c>
      <c r="B101" s="3785"/>
      <c r="C101" s="3092" t="s">
        <v>2709</v>
      </c>
      <c r="D101" s="3092" t="s">
        <v>2710</v>
      </c>
      <c r="E101" s="3118">
        <v>0.1</v>
      </c>
      <c r="F101" s="3118">
        <v>15</v>
      </c>
    </row>
    <row r="102" spans="1:6" ht="13.5">
      <c r="A102" s="3118">
        <v>30</v>
      </c>
      <c r="B102" s="3785"/>
      <c r="C102" s="3092" t="s">
        <v>2711</v>
      </c>
      <c r="D102" s="3092" t="s">
        <v>2712</v>
      </c>
      <c r="E102" s="3118">
        <v>0.1</v>
      </c>
      <c r="F102" s="3118">
        <v>15</v>
      </c>
    </row>
    <row r="103" spans="1:6" ht="24">
      <c r="A103" s="3118">
        <v>31</v>
      </c>
      <c r="B103" s="3785"/>
      <c r="C103" s="3092" t="s">
        <v>2713</v>
      </c>
      <c r="D103" s="3092" t="s">
        <v>2714</v>
      </c>
      <c r="E103" s="3118">
        <v>0.1</v>
      </c>
      <c r="F103" s="3118">
        <v>15</v>
      </c>
    </row>
    <row r="104" spans="1:6" ht="24">
      <c r="A104" s="3118">
        <v>32</v>
      </c>
      <c r="B104" s="3785"/>
      <c r="C104" s="3092" t="s">
        <v>2715</v>
      </c>
      <c r="D104" s="3092" t="s">
        <v>2716</v>
      </c>
      <c r="E104" s="3118">
        <v>0.1</v>
      </c>
      <c r="F104" s="3118">
        <v>15</v>
      </c>
    </row>
    <row r="105" spans="1:6" ht="24">
      <c r="A105" s="3118">
        <v>33</v>
      </c>
      <c r="B105" s="3785"/>
      <c r="C105" s="3092" t="s">
        <v>2717</v>
      </c>
      <c r="D105" s="3092" t="s">
        <v>2718</v>
      </c>
      <c r="E105" s="3118">
        <v>0.1</v>
      </c>
      <c r="F105" s="3118">
        <v>15</v>
      </c>
    </row>
    <row r="106" spans="1:6" ht="24">
      <c r="A106" s="3118">
        <v>34</v>
      </c>
      <c r="B106" s="3784"/>
      <c r="C106" s="3092" t="s">
        <v>2719</v>
      </c>
      <c r="D106" s="3092" t="s">
        <v>2720</v>
      </c>
      <c r="E106" s="3118">
        <v>0.1</v>
      </c>
      <c r="F106" s="3118">
        <v>15</v>
      </c>
    </row>
    <row r="107" spans="1:6" ht="24">
      <c r="A107" s="3118">
        <v>35</v>
      </c>
      <c r="B107" s="3783" t="s">
        <v>2721</v>
      </c>
      <c r="C107" s="3118" t="s">
        <v>2722</v>
      </c>
      <c r="D107" s="3092" t="s">
        <v>2723</v>
      </c>
      <c r="E107" s="3118">
        <v>0.15</v>
      </c>
      <c r="F107" s="3118">
        <v>20</v>
      </c>
    </row>
    <row r="108" spans="1:6" ht="13.5">
      <c r="A108" s="3118">
        <v>36</v>
      </c>
      <c r="B108" s="3785"/>
      <c r="C108" s="3118" t="s">
        <v>2724</v>
      </c>
      <c r="D108" s="3092" t="s">
        <v>2725</v>
      </c>
      <c r="E108" s="3118">
        <v>0.15</v>
      </c>
      <c r="F108" s="3118">
        <v>20</v>
      </c>
    </row>
    <row r="109" spans="1:6" ht="13.5">
      <c r="A109" s="3118">
        <v>37</v>
      </c>
      <c r="B109" s="3785"/>
      <c r="C109" s="3118" t="s">
        <v>2726</v>
      </c>
      <c r="D109" s="3092" t="s">
        <v>2727</v>
      </c>
      <c r="E109" s="3118">
        <v>0.15</v>
      </c>
      <c r="F109" s="3118">
        <v>20</v>
      </c>
    </row>
    <row r="110" spans="1:6" ht="13.5">
      <c r="A110" s="3118">
        <v>38</v>
      </c>
      <c r="B110" s="3785"/>
      <c r="C110" s="3118" t="s">
        <v>2728</v>
      </c>
      <c r="D110" s="3092" t="s">
        <v>2729</v>
      </c>
      <c r="E110" s="3118">
        <v>0.1</v>
      </c>
      <c r="F110" s="3118">
        <v>15</v>
      </c>
    </row>
    <row r="111" spans="1:6" ht="24">
      <c r="A111" s="3118">
        <v>39</v>
      </c>
      <c r="B111" s="3785"/>
      <c r="C111" s="3118" t="s">
        <v>2730</v>
      </c>
      <c r="D111" s="3092" t="s">
        <v>2731</v>
      </c>
      <c r="E111" s="3118">
        <v>0.1</v>
      </c>
      <c r="F111" s="3118">
        <v>15</v>
      </c>
    </row>
    <row r="112" spans="1:6" ht="24">
      <c r="A112" s="3118">
        <v>40</v>
      </c>
      <c r="B112" s="3784"/>
      <c r="C112" s="3118" t="s">
        <v>2732</v>
      </c>
      <c r="D112" s="3092" t="s">
        <v>2733</v>
      </c>
      <c r="E112" s="3118">
        <v>0.1</v>
      </c>
      <c r="F112" s="3118">
        <v>15</v>
      </c>
    </row>
    <row r="113" spans="1:6" ht="13.5">
      <c r="A113" s="3118">
        <v>41</v>
      </c>
      <c r="B113" s="3782" t="s">
        <v>2734</v>
      </c>
      <c r="C113" s="3118" t="s">
        <v>2735</v>
      </c>
      <c r="D113" s="3092" t="s">
        <v>2736</v>
      </c>
      <c r="E113" s="3118">
        <v>0.1</v>
      </c>
      <c r="F113" s="3118">
        <v>15</v>
      </c>
    </row>
    <row r="114" spans="1:6" ht="13.5">
      <c r="A114" s="3118">
        <v>42</v>
      </c>
      <c r="B114" s="3782"/>
      <c r="C114" s="3118" t="s">
        <v>2737</v>
      </c>
      <c r="D114" s="3092" t="s">
        <v>2738</v>
      </c>
      <c r="E114" s="3118">
        <v>0.1</v>
      </c>
      <c r="F114" s="3118">
        <v>15</v>
      </c>
    </row>
    <row r="115" spans="1:6" ht="24">
      <c r="A115" s="3118">
        <v>43</v>
      </c>
      <c r="B115" s="3782"/>
      <c r="C115" s="3118" t="s">
        <v>2739</v>
      </c>
      <c r="D115" s="3092" t="s">
        <v>2740</v>
      </c>
      <c r="E115" s="3118">
        <v>0.1</v>
      </c>
      <c r="F115" s="3118">
        <v>15</v>
      </c>
    </row>
    <row r="116" spans="1:6" ht="13.5">
      <c r="A116" s="3118">
        <v>44</v>
      </c>
      <c r="B116" s="3783" t="s">
        <v>2741</v>
      </c>
      <c r="C116" s="3118" t="s">
        <v>2742</v>
      </c>
      <c r="D116" s="3092" t="s">
        <v>2743</v>
      </c>
      <c r="E116" s="3118">
        <v>0.1</v>
      </c>
      <c r="F116" s="3118">
        <v>15</v>
      </c>
    </row>
    <row r="117" spans="1:6" ht="24">
      <c r="A117" s="3118">
        <v>45</v>
      </c>
      <c r="B117" s="3784"/>
      <c r="C117" s="3092" t="s">
        <v>2744</v>
      </c>
      <c r="D117" s="3092" t="s">
        <v>2745</v>
      </c>
      <c r="E117" s="3118">
        <v>0.1</v>
      </c>
      <c r="F117" s="3118">
        <v>15</v>
      </c>
    </row>
    <row r="118" spans="1:6" ht="24">
      <c r="A118" s="3118">
        <v>46</v>
      </c>
      <c r="B118" s="3783" t="s">
        <v>2746</v>
      </c>
      <c r="C118" s="3118" t="s">
        <v>2747</v>
      </c>
      <c r="D118" s="3092" t="s">
        <v>2748</v>
      </c>
      <c r="E118" s="3118">
        <v>0.1</v>
      </c>
      <c r="F118" s="3118">
        <v>15</v>
      </c>
    </row>
    <row r="119" spans="1:6" ht="24">
      <c r="A119" s="3118">
        <v>47</v>
      </c>
      <c r="B119" s="3784"/>
      <c r="C119" s="3118" t="s">
        <v>2749</v>
      </c>
      <c r="D119" s="3092" t="s">
        <v>2750</v>
      </c>
      <c r="E119" s="3118">
        <v>0.1</v>
      </c>
      <c r="F119" s="3118">
        <v>15</v>
      </c>
    </row>
    <row r="120" spans="1:6" ht="13.5">
      <c r="A120" s="3118">
        <v>48</v>
      </c>
      <c r="B120" s="3783" t="s">
        <v>2751</v>
      </c>
      <c r="C120" s="3118" t="s">
        <v>2752</v>
      </c>
      <c r="D120" s="3092" t="s">
        <v>2753</v>
      </c>
      <c r="E120" s="3118">
        <v>0.1</v>
      </c>
      <c r="F120" s="3118">
        <v>15</v>
      </c>
    </row>
    <row r="121" spans="1:6" ht="13.5">
      <c r="A121" s="3118">
        <v>49</v>
      </c>
      <c r="B121" s="3784"/>
      <c r="C121" s="3118" t="s">
        <v>2754</v>
      </c>
      <c r="D121" s="3092" t="s">
        <v>2755</v>
      </c>
      <c r="E121" s="3118">
        <v>0.1</v>
      </c>
      <c r="F121" s="3118">
        <v>15</v>
      </c>
    </row>
    <row r="122" spans="1:6" ht="24">
      <c r="A122" s="3118">
        <v>50</v>
      </c>
      <c r="B122" s="3782" t="s">
        <v>2756</v>
      </c>
      <c r="C122" s="3118" t="s">
        <v>2757</v>
      </c>
      <c r="D122" s="3092" t="s">
        <v>2758</v>
      </c>
      <c r="E122" s="3118">
        <v>0.1</v>
      </c>
      <c r="F122" s="3118">
        <v>15</v>
      </c>
    </row>
    <row r="123" spans="1:6" ht="24">
      <c r="A123" s="3118">
        <v>51</v>
      </c>
      <c r="B123" s="3782"/>
      <c r="C123" s="3118" t="s">
        <v>2759</v>
      </c>
      <c r="D123" s="3092" t="s">
        <v>2760</v>
      </c>
      <c r="E123" s="3118">
        <v>0.1</v>
      </c>
      <c r="F123" s="3118">
        <v>15</v>
      </c>
    </row>
    <row r="124" spans="1:6" ht="24">
      <c r="A124" s="3118">
        <v>52</v>
      </c>
      <c r="B124" s="3782" t="s">
        <v>2761</v>
      </c>
      <c r="C124" s="3118" t="s">
        <v>2762</v>
      </c>
      <c r="D124" s="3092" t="s">
        <v>2763</v>
      </c>
      <c r="E124" s="3118">
        <v>0.1</v>
      </c>
      <c r="F124" s="3118">
        <v>15</v>
      </c>
    </row>
    <row r="125" spans="1:6" ht="24">
      <c r="A125" s="3118">
        <v>53</v>
      </c>
      <c r="B125" s="3782"/>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2" t="s">
        <v>2769</v>
      </c>
      <c r="C127" s="3118" t="s">
        <v>2770</v>
      </c>
      <c r="D127" s="3092" t="s">
        <v>2771</v>
      </c>
      <c r="E127" s="3118">
        <v>0.1</v>
      </c>
      <c r="F127" s="3118">
        <v>15</v>
      </c>
    </row>
    <row r="128" spans="1:6" ht="13.5">
      <c r="A128" s="3118">
        <v>56</v>
      </c>
      <c r="B128" s="3782"/>
      <c r="C128" s="3118" t="s">
        <v>2772</v>
      </c>
      <c r="D128" s="3092" t="s">
        <v>2773</v>
      </c>
      <c r="E128" s="3118">
        <v>0.1</v>
      </c>
      <c r="F128" s="3118">
        <v>15</v>
      </c>
    </row>
    <row r="129" spans="1:6" ht="24">
      <c r="A129" s="3118">
        <v>57</v>
      </c>
      <c r="B129" s="3782"/>
      <c r="C129" s="3118" t="s">
        <v>2774</v>
      </c>
      <c r="D129" s="3092" t="s">
        <v>2775</v>
      </c>
      <c r="E129" s="3118">
        <v>0.1</v>
      </c>
      <c r="F129" s="3118">
        <v>15</v>
      </c>
    </row>
    <row r="130" spans="1:6" ht="24">
      <c r="A130" s="3118">
        <v>58</v>
      </c>
      <c r="B130" s="3782" t="s">
        <v>2776</v>
      </c>
      <c r="C130" s="3118" t="s">
        <v>2777</v>
      </c>
      <c r="D130" s="3092" t="s">
        <v>2778</v>
      </c>
      <c r="E130" s="3118">
        <v>0.1</v>
      </c>
      <c r="F130" s="3118">
        <v>15</v>
      </c>
    </row>
    <row r="131" spans="1:6" ht="13.5">
      <c r="A131" s="3118">
        <v>59</v>
      </c>
      <c r="B131" s="3782"/>
      <c r="C131" s="3118" t="s">
        <v>2779</v>
      </c>
      <c r="D131" s="3092" t="s">
        <v>2780</v>
      </c>
      <c r="E131" s="3118">
        <v>0.1</v>
      </c>
      <c r="F131" s="3118">
        <v>15</v>
      </c>
    </row>
    <row r="132" spans="1:6" ht="13.5">
      <c r="A132" s="3118">
        <v>60</v>
      </c>
      <c r="B132" s="3783" t="s">
        <v>2781</v>
      </c>
      <c r="C132" s="3118" t="s">
        <v>2782</v>
      </c>
      <c r="D132" s="3092" t="s">
        <v>2783</v>
      </c>
      <c r="E132" s="3118">
        <v>0.1</v>
      </c>
      <c r="F132" s="3118">
        <v>15</v>
      </c>
    </row>
    <row r="133" spans="1:6" ht="13.5">
      <c r="A133" s="3118">
        <v>61</v>
      </c>
      <c r="B133" s="378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2" t="s">
        <v>2789</v>
      </c>
      <c r="C135" s="3118" t="s">
        <v>2790</v>
      </c>
      <c r="D135" s="3092" t="s">
        <v>2791</v>
      </c>
      <c r="E135" s="3118">
        <v>0.1</v>
      </c>
      <c r="F135" s="3118">
        <v>15</v>
      </c>
    </row>
    <row r="136" spans="1:6" ht="13.5">
      <c r="A136" s="3118">
        <v>64</v>
      </c>
      <c r="B136" s="3782"/>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914</v>
      </c>
      <c r="C4" s="3477"/>
      <c r="D4" s="3477"/>
      <c r="E4" s="1493"/>
    </row>
    <row r="5" spans="1:5" ht="16.5" thickTop="1">
      <c r="A5" s="1491"/>
      <c r="B5" s="3475" t="s">
        <v>906</v>
      </c>
      <c r="C5" s="1494" t="s">
        <v>907</v>
      </c>
      <c r="D5" s="850">
        <f ca="1">结果表!H101</f>
        <v>698</v>
      </c>
      <c r="E5" s="1491"/>
    </row>
    <row r="6" spans="1:5" ht="15.75">
      <c r="A6" s="1491"/>
      <c r="B6" s="3475"/>
      <c r="C6" s="1494" t="s">
        <v>908</v>
      </c>
      <c r="D6" s="850" t="str">
        <f ca="1">NUMBERSTRING(INT(D5*10000),2)&amp;"元整"</f>
        <v>陆佰玖拾捌万元整</v>
      </c>
      <c r="E6" s="1491"/>
    </row>
    <row r="7" spans="1:5" ht="15.75">
      <c r="A7" s="1491"/>
      <c r="B7" s="3480"/>
      <c r="C7" s="1495" t="s">
        <v>909</v>
      </c>
      <c r="D7" s="851">
        <f ca="1">结果表!H102</f>
        <v>27068</v>
      </c>
      <c r="E7" s="1491"/>
    </row>
    <row r="8" spans="1:5" ht="15.75">
      <c r="A8" s="1491"/>
      <c r="B8" s="3481" t="str">
        <f>结果表!E103</f>
        <v>2.估价师知悉的法定优先受偿款</v>
      </c>
      <c r="C8" s="1496" t="s">
        <v>910</v>
      </c>
      <c r="D8" s="851">
        <f>结果表!H103</f>
        <v>0</v>
      </c>
      <c r="E8" s="1491"/>
    </row>
    <row r="9" spans="1:5" ht="15.75">
      <c r="A9" s="1491"/>
      <c r="B9" s="3483"/>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74" t="str">
        <f>结果表!E107</f>
        <v>3.房地产抵押价值</v>
      </c>
      <c r="C13" s="1499" t="s">
        <v>907</v>
      </c>
      <c r="D13" s="853">
        <f ca="1">结果表!H107</f>
        <v>698</v>
      </c>
      <c r="E13" s="1491"/>
    </row>
    <row r="14" spans="1:5" ht="15.75">
      <c r="A14" s="1491"/>
      <c r="B14" s="3475"/>
      <c r="C14" s="1494" t="s">
        <v>908</v>
      </c>
      <c r="D14" s="850" t="str">
        <f ca="1">NUMBERSTRING(INT(D13*10000),2)&amp;"元整"</f>
        <v>陆佰玖拾捌万元整</v>
      </c>
      <c r="E14" s="1491"/>
    </row>
    <row r="15" spans="1:5" ht="15">
      <c r="A15" s="1491"/>
      <c r="B15" s="3480"/>
      <c r="C15" s="1495" t="s">
        <v>918</v>
      </c>
      <c r="D15" s="859">
        <f ca="1">结果表!H108</f>
        <v>27068</v>
      </c>
      <c r="E15" s="1491"/>
    </row>
    <row r="16" spans="1:5" ht="15">
      <c r="A16" s="1491"/>
      <c r="B16" s="3481" t="str">
        <f>结果表!E109</f>
        <v>——</v>
      </c>
      <c r="C16" s="1499" t="s">
        <v>919</v>
      </c>
      <c r="D16" s="1500" t="str">
        <f>结果表!H109</f>
        <v>——</v>
      </c>
      <c r="E16" s="1491"/>
    </row>
    <row r="17" spans="1:5" ht="15.75">
      <c r="A17" s="1491"/>
      <c r="B17" s="3482"/>
      <c r="C17" s="1494" t="s">
        <v>920</v>
      </c>
      <c r="D17" s="850" t="e">
        <f>NUMBERSTRING(INT(D16*10000),2)&amp;"元整"</f>
        <v>#VALUE!</v>
      </c>
      <c r="E17" s="1491"/>
    </row>
    <row r="18" spans="1:5" ht="15">
      <c r="A18" s="1491"/>
      <c r="B18" s="3483"/>
      <c r="C18" s="1495" t="s">
        <v>909</v>
      </c>
      <c r="D18" s="859" t="str">
        <f>结果表!H110</f>
        <v>——</v>
      </c>
      <c r="E18" s="1491"/>
    </row>
    <row r="19" spans="1:5" ht="15.75">
      <c r="A19" s="1491"/>
      <c r="B19" s="3474" t="str">
        <f>结果表!E111</f>
        <v>——</v>
      </c>
      <c r="C19" s="1499" t="s">
        <v>907</v>
      </c>
      <c r="D19" s="851" t="str">
        <f>结果表!H111</f>
        <v>——</v>
      </c>
      <c r="E19" s="1491"/>
    </row>
    <row r="20" spans="1:5" ht="15.75">
      <c r="A20" s="1491"/>
      <c r="B20" s="3475"/>
      <c r="C20" s="1494" t="s">
        <v>920</v>
      </c>
      <c r="D20" s="850" t="e">
        <f>NUMBERSTRING(INT(D19*10000),2)&amp;"元整"</f>
        <v>#VALUE!</v>
      </c>
      <c r="E20" s="1491"/>
    </row>
    <row r="21" spans="1:5" ht="15.75" thickBot="1">
      <c r="A21" s="1491"/>
      <c r="B21" s="3476"/>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27946</v>
      </c>
      <c r="C2" s="2" t="s">
        <v>106</v>
      </c>
      <c r="D2" s="199"/>
      <c r="E2" s="199"/>
      <c r="F2" s="199"/>
      <c r="G2" s="199"/>
    </row>
    <row r="3" spans="1:7" s="200" customFormat="1" ht="18" customHeight="1" thickBot="1">
      <c r="A3" s="203" t="s">
        <v>58</v>
      </c>
      <c r="B3" s="204">
        <f ca="1">ROUND(B2*10000/'数据-汇总表'!E3,0)</f>
        <v>340726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820.19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820.19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820.19</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148</v>
      </c>
      <c r="D51" s="232"/>
      <c r="E51" s="232"/>
      <c r="F51" s="264"/>
      <c r="G51" s="234" t="s">
        <v>37</v>
      </c>
    </row>
    <row r="52" spans="1:7" s="208" customFormat="1" ht="16.5" thickBot="1">
      <c r="A52" s="265" t="s">
        <v>38</v>
      </c>
      <c r="B52" s="266"/>
      <c r="C52" s="267">
        <f ca="1">C31+C51</f>
        <v>27946</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2839</v>
      </c>
      <c r="B1" s="3796"/>
      <c r="C1" s="3796"/>
      <c r="D1" s="3796"/>
      <c r="E1" s="3796"/>
      <c r="F1" s="3796"/>
      <c r="G1" s="379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9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9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3181</v>
      </c>
      <c r="B1" s="3798"/>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3232</v>
      </c>
      <c r="B1" s="3799"/>
      <c r="C1" s="3799"/>
      <c r="D1" s="3799"/>
      <c r="E1" s="3799"/>
      <c r="F1" s="3800"/>
    </row>
    <row r="2" spans="1:6">
      <c r="A2" s="3291" t="s">
        <v>3233</v>
      </c>
      <c r="B2" s="3292"/>
      <c r="C2" s="3292"/>
      <c r="D2" s="3292"/>
      <c r="E2" s="3292"/>
      <c r="F2" s="3292"/>
    </row>
    <row r="3" spans="1:6">
      <c r="A3" s="3291" t="s">
        <v>3234</v>
      </c>
      <c r="B3" s="3292"/>
      <c r="C3" s="3292"/>
      <c r="D3" s="3292"/>
      <c r="E3" s="3292"/>
      <c r="F3" s="3293" t="s">
        <v>3235</v>
      </c>
    </row>
    <row r="4" spans="1:6">
      <c r="A4" s="3294" t="s">
        <v>669</v>
      </c>
      <c r="B4" s="3294" t="s">
        <v>670</v>
      </c>
      <c r="C4" s="3294" t="s">
        <v>21</v>
      </c>
      <c r="D4" s="3294" t="s">
        <v>671</v>
      </c>
      <c r="E4" s="3294" t="s">
        <v>3</v>
      </c>
      <c r="F4" s="3294" t="s">
        <v>3236</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45435</v>
      </c>
      <c r="B1" s="3210" t="s">
        <v>3371</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801" t="s">
        <v>2827</v>
      </c>
      <c r="S23" s="3802"/>
      <c r="T23" s="3802"/>
      <c r="U23" s="3802"/>
      <c r="V23" s="3802"/>
      <c r="W23" s="3802"/>
      <c r="X23" s="3165"/>
      <c r="Y23" s="3801" t="s">
        <v>2828</v>
      </c>
      <c r="Z23" s="3802"/>
      <c r="AA23" s="3802"/>
      <c r="AB23" s="3802"/>
      <c r="AC23" s="3802"/>
      <c r="AD23" s="3802"/>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8"/>
  <sheetViews>
    <sheetView workbookViewId="0">
      <selection activeCell="N8" sqref="N8"/>
    </sheetView>
  </sheetViews>
  <sheetFormatPr defaultRowHeight="13.5"/>
  <cols>
    <col min="17" max="17" width="10.625" customWidth="1"/>
  </cols>
  <sheetData>
    <row r="3" spans="14:18">
      <c r="N3" s="3470" t="s">
        <v>3414</v>
      </c>
    </row>
    <row r="4" spans="14:18">
      <c r="N4" s="3470" t="s">
        <v>3415</v>
      </c>
    </row>
    <row r="5" spans="14:18">
      <c r="N5" s="3470" t="s">
        <v>3416</v>
      </c>
    </row>
    <row r="8" spans="14:18">
      <c r="N8" s="3470" t="s">
        <v>3419</v>
      </c>
      <c r="O8">
        <v>31457</v>
      </c>
      <c r="P8">
        <v>6</v>
      </c>
      <c r="Q8" s="3472">
        <v>45268</v>
      </c>
      <c r="R8">
        <v>744.81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925</v>
      </c>
      <c r="B2" s="3492" t="s">
        <v>926</v>
      </c>
      <c r="C2" s="3492" t="s">
        <v>927</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922</v>
      </c>
      <c r="E3" s="854" t="s">
        <v>928</v>
      </c>
      <c r="F3" s="854" t="s">
        <v>922</v>
      </c>
      <c r="G3" s="854" t="s">
        <v>923</v>
      </c>
      <c r="H3" s="854" t="s">
        <v>922</v>
      </c>
      <c r="I3" s="854" t="s">
        <v>923</v>
      </c>
    </row>
    <row r="4" spans="1:9" ht="45">
      <c r="A4" s="1505" t="str">
        <f>项目基本情况!S2</f>
        <v>北京市石景山区八角东街65号院主楼北座2号楼1102、1103、1104房地产</v>
      </c>
      <c r="B4" s="854">
        <f>项目基本情况!C17</f>
        <v>820.19</v>
      </c>
      <c r="C4" s="854">
        <f>项目基本情况!C18</f>
        <v>0</v>
      </c>
      <c r="D4" s="854" t="e">
        <f ca="1">结果表!D118</f>
        <v>#REF!</v>
      </c>
      <c r="E4" s="854" t="e">
        <f ca="1">结果表!E118</f>
        <v>#REF!</v>
      </c>
      <c r="F4" s="854" t="e">
        <f ca="1">结果表!F118</f>
        <v>#REF!</v>
      </c>
      <c r="G4" s="854" t="e">
        <f ca="1">结果表!G118</f>
        <v>#REF!</v>
      </c>
      <c r="H4" s="854">
        <f ca="1">结果表!H118</f>
        <v>698</v>
      </c>
      <c r="I4" s="854">
        <f ca="1">结果表!I118</f>
        <v>27068</v>
      </c>
    </row>
    <row r="5" spans="1:9" ht="30" customHeight="1">
      <c r="A5" s="3487" t="s">
        <v>924</v>
      </c>
      <c r="B5" s="3487"/>
      <c r="C5" s="3487"/>
      <c r="D5" s="3487" t="e">
        <f ca="1">结果表!D119</f>
        <v>#REF!</v>
      </c>
      <c r="E5" s="3487"/>
      <c r="F5" s="3487" t="e">
        <f ca="1">结果表!F119</f>
        <v>#REF!</v>
      </c>
      <c r="G5" s="3487"/>
      <c r="H5" s="3487" t="str">
        <f ca="1">结果表!H119</f>
        <v>陆佰玖拾捌万元整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924</v>
      </c>
      <c r="B7" s="3487"/>
      <c r="C7" s="3487"/>
      <c r="D7" s="3488" t="str">
        <f>结果表!D121</f>
        <v>零元整</v>
      </c>
      <c r="E7" s="3489"/>
      <c r="F7" s="3489"/>
      <c r="G7" s="3489"/>
      <c r="H7" s="3489"/>
      <c r="I7" s="3490"/>
    </row>
    <row r="8" spans="1:9" ht="15.75">
      <c r="A8" s="3486" t="str">
        <f>结果表!A122</f>
        <v>房地产抵押价值</v>
      </c>
      <c r="B8" s="3486"/>
      <c r="C8" s="3486"/>
      <c r="D8" s="3486">
        <f ca="1">结果表!D122</f>
        <v>698</v>
      </c>
      <c r="E8" s="3486"/>
      <c r="F8" s="3486"/>
      <c r="G8" s="3486"/>
      <c r="H8" s="3486"/>
      <c r="I8" s="3486"/>
    </row>
    <row r="9" spans="1:9" ht="15">
      <c r="A9" s="3487" t="s">
        <v>924</v>
      </c>
      <c r="B9" s="3487"/>
      <c r="C9" s="3487"/>
      <c r="D9" s="3487" t="str">
        <f ca="1">结果表!D123</f>
        <v>陆佰玖拾捌万元整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924</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924</v>
      </c>
      <c r="B13" s="3484"/>
      <c r="C13" s="3484"/>
      <c r="D13" s="3484" t="e">
        <f>结果表!D127</f>
        <v>#VALUE!</v>
      </c>
      <c r="E13" s="3484"/>
      <c r="F13" s="3484"/>
      <c r="G13" s="3484"/>
      <c r="H13" s="3484"/>
      <c r="I13" s="3484"/>
    </row>
    <row r="14" spans="1:9" ht="15" thickTop="1">
      <c r="A14" s="3485" t="s">
        <v>929</v>
      </c>
      <c r="B14" s="3485"/>
      <c r="C14" s="3485"/>
      <c r="D14" s="3485"/>
      <c r="E14" s="3485"/>
      <c r="F14" s="3485"/>
      <c r="G14" s="3485"/>
      <c r="H14" s="3485"/>
      <c r="I14" s="3485"/>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946</v>
      </c>
      <c r="B1" s="3499"/>
      <c r="C1" s="3499"/>
      <c r="D1" s="3499"/>
    </row>
    <row r="2" spans="1:4" ht="18">
      <c r="A2" s="3500" t="s">
        <v>930</v>
      </c>
      <c r="B2" s="3500"/>
      <c r="C2" s="3500"/>
      <c r="D2" s="3500"/>
    </row>
    <row r="3" spans="1:4" ht="18.75">
      <c r="A3" s="1509" t="s">
        <v>931</v>
      </c>
      <c r="B3" s="1509" t="s">
        <v>932</v>
      </c>
      <c r="C3" s="1509" t="s">
        <v>933</v>
      </c>
      <c r="D3" s="1509" t="s">
        <v>934</v>
      </c>
    </row>
    <row r="4" spans="1:4" ht="56.25" customHeight="1">
      <c r="A4" s="1510">
        <f>项目基本情况!B4</f>
        <v>0</v>
      </c>
      <c r="B4" s="1511">
        <f>项目基本情况!C4</f>
        <v>0</v>
      </c>
      <c r="C4" s="1512"/>
      <c r="D4" s="1513" t="s">
        <v>935</v>
      </c>
    </row>
    <row r="5" spans="1:4" ht="56.25" customHeight="1">
      <c r="A5" s="1510">
        <f>项目基本情况!D4</f>
        <v>0</v>
      </c>
      <c r="B5" s="1511">
        <f>项目基本情况!E4</f>
        <v>0</v>
      </c>
      <c r="C5" s="1514"/>
      <c r="D5" s="1513" t="s">
        <v>935</v>
      </c>
    </row>
    <row r="6" spans="1:4" ht="18">
      <c r="A6" s="3500" t="s">
        <v>936</v>
      </c>
      <c r="B6" s="3500"/>
      <c r="C6" s="3500"/>
      <c r="D6" s="3500"/>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501" t="s">
        <v>939</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940</v>
      </c>
      <c r="B16" s="3495"/>
      <c r="C16" s="3495"/>
      <c r="D16" s="3495"/>
    </row>
    <row r="17" spans="1:4" ht="144" customHeight="1">
      <c r="A17" s="3495" t="s">
        <v>941</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942</v>
      </c>
      <c r="B22" s="3497"/>
      <c r="C22" s="3497"/>
      <c r="D22" s="3497"/>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07" t="s">
        <v>953</v>
      </c>
      <c r="B15" s="3502" t="s">
        <v>109</v>
      </c>
      <c r="C15" s="3503"/>
    </row>
    <row r="16" spans="1:7" ht="13.5">
      <c r="A16" s="3508"/>
      <c r="B16" s="3502" t="s">
        <v>42</v>
      </c>
      <c r="C16" s="3503"/>
    </row>
    <row r="17" spans="1:3" ht="13.5">
      <c r="A17" s="3508"/>
      <c r="B17" s="3505" t="s">
        <v>954</v>
      </c>
      <c r="C17" s="1532" t="s">
        <v>953</v>
      </c>
    </row>
    <row r="18" spans="1:3" ht="13.5">
      <c r="A18" s="3508"/>
      <c r="B18" s="3505"/>
      <c r="C18" s="1532" t="s">
        <v>955</v>
      </c>
    </row>
    <row r="19" spans="1:3" ht="13.5">
      <c r="A19" s="3508"/>
      <c r="B19" s="3505"/>
      <c r="C19" s="1532" t="s">
        <v>956</v>
      </c>
    </row>
    <row r="20" spans="1:3" ht="13.5">
      <c r="A20" s="3509"/>
      <c r="B20" s="3504" t="s">
        <v>957</v>
      </c>
      <c r="C20" s="3503"/>
    </row>
    <row r="21" spans="1:3" ht="13.5">
      <c r="A21" s="1533" t="s">
        <v>958</v>
      </c>
      <c r="B21" s="1534"/>
      <c r="C21" s="1535"/>
    </row>
    <row r="22" spans="1:3" ht="13.5">
      <c r="A22" s="3506" t="s">
        <v>959</v>
      </c>
      <c r="B22" s="3504" t="s">
        <v>960</v>
      </c>
      <c r="C22" s="3503"/>
    </row>
    <row r="23" spans="1:3" ht="13.5">
      <c r="A23" s="3506"/>
      <c r="B23" s="3504" t="s">
        <v>961</v>
      </c>
      <c r="C23" s="3503"/>
    </row>
    <row r="24" spans="1:3" ht="13.5">
      <c r="A24" s="3506"/>
      <c r="B24" s="3504" t="s">
        <v>962</v>
      </c>
      <c r="C24" s="3503"/>
    </row>
    <row r="25" spans="1:3" ht="13.5">
      <c r="A25" s="3506"/>
      <c r="B25" s="3505" t="s">
        <v>963</v>
      </c>
      <c r="C25" s="1532" t="s">
        <v>964</v>
      </c>
    </row>
    <row r="26" spans="1:3" ht="13.5">
      <c r="A26" s="3506"/>
      <c r="B26" s="3505"/>
      <c r="C26" s="1532" t="s">
        <v>965</v>
      </c>
    </row>
    <row r="27" spans="1:3" ht="13.5">
      <c r="A27" s="3506"/>
      <c r="B27" s="3505"/>
      <c r="C27" s="1532" t="s">
        <v>966</v>
      </c>
    </row>
    <row r="28" spans="1:3" ht="13.5">
      <c r="A28" s="3506"/>
      <c r="B28" s="3505"/>
      <c r="C28" s="1532" t="s">
        <v>967</v>
      </c>
    </row>
    <row r="29" spans="1:3" ht="13.5">
      <c r="A29" s="3506"/>
      <c r="B29" s="3505"/>
      <c r="C29" s="1532" t="s">
        <v>968</v>
      </c>
    </row>
    <row r="30" spans="1:3" ht="13.5">
      <c r="A30" s="3506"/>
      <c r="B30" s="3505"/>
      <c r="C30" s="1532" t="s">
        <v>969</v>
      </c>
    </row>
    <row r="31" spans="1:3" ht="13.5">
      <c r="A31" s="3506"/>
      <c r="B31" s="3505"/>
      <c r="C31" s="1532" t="s">
        <v>970</v>
      </c>
    </row>
    <row r="32" spans="1:3" ht="13.5">
      <c r="A32" s="3506"/>
      <c r="B32" s="3505"/>
      <c r="C32" s="1532" t="s">
        <v>971</v>
      </c>
    </row>
    <row r="33" spans="1:3" ht="13.5">
      <c r="A33" s="3506"/>
      <c r="B33" s="3505"/>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45436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2156</v>
      </c>
      <c r="B17" s="3510"/>
      <c r="C17" s="3510"/>
      <c r="D17" s="3510"/>
      <c r="E17" s="3510"/>
      <c r="F17" s="3510"/>
      <c r="G17" s="3510"/>
      <c r="H17" s="3510"/>
    </row>
    <row r="18" spans="1:8" ht="24" customHeight="1">
      <c r="A18" s="3511" t="s">
        <v>2157</v>
      </c>
      <c r="B18" s="3511"/>
      <c r="C18" s="3511"/>
      <c r="D18" s="2343"/>
      <c r="E18" s="3512" t="s">
        <v>2158</v>
      </c>
      <c r="F18" s="3511"/>
      <c r="G18" s="3511"/>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结果表(1103净值)</vt:lpstr>
      <vt:lpstr>结果表(1104净值)</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'结果表(1103净值)'!Print_Area</vt:lpstr>
      <vt:lpstr>'结果表(1104净值)'!Print_Area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2024-05-24T03:07:50Z</dcterms:modified>
</cp:coreProperties>
</file>