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典型户型修正" sheetId="31"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K15" i="3" l="1"/>
  <c r="C17" i="76"/>
  <c r="O13" i="3" s="1"/>
  <c r="F15" i="76"/>
  <c r="F5" i="76"/>
  <c r="O14" i="3" s="1"/>
  <c r="O15" i="3"/>
  <c r="K14" i="3"/>
  <c r="K13" i="3"/>
  <c r="I33" i="76"/>
  <c r="I18" i="76"/>
  <c r="C29" i="76"/>
  <c r="D15" i="74" l="1"/>
  <c r="C88" i="9" l="1"/>
  <c r="C66" i="9"/>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G21" i="6" l="1"/>
  <c r="G20" i="6"/>
  <c r="F20" i="6"/>
  <c r="B24" i="31" s="1"/>
  <c r="F19" i="6"/>
  <c r="AT18" i="3"/>
  <c r="AN18" i="3"/>
  <c r="AL18" i="3"/>
  <c r="AT17" i="3"/>
  <c r="AN17" i="3"/>
  <c r="AL17" i="3"/>
  <c r="K17" i="3"/>
  <c r="I17" i="3"/>
  <c r="AN16" i="3"/>
  <c r="AL16" i="3"/>
  <c r="B25" i="31" l="1"/>
  <c r="E57" i="39"/>
  <c r="H34" i="76"/>
  <c r="E16" i="76"/>
  <c r="B30" i="76"/>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7" i="73"/>
  <c r="D4" i="73"/>
  <c r="D3" i="73"/>
  <c r="D6" i="73"/>
  <c r="F4" i="73"/>
  <c r="D5" i="73"/>
  <c r="F5"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1" i="1"/>
  <c r="AO13" i="1"/>
  <c r="AO9" i="1"/>
  <c r="AO12"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Q5" i="3" s="1"/>
  <c r="BP18" i="3"/>
  <c r="BO18" i="3"/>
  <c r="BO5" i="3" s="1"/>
  <c r="F29" i="6" s="1"/>
  <c r="BN18" i="3"/>
  <c r="BM18" i="3"/>
  <c r="BK18" i="3"/>
  <c r="BJ18" i="3"/>
  <c r="BI18" i="3"/>
  <c r="BH18" i="3"/>
  <c r="BH5" i="3" s="1"/>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I5" i="3"/>
  <c r="BG5" i="3"/>
  <c r="BE5" i="3"/>
  <c r="BC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U34" i="35" l="1"/>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E8" i="6" s="1"/>
  <c r="F28" i="6"/>
  <c r="F30" i="6" s="1"/>
  <c r="BD5" i="3"/>
  <c r="E13" i="6" s="1"/>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26" i="67"/>
  <c r="F6" i="67"/>
  <c r="F42" i="67"/>
  <c r="M26" i="15"/>
  <c r="L47" i="15"/>
  <c r="M22" i="67"/>
  <c r="M28" i="67"/>
  <c r="F42" i="15"/>
  <c r="L48" i="67"/>
  <c r="F6" i="15"/>
  <c r="F38" i="15"/>
  <c r="F43" i="15"/>
  <c r="F9" i="15"/>
  <c r="F26" i="15"/>
  <c r="J15" i="67"/>
  <c r="M28" i="15"/>
  <c r="M24" i="15"/>
  <c r="F40" i="15"/>
  <c r="M6" i="15"/>
  <c r="M9" i="15"/>
  <c r="F13" i="15"/>
  <c r="F8" i="15"/>
  <c r="G1" i="73"/>
  <c r="M29" i="15"/>
  <c r="M29" i="67"/>
  <c r="C76" i="15"/>
  <c r="L48" i="15"/>
  <c r="F37" i="67"/>
  <c r="M8" i="15"/>
  <c r="M26" i="67"/>
  <c r="F16" i="67"/>
  <c r="F38" i="67"/>
  <c r="J15" i="15"/>
  <c r="F36" i="67"/>
  <c r="F7" i="67"/>
  <c r="F16" i="15"/>
  <c r="L47" i="67"/>
  <c r="F40" i="67"/>
  <c r="F43" i="67"/>
  <c r="M23" i="67"/>
  <c r="M23" i="15"/>
  <c r="M22" i="15"/>
  <c r="F13" i="67"/>
  <c r="F36" i="15"/>
  <c r="F7" i="15"/>
  <c r="M6" i="67"/>
  <c r="M9" i="67"/>
  <c r="F8" i="67"/>
  <c r="F37" i="15"/>
  <c r="M24" i="67"/>
  <c r="M8" i="67"/>
  <c r="C76" i="67"/>
  <c r="F9" i="67"/>
  <c r="C33" i="33" l="1"/>
  <c r="J34" i="34"/>
  <c r="F34" i="34"/>
  <c r="H34" i="34"/>
  <c r="AB40" i="34"/>
  <c r="F28" i="15"/>
  <c r="C28" i="15" s="1"/>
  <c r="E69" i="3"/>
  <c r="AT6" i="3"/>
  <c r="E14" i="6"/>
  <c r="E64" i="39" s="1"/>
  <c r="E11" i="6"/>
  <c r="E61" i="39" s="1"/>
  <c r="BA5" i="3"/>
  <c r="E12" i="6"/>
  <c r="E57" i="40" s="1"/>
  <c r="I118" i="43"/>
  <c r="J118" i="43" s="1"/>
  <c r="K118" i="43" s="1"/>
  <c r="L118" i="43" s="1"/>
  <c r="M118" i="43" s="1"/>
  <c r="F27" i="6"/>
  <c r="E51" i="40"/>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56" i="40"/>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67"/>
  <c r="M17" i="15"/>
  <c r="F31" i="15"/>
  <c r="C16" i="67"/>
  <c r="F59" i="15"/>
  <c r="C16" i="15"/>
  <c r="F31" i="67"/>
  <c r="AB34" i="34" l="1"/>
  <c r="U34" i="34"/>
  <c r="AC34" i="34"/>
  <c r="W34" i="34"/>
  <c r="AA34" i="34"/>
  <c r="S34" i="34"/>
  <c r="J33" i="33"/>
  <c r="F33" i="33"/>
  <c r="H33" i="33"/>
  <c r="E27" i="6"/>
  <c r="E3" i="6"/>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34"/>
  <c r="D3" i="21"/>
  <c r="D3" i="33"/>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A33" i="33" l="1"/>
  <c r="S33" i="33"/>
  <c r="AB33" i="33"/>
  <c r="U33" i="33"/>
  <c r="AC33" i="33"/>
  <c r="W3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2"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AA7" i="34" l="1"/>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4"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S19" i="6" l="1"/>
  <c r="S27" i="6" s="1"/>
  <c r="I27" i="6"/>
  <c r="H19" i="6"/>
  <c r="I5" i="6"/>
  <c r="C49" i="21"/>
  <c r="F63" i="67"/>
  <c r="C62" i="67" s="1"/>
  <c r="C34" i="67"/>
  <c r="J20" i="67"/>
  <c r="C24" i="68"/>
  <c r="J20" i="15"/>
  <c r="F63" i="15"/>
  <c r="C62" i="15" s="1"/>
  <c r="C34" i="15"/>
  <c r="C22" i="12"/>
  <c r="C33" i="68"/>
  <c r="I91" i="9" s="1"/>
  <c r="C91" i="9" s="1"/>
  <c r="I63" i="40"/>
  <c r="H65" i="40"/>
  <c r="C39" i="11"/>
  <c r="C43" i="11" s="1"/>
  <c r="C41" i="11" s="1"/>
  <c r="I70" i="39"/>
  <c r="C94" i="9" l="1"/>
  <c r="C92" i="9"/>
  <c r="R19" i="6"/>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3" i="67"/>
  <c r="B7" i="70"/>
  <c r="D2" i="36"/>
  <c r="D2" i="35"/>
  <c r="D2" i="34"/>
  <c r="D2" i="21"/>
  <c r="E2" i="68"/>
  <c r="D2" i="33"/>
  <c r="D2" i="37"/>
  <c r="B2" i="36" l="1"/>
  <c r="B3" i="36" s="1"/>
  <c r="B2" i="35"/>
  <c r="B2" i="37"/>
  <c r="B3" i="37" s="1"/>
  <c r="B2" i="34"/>
  <c r="B2" i="21"/>
  <c r="B3" i="21" s="1"/>
  <c r="B2" i="70"/>
  <c r="B3" i="70" s="1"/>
  <c r="B3" i="35" l="1"/>
  <c r="E6" i="12" s="1"/>
  <c r="E8" i="12"/>
  <c r="B3" i="34"/>
  <c r="C6" i="12" s="1"/>
  <c r="C8" i="12"/>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5" i="31"/>
  <c r="S25" i="31" s="1"/>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D6" i="12" l="1"/>
  <c r="B21" i="31"/>
  <c r="C31" i="12"/>
  <c r="C23" i="12"/>
  <c r="B61" i="39"/>
  <c r="F61" i="39" s="1"/>
  <c r="B60" i="39"/>
  <c r="F60" i="39" s="1"/>
  <c r="B56" i="39"/>
  <c r="F56" i="39" s="1"/>
  <c r="B58" i="39"/>
  <c r="F58" i="39" s="1"/>
  <c r="B59" i="39"/>
  <c r="F59" i="39" s="1"/>
  <c r="B64" i="39"/>
  <c r="F64" i="39" s="1"/>
  <c r="B65" i="39"/>
  <c r="F65" i="39" s="1"/>
  <c r="B57" i="39"/>
  <c r="F57" i="39" s="1"/>
  <c r="B63" i="39"/>
  <c r="F63" i="39" s="1"/>
  <c r="B62" i="39"/>
  <c r="F62" i="39" s="1"/>
  <c r="C30" i="12" l="1"/>
  <c r="C28" i="12" s="1"/>
  <c r="C27" i="12"/>
  <c r="C25" i="12" s="1"/>
  <c r="F66" i="39"/>
  <c r="B2" i="39" s="1"/>
  <c r="C32" i="12" l="1"/>
  <c r="B2" i="12" s="1"/>
  <c r="B3" i="12" s="1"/>
  <c r="B3" i="39"/>
  <c r="C6" i="68"/>
  <c r="D19" i="9"/>
  <c r="D20" i="9"/>
  <c r="D102" i="9" l="1"/>
  <c r="D21" i="9"/>
  <c r="D103" i="9"/>
  <c r="C7" i="68"/>
  <c r="C5" i="68" s="1"/>
  <c r="C23" i="68" l="1"/>
  <c r="C20" i="68"/>
  <c r="H112" i="9"/>
  <c r="D21" i="53" s="1"/>
  <c r="B39" i="72" s="1"/>
  <c r="H111" i="9"/>
  <c r="D126" i="9" s="1"/>
  <c r="D19" i="53"/>
  <c r="D59" i="9"/>
  <c r="M55" i="9" s="1"/>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I45" i="9" s="1"/>
  <c r="D22" i="9"/>
  <c r="B3" i="68"/>
  <c r="H110" i="9"/>
  <c r="D18" i="53" s="1"/>
  <c r="B35" i="72" s="1"/>
  <c r="D124" i="9"/>
  <c r="D16" i="53"/>
  <c r="D34" i="9"/>
  <c r="D35" i="9"/>
  <c r="C20" i="9"/>
  <c r="D45" i="9" l="1"/>
  <c r="M48" i="9"/>
  <c r="C103" i="9"/>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s="1"/>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<sst xmlns="http://schemas.openxmlformats.org/spreadsheetml/2006/main" count="7927" uniqueCount="3408">
  <si>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</si>
  <si>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</si>
  <si>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</si>
  <si>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</si>
  <si>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</si>
  <si>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</si>
  <si>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</si>
  <si>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</si>
  <si>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</si>
  <si>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</si>
  <si>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</si>
  <si>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</si>
  <si>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</si>
  <si>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</si>
  <si>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</si>
  <si>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</si>
  <si>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</si>
  <si>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</si>
  <si>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</si>
  <si>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</si>
  <si>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</si>
  <si>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</si>
  <si>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</si>
  <si>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</si>
  <si>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</si>
  <si>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</si>
  <si>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</si>
  <si>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</si>
  <si>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</si>
  <si>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</si>
  <si>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</si>
  <si>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</si>
  <si>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</si>
  <si>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</si>
  <si>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</si>
  <si>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</si>
  <si>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</si>
  <si>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</si>
  <si>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</si>
  <si>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</si>
  <si>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</si>
  <si>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</si>
  <si>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</si>
  <si>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</si>
  <si>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</si>
  <si>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</si>
  <si>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</si>
  <si>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</si>
  <si>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</si>
  <si>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</si>
  <si>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</si>
  <si>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</si>
  <si>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</si>
  <si>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</si>
  <si>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</si>
  <si>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</si>
  <si>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</si>
  <si>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</si>
  <si>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</si>
  <si>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</si>
  <si>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</si>
  <si>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</si>
  <si>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</si>
  <si>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</si>
  <si>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</si>
  <si>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</si>
  <si>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</si>
  <si>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</si>
  <si>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</si>
  <si>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</si>
  <si>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</si>
  <si>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</si>
  <si>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</si>
  <si>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</si>
  <si>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</si>
  <si>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</si>
  <si>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</si>
  <si>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</si>
  <si>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</si>
  <si>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</si>
  <si>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</si>
  <si>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</si>
  <si>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</si>
  <si>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</si>
  <si>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</si>
  <si>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</si>
  <si>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</si>
  <si>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</si>
  <si>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</si>
  <si>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</si>
  <si>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</si>
  <si>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</si>
  <si>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</si>
  <si>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</si>
  <si>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</si>
  <si>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</si>
  <si>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</si>
  <si>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</si>
  <si>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</si>
  <si>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</si>
  <si>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</si>
  <si>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</si>
  <si>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</si>
  <si>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</si>
  <si>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</si>
  <si>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</si>
  <si>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</si>
  <si>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</si>
  <si>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</si>
  <si>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</si>
  <si>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</si>
  <si>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</si>
  <si>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</si>
  <si>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</si>
  <si>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</si>
  <si>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</si>
  <si>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</si>
  <si>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</si>
  <si>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</si>
  <si>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</si>
  <si>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</si>
  <si>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</si>
  <si>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</si>
  <si>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</si>
  <si>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</si>
  <si>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</si>
  <si>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</si>
  <si>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</si>
  <si>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</si>
  <si>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</si>
  <si>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</si>
  <si>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</si>
  <si>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</si>
  <si>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</si>
  <si>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</si>
  <si>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</si>
  <si>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</si>
  <si>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</si>
  <si>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</si>
  <si>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</si>
  <si>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</si>
  <si>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</si>
  <si>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</si>
  <si>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</si>
  <si>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</si>
  <si>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</si>
  <si>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</si>
  <si>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</si>
  <si>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</si>
  <si>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</si>
  <si>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</si>
  <si>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</si>
  <si>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</si>
  <si>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</si>
  <si>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</si>
  <si>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</si>
  <si>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</si>
  <si>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</si>
  <si>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</si>
  <si>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</si>
  <si>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</si>
  <si>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</si>
  <si>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</si>
  <si>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</si>
  <si>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</si>
  <si>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</si>
  <si>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</si>
  <si>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</si>
  <si>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</si>
  <si>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</si>
  <si>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</si>
  <si>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</si>
  <si>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</si>
  <si>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</si>
  <si>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</si>
  <si>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</si>
  <si>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</si>
  <si>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</si>
  <si>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</si>
  <si>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</si>
  <si>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</si>
  <si>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</si>
  <si>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</si>
  <si>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</si>
  <si>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</si>
  <si>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</si>
  <si>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</si>
  <si>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</si>
  <si>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</si>
  <si>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</si>
  <si>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</si>
  <si>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</si>
  <si>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</si>
  <si>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</si>
  <si>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</si>
  <si>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</si>
  <si>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</si>
  <si>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</si>
  <si>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</si>
  <si>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</si>
  <si>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</si>
  <si>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</si>
  <si>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</si>
  <si>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</si>
  <si>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</si>
  <si>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</si>
  <si>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</si>
  <si>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</si>
  <si>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</si>
  <si>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</si>
  <si>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</si>
  <si>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</si>
  <si>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</si>
  <si>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</si>
  <si>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</si>
  <si>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</si>
  <si>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</si>
  <si>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</si>
  <si>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</si>
  <si>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</si>
  <si>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</si>
  <si>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</si>
  <si>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</si>
  <si>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</si>
  <si>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</si>
  <si>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</si>
  <si>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</si>
  <si>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</si>
  <si>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</si>
  <si>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</si>
  <si>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</si>
  <si>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</si>
  <si>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</si>
  <si>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</si>
  <si>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</si>
  <si>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</si>
  <si>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</si>
  <si>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</si>
  <si>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</si>
  <si>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</si>
  <si>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</si>
  <si>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</si>
  <si>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</si>
  <si>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</si>
  <si>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</si>
  <si>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</si>
  <si>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</si>
  <si>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</si>
  <si>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</si>
  <si>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</si>
  <si>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</si>
  <si>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</si>
  <si>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</si>
  <si>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</si>
  <si>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</si>
  <si>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</si>
  <si>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</si>
  <si>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</si>
  <si>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</si>
  <si>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</si>
  <si>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</si>
  <si>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</si>
  <si>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</si>
  <si>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</si>
  <si>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</si>
  <si>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</si>
  <si>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</si>
  <si>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</si>
  <si>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</si>
  <si>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</si>
  <si>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</si>
  <si>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</si>
  <si>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</si>
  <si>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</si>
  <si>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</si>
  <si>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</si>
  <si>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</si>
  <si>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</si>
  <si>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</si>
  <si>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</si>
  <si>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</si>
  <si>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</si>
  <si>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</si>
  <si>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</si>
  <si>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</si>
  <si>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</si>
  <si>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</si>
  <si>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</si>
  <si>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</si>
  <si>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</si>
  <si>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</si>
  <si>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</si>
  <si>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</si>
  <si>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</si>
  <si>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</si>
  <si>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</si>
  <si>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</si>
  <si>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</si>
  <si>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</si>
  <si>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</si>
  <si>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</si>
  <si>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</si>
  <si>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</si>
  <si>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</si>
  <si>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</si>
  <si>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</si>
  <si>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</si>
  <si>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</si>
  <si>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</si>
  <si>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</si>
  <si>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</si>
  <si>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</si>
  <si>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</si>
  <si>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</si>
  <si>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</si>
  <si>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</si>
  <si>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</si>
  <si>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</si>
  <si>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</si>
  <si>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</si>
  <si>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</si>
  <si>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</si>
  <si>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</si>
  <si>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</si>
  <si>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</si>
  <si>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</si>
  <si>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</si>
  <si>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</si>
  <si>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</si>
  <si>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</si>
  <si>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</si>
  <si>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</si>
  <si>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</si>
  <si>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</si>
  <si>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</si>
  <si>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</si>
  <si>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</si>
  <si>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</si>
  <si>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</si>
  <si>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</si>
  <si>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</si>
  <si>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</si>
  <si>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</si>
  <si>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</si>
  <si>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</si>
  <si>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</si>
  <si>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</si>
  <si>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</si>
  <si>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</si>
  <si>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</si>
  <si>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</si>
  <si>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</si>
  <si>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</si>
  <si>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</si>
  <si>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</si>
  <si>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</si>
  <si>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</si>
  <si>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</si>
  <si>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</si>
  <si>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</si>
  <si>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</si>
  <si>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</si>
  <si>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</si>
  <si>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</si>
  <si>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</si>
  <si>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</si>
  <si>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</si>
  <si>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</si>
  <si>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</si>
  <si>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</si>
  <si>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</si>
  <si>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</si>
  <si>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</si>
  <si>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</si>
  <si>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</si>
  <si>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</si>
  <si>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</si>
  <si>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</si>
  <si>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</si>
  <si>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</si>
  <si>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</si>
  <si>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</si>
  <si>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</si>
  <si>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</si>
  <si>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</si>
  <si>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</si>
  <si>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</si>
  <si>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</si>
  <si>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</si>
  <si>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</si>
  <si>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</si>
  <si>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</si>
  <si>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</si>
  <si>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</si>
  <si>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</si>
  <si>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</si>
  <si>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</si>
  <si>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</si>
  <si>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</si>
  <si>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</si>
  <si>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</si>
  <si>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</si>
  <si>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</si>
  <si>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</si>
  <si>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</si>
  <si>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</si>
  <si>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</si>
  <si>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</si>
  <si>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</si>
  <si>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</si>
  <si>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</si>
  <si>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</si>
  <si>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</si>
  <si>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</si>
  <si>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</si>
  <si>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</si>
  <si>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</si>
  <si>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</si>
  <si>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</si>
  <si>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</si>
  <si>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</si>
  <si>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</si>
  <si>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</si>
  <si>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</si>
  <si>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</si>
  <si>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</si>
  <si>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</si>
  <si>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</si>
  <si>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</si>
  <si>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</si>
  <si>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</si>
  <si>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</si>
  <si>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</si>
  <si>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</si>
  <si>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</si>
  <si>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</si>
  <si>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</si>
  <si>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</si>
  <si>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</si>
  <si>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</si>
  <si>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</si>
  <si>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</si>
  <si>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</si>
  <si>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</si>
  <si>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</si>
  <si>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</si>
  <si>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</si>
  <si>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</si>
  <si>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</si>
  <si>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</si>
  <si>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</si>
  <si>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</si>
  <si>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</si>
  <si>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</si>
  <si>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</si>
  <si>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</si>
  <si>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</si>
  <si>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</si>
  <si>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</si>
  <si>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</si>
  <si>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</si>
  <si>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</si>
  <si>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</si>
  <si>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</si>
  <si>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</si>
  <si>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</si>
  <si>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</si>
  <si>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</si>
  <si>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</si>
  <si>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</si>
  <si>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</si>
  <si>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</si>
  <si>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</si>
  <si>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</si>
  <si>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</si>
  <si>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</si>
  <si>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</si>
  <si>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</si>
  <si>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</si>
  <si>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</si>
  <si>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</si>
  <si>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</si>
  <si>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</si>
  <si>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</si>
  <si>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</si>
  <si>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</si>
  <si>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</si>
  <si>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</si>
  <si>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</si>
  <si>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</si>
  <si>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</si>
  <si>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</si>
  <si>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</si>
  <si>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</si>
  <si>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</si>
  <si>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</si>
  <si>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</si>
  <si>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</si>
  <si>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</si>
  <si>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</si>
  <si>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</si>
  <si>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</si>
  <si>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</si>
  <si>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</si>
  <si>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</si>
  <si>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</si>
  <si>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</si>
  <si>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</si>
  <si>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</si>
  <si>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</si>
  <si>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</si>
  <si>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</si>
  <si>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</si>
  <si>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</si>
  <si>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</si>
  <si>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</si>
  <si>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</si>
  <si>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</si>
  <si>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</si>
  <si>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</si>
  <si>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</si>
  <si>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</si>
  <si>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</si>
  <si>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</si>
  <si>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</si>
  <si>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</si>
  <si>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</si>
  <si>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</si>
  <si>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</si>
  <si>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</si>
  <si>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</si>
  <si>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</si>
  <si>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</si>
  <si>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</si>
  <si>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</si>
  <si>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</si>
  <si>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</si>
  <si>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</si>
  <si>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</si>
  <si>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</si>
  <si>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</si>
  <si>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</si>
  <si>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</si>
  <si>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</si>
  <si>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</si>
  <si>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</si>
  <si>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</si>
  <si>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</si>
  <si>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</si>
  <si>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</si>
  <si>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</si>
  <si>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</si>
  <si>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</si>
  <si>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</si>
  <si>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</si>
  <si>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</si>
  <si>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</si>
  <si>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</si>
  <si>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</si>
  <si>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</si>
  <si>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</si>
  <si>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</si>
  <si>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</si>
  <si>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</si>
  <si>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</si>
  <si>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</si>
  <si>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</si>
  <si>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</si>
  <si>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</si>
  <si>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</si>
  <si>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</si>
  <si>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</si>
  <si>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</si>
  <si>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</si>
  <si>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</si>
  <si>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</si>
  <si>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</si>
  <si>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</si>
  <si>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</si>
  <si>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</si>
  <si>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</si>
  <si>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</si>
  <si>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</si>
  <si>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</si>
  <si>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</si>
  <si>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</si>
  <si>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</si>
  <si>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</si>
  <si>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</si>
  <si>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</si>
  <si>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</si>
  <si>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</si>
  <si>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</si>
  <si>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</si>
  <si>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</si>
  <si>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</si>
  <si>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</si>
  <si>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</si>
  <si>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</si>
  <si>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</si>
  <si>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</si>
  <si>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</si>
  <si>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</si>
  <si>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</si>
  <si>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</si>
  <si>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</si>
  <si>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</si>
  <si>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</si>
  <si>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</si>
  <si>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</si>
  <si>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</si>
  <si>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</si>
  <si>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</si>
  <si>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</si>
  <si>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</si>
  <si>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</si>
  <si>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</si>
  <si>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</si>
  <si>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</si>
  <si>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</si>
  <si>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</si>
  <si>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</si>
  <si>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</si>
  <si>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</si>
  <si>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</si>
  <si>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</si>
  <si>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</si>
  <si>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</si>
  <si>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</si>
  <si>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</si>
  <si>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</si>
  <si>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</si>
  <si>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</si>
  <si>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</si>
  <si>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</si>
  <si>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</si>
  <si>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</si>
  <si>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</si>
  <si>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</si>
  <si>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</si>
  <si>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</si>
  <si>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</si>
  <si>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</si>
  <si>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</si>
  <si>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</si>
  <si>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</si>
  <si>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</si>
  <si>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</si>
  <si>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</si>
  <si>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</si>
  <si>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</si>
  <si>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</si>
  <si>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</si>
  <si>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</si>
  <si>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</si>
  <si>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</si>
  <si>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</si>
  <si>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</si>
  <si>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</si>
  <si>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</si>
  <si>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</si>
  <si>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</si>
  <si>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</si>
  <si>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</si>
  <si>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</si>
  <si>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</si>
  <si>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</si>
  <si>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</si>
  <si>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</si>
  <si>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</si>
  <si>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</si>
  <si>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</si>
  <si>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</si>
  <si>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</si>
  <si>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</si>
  <si>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</si>
  <si>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</si>
  <si>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</si>
  <si>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</si>
  <si>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</si>
  <si>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</si>
  <si>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</si>
  <si>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</si>
  <si>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</si>
  <si>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</si>
  <si>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</si>
  <si>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</si>
  <si>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</si>
  <si>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</si>
  <si>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</si>
  <si>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</si>
  <si>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</si>
  <si>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</si>
  <si>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</si>
  <si>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</si>
  <si>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</si>
  <si>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</si>
  <si>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</si>
  <si>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</si>
  <si>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</si>
  <si>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</si>
  <si>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</si>
  <si>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</si>
  <si>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</si>
  <si>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</si>
  <si>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</si>
  <si>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</si>
  <si>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</si>
  <si>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</si>
  <si>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</si>
  <si>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</si>
  <si>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</si>
  <si>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</si>
  <si>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</si>
  <si>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</si>
  <si>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</si>
  <si>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</si>
  <si>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</si>
  <si>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</si>
  <si>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</si>
  <si>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</si>
  <si>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</si>
  <si>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</si>
  <si>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</si>
  <si>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</si>
  <si>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</si>
  <si>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</si>
  <si>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</si>
  <si>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</si>
  <si>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</si>
  <si>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</si>
  <si>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</si>
  <si>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</si>
  <si>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</si>
  <si>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</si>
  <si>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</si>
  <si>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</si>
  <si>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</si>
  <si>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</si>
  <si>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</si>
  <si>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</si>
  <si>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</si>
  <si>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</si>
  <si>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</si>
  <si>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</si>
  <si>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</si>
  <si>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</si>
  <si>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</si>
  <si>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</si>
  <si>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</si>
  <si>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</si>
  <si>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</si>
  <si>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</si>
  <si>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</si>
  <si>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</si>
  <si>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</si>
  <si>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</si>
  <si>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</si>
  <si>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</si>
  <si>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</si>
  <si>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</si>
  <si>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</si>
  <si>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</si>
  <si>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</si>
  <si>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</si>
  <si>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</si>
  <si>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</si>
  <si>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</si>
  <si>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</si>
  <si>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</si>
  <si>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</si>
  <si>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</si>
  <si>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</si>
  <si>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</si>
  <si>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</si>
  <si>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</si>
  <si>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</si>
  <si>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</si>
  <si>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</si>
  <si>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</si>
  <si>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</si>
  <si>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</si>
  <si>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</si>
  <si>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</si>
  <si>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</si>
  <si>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</si>
  <si>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</si>
  <si>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</si>
  <si>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</si>
  <si>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</si>
  <si>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</si>
  <si>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</si>
  <si>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</si>
  <si>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</si>
  <si>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</si>
  <si>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</si>
  <si>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</si>
  <si>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</si>
  <si>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</si>
  <si>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</si>
  <si>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</si>
  <si>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</si>
  <si>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</si>
  <si>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</si>
  <si>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</si>
  <si>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</si>
  <si>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</si>
  <si>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</si>
  <si>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</si>
  <si>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</si>
  <si>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</si>
  <si>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</si>
  <si>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</si>
  <si>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</si>
  <si>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</si>
  <si>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</si>
  <si>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</si>
  <si>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</si>
  <si>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</si>
  <si>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</si>
  <si>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</si>
  <si>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</si>
  <si>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</si>
  <si>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</si>
  <si>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</si>
  <si>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</si>
  <si>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</si>
  <si>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</si>
  <si>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</si>
  <si>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</si>
  <si>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</si>
  <si>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</si>
  <si>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</si>
  <si>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</si>
  <si>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</si>
  <si>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</si>
  <si>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</si>
  <si>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</si>
  <si>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</si>
  <si>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</si>
  <si>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</si>
  <si>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</si>
  <si>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</si>
  <si>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</si>
  <si>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</si>
  <si>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</si>
  <si>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</si>
  <si>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</si>
  <si>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</si>
  <si>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</si>
  <si>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</si>
  <si>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</si>
  <si>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</si>
  <si>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</si>
  <si>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</si>
  <si>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</si>
  <si>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</si>
  <si>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</si>
  <si>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</si>
  <si>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</si>
  <si>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</si>
  <si>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</si>
  <si>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</si>
  <si>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</si>
  <si>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</si>
  <si>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</si>
  <si>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</si>
  <si>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</si>
  <si>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</si>
  <si>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</si>
  <si>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</si>
  <si>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</si>
  <si>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</si>
  <si>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</si>
  <si>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</si>
  <si>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</si>
  <si>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</si>
  <si>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</si>
  <si>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</si>
  <si>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</si>
  <si>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</si>
  <si>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</si>
  <si>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</si>
  <si>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</si>
  <si>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</si>
  <si>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</si>
  <si>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</si>
  <si>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</si>
  <si>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</si>
  <si>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</si>
  <si>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</si>
  <si>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</si>
  <si>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</si>
  <si>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</si>
  <si>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</si>
  <si>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</si>
  <si>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</si>
  <si>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</si>
  <si>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</si>
  <si>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</si>
  <si>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</si>
  <si>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</si>
  <si>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</si>
  <si>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</si>
  <si>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</si>
  <si>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</si>
  <si>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</si>
  <si>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</si>
  <si>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</si>
  <si>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</si>
  <si>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</si>
  <si>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</si>
  <si>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</si>
  <si>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</si>
  <si>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</si>
  <si>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</si>
  <si>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</si>
  <si>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</si>
  <si>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</si>
  <si>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</si>
  <si>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</si>
  <si>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</si>
  <si>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</si>
  <si>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</si>
  <si>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</si>
  <si>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</si>
  <si>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</si>
  <si>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</si>
  <si>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</si>
  <si>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</si>
  <si>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</si>
  <si>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</si>
  <si>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</si>
  <si>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</si>
  <si>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</si>
  <si>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</si>
  <si>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</si>
  <si>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</si>
  <si>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</si>
  <si>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</si>
  <si>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</si>
  <si>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</si>
  <si>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</si>
  <si>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</si>
  <si>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</si>
  <si>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</si>
  <si>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</si>
  <si>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</si>
  <si>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</si>
  <si>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</si>
  <si>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</si>
  <si>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</si>
  <si>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</si>
  <si>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</si>
  <si>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</si>
  <si>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</si>
  <si>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</si>
  <si>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</si>
  <si>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</si>
  <si>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</si>
  <si>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</si>
  <si>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</si>
  <si>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</si>
  <si>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</si>
  <si>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</si>
  <si>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</si>
  <si>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</si>
  <si>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</si>
  <si>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</si>
  <si>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</si>
  <si>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</si>
  <si>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</si>
  <si>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</si>
  <si>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</si>
  <si>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</si>
  <si>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</si>
  <si>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</si>
  <si>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</si>
  <si>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</si>
  <si>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</si>
  <si>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</si>
  <si>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</si>
  <si>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</si>
  <si>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</si>
  <si>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</si>
  <si>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</si>
  <si>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</si>
  <si>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</si>
  <si>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</si>
  <si>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</si>
  <si>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</si>
  <si>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</si>
  <si>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</si>
  <si>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</si>
  <si>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</si>
  <si>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</si>
  <si>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</si>
  <si>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</si>
  <si>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</si>
  <si>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</si>
  <si>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</si>
  <si>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</si>
  <si>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</si>
  <si>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</si>
  <si>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</si>
  <si>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</si>
  <si>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</si>
  <si>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</si>
  <si>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</si>
  <si>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</si>
  <si>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</si>
  <si>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</si>
  <si>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</si>
  <si>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</si>
  <si>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</si>
  <si>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</si>
  <si>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</si>
  <si>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</si>
  <si>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</si>
  <si>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</si>
  <si>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</si>
  <si>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</si>
  <si>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</si>
  <si>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</si>
  <si>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</si>
  <si>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</si>
  <si>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</si>
  <si>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</si>
  <si>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</si>
  <si>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</si>
  <si>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</si>
  <si>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</si>
  <si>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</si>
  <si>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</si>
  <si>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</si>
  <si>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</si>
  <si>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</si>
  <si>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</si>
  <si>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</si>
  <si>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</si>
  <si>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</si>
  <si>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</si>
  <si>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</si>
  <si>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</si>
  <si>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</si>
  <si>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</si>
  <si>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</si>
  <si>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</si>
  <si>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</si>
  <si>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</si>
  <si>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</si>
  <si>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</si>
  <si>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</si>
  <si>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</si>
  <si>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</si>
  <si>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</si>
  <si>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</si>
  <si>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</si>
  <si>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</si>
  <si>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</si>
  <si>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</si>
  <si>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</si>
  <si>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</si>
  <si>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</si>
  <si>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</si>
  <si>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</si>
  <si>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</si>
  <si>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</si>
  <si>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</si>
  <si>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</si>
  <si>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</si>
  <si>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</si>
  <si>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</si>
  <si>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</si>
  <si>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</si>
  <si>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</si>
  <si>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</si>
  <si>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</si>
  <si>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</si>
  <si>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</si>
  <si>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</si>
  <si>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</si>
  <si>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</si>
  <si>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</si>
  <si>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</si>
  <si>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</si>
  <si>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</si>
  <si>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</si>
  <si>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</si>
  <si>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</si>
  <si>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</si>
  <si>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</si>
  <si>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</si>
  <si>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</si>
  <si>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</si>
  <si>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</si>
  <si>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</si>
  <si>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</si>
  <si>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</si>
  <si>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</si>
  <si>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</si>
  <si>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</si>
  <si>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</si>
  <si>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</si>
  <si>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</si>
  <si>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</si>
  <si>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</si>
  <si>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</si>
  <si>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</si>
  <si>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</si>
  <si>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</si>
  <si>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</si>
  <si>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</si>
  <si>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</si>
  <si>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</si>
  <si>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</si>
  <si>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</si>
  <si>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</si>
  <si>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</si>
  <si>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</si>
  <si>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</si>
  <si>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</si>
  <si>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</si>
  <si>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</si>
  <si>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</si>
  <si>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</si>
  <si>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</si>
  <si>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</si>
  <si>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</si>
  <si>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</si>
  <si>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</si>
  <si>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</si>
  <si>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</si>
  <si>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</si>
  <si>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</si>
  <si>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</si>
  <si>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</si>
  <si>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</si>
  <si>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</si>
  <si>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</si>
  <si>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</si>
  <si>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</si>
  <si>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</si>
  <si>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</si>
  <si>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</si>
  <si>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</si>
  <si>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</si>
  <si>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</si>
  <si>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</si>
  <si>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</si>
  <si>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</si>
  <si>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</si>
  <si>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</si>
  <si>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</si>
  <si>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</si>
  <si>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</si>
  <si>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</si>
  <si>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</si>
  <si>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</si>
  <si>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</si>
  <si>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</si>
  <si>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</si>
  <si>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</si>
  <si>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</si>
  <si>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</si>
  <si>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</si>
  <si>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</si>
  <si>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</si>
  <si>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</si>
  <si>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</si>
  <si>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</si>
  <si>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</si>
  <si>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</si>
  <si>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</si>
  <si>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</si>
  <si>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</si>
  <si>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</si>
  <si>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</si>
  <si>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</si>
  <si>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</si>
  <si>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</si>
  <si>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</si>
  <si>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</si>
  <si>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</si>
  <si>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</si>
  <si>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</si>
  <si>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</si>
  <si>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</si>
  <si>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</si>
  <si>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</si>
  <si>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</si>
  <si>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</si>
  <si>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</si>
  <si>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</si>
  <si>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</si>
  <si>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</si>
  <si>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</si>
  <si>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</si>
  <si>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</si>
  <si>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</si>
  <si>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</si>
  <si>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</si>
  <si>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</si>
  <si>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</si>
  <si>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</si>
  <si>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</si>
  <si>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</si>
  <si>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</si>
  <si>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</si>
  <si>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</si>
  <si>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</si>
  <si>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</si>
  <si>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</si>
  <si>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</si>
  <si>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</si>
  <si>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</si>
  <si>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</si>
  <si>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</si>
  <si>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</si>
  <si>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</si>
  <si>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</si>
  <si>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</si>
  <si>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</si>
  <si>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</si>
  <si>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</si>
  <si>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</si>
  <si>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</si>
  <si>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</si>
  <si>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</si>
  <si>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</si>
  <si>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</si>
  <si>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</si>
  <si>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</si>
  <si>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</si>
  <si>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</si>
  <si>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</si>
  <si>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</si>
  <si>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</si>
  <si>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</si>
  <si>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</si>
  <si>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</si>
  <si>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</si>
  <si>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</si>
  <si>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</si>
  <si>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</si>
  <si>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</si>
  <si>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</si>
  <si>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</si>
  <si>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</si>
  <si>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</si>
  <si>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</si>
  <si>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</si>
  <si>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</si>
  <si>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</si>
  <si>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</si>
  <si>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</si>
  <si>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</si>
  <si>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</si>
  <si>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</si>
  <si>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</si>
  <si>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</si>
  <si>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</si>
  <si>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</si>
  <si>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</si>
  <si>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</si>
  <si>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</si>
  <si>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</si>
  <si>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</si>
  <si>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</si>
  <si>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</si>
  <si>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</si>
  <si>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</si>
  <si>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</si>
  <si>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</si>
  <si>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</si>
  <si>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</si>
  <si>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</si>
  <si>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</si>
  <si>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</si>
  <si>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</si>
  <si>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</si>
  <si>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</si>
  <si>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</si>
  <si>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</si>
  <si>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</si>
  <si>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</si>
  <si>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</si>
  <si>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</si>
  <si>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</si>
  <si>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</si>
  <si>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</si>
  <si>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</si>
  <si>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</si>
  <si>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</si>
  <si>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</si>
  <si>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</si>
  <si>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</si>
  <si>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</si>
  <si>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</si>
  <si>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</si>
  <si>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</si>
  <si>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</si>
  <si>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</si>
  <si>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</si>
  <si>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</si>
  <si>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</si>
  <si>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</si>
  <si>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</si>
  <si>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</si>
  <si>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</si>
  <si>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</si>
  <si>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</si>
  <si>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</si>
  <si>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</si>
  <si>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</si>
  <si>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</si>
  <si>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</si>
  <si>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</si>
  <si>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</si>
  <si>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</si>
  <si>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</si>
  <si>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</si>
  <si>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</si>
  <si>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</si>
  <si>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</si>
  <si>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</si>
  <si>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</si>
  <si>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</si>
  <si>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</si>
  <si>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</si>
  <si>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</si>
  <si>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</si>
  <si>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</si>
  <si>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</si>
  <si>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</si>
  <si>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</si>
  <si>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</si>
  <si>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</si>
  <si>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</si>
  <si>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</si>
  <si>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</si>
  <si>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</si>
  <si>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</si>
  <si>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</si>
  <si>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</si>
  <si>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</si>
  <si>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</si>
  <si>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</si>
  <si>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</si>
  <si>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</si>
  <si>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</si>
  <si>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</si>
  <si>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</si>
  <si>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</si>
  <si>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</si>
  <si>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</si>
  <si>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</si>
  <si>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</si>
  <si>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</si>
  <si>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</si>
  <si>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</si>
  <si>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</si>
  <si>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</si>
  <si>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</si>
  <si>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</si>
  <si>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</si>
  <si>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</si>
  <si>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</si>
  <si>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</si>
  <si>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</si>
  <si>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</si>
  <si>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</si>
  <si>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</si>
  <si>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</si>
  <si>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</si>
  <si>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</si>
  <si>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</si>
  <si>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</si>
  <si>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</si>
  <si>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</si>
  <si>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</si>
  <si>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</si>
  <si>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</si>
  <si>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</si>
  <si>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</si>
  <si>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</si>
  <si>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</si>
  <si>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</si>
  <si>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</si>
  <si>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</si>
  <si>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</si>
  <si>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</si>
  <si>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</si>
  <si>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</si>
  <si>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</si>
  <si>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</si>
  <si>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</si>
  <si>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</si>
  <si>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</si>
  <si>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</si>
  <si>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</si>
  <si>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</si>
  <si>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</si>
  <si>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</si>
  <si>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</si>
  <si>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</si>
  <si>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</si>
  <si>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</si>
  <si>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</si>
  <si>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</si>
  <si>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</si>
  <si>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</si>
  <si>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</si>
  <si>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</si>
  <si>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</si>
  <si>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</si>
  <si>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</si>
  <si>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</si>
  <si>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</si>
  <si>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</si>
  <si>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</si>
  <si>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</si>
  <si>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</si>
  <si>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</si>
  <si>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</si>
  <si>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</si>
  <si>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</si>
  <si>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</si>
  <si>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</si>
  <si>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</si>
  <si>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</si>
  <si>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</si>
  <si>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</si>
  <si>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</si>
  <si>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</si>
  <si>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</si>
  <si>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</si>
  <si>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</si>
  <si>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</si>
  <si>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</si>
  <si>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</si>
  <si>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</si>
  <si>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</si>
  <si>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</si>
  <si>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</si>
  <si>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</si>
  <si>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</si>
  <si>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</si>
  <si>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</si>
  <si>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</si>
  <si>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</si>
  <si>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</si>
  <si>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</si>
  <si>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</si>
  <si>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</si>
  <si>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</si>
  <si>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</si>
  <si>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</si>
  <si>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</si>
  <si>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</si>
  <si>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</si>
  <si>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</si>
  <si>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</si>
  <si>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</si>
  <si>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</si>
  <si>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</si>
  <si>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</si>
  <si>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</si>
  <si>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</si>
  <si>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</si>
  <si>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</si>
  <si>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</si>
  <si>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</si>
  <si>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</si>
  <si>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</si>
  <si>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</si>
  <si>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</si>
  <si>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</si>
  <si>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</si>
  <si>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</si>
  <si>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</si>
  <si>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</si>
  <si>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</si>
  <si>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</si>
  <si>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</si>
  <si>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</si>
  <si>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</si>
  <si>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</si>
  <si>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</si>
  <si>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</si>
  <si>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</si>
  <si>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</si>
  <si>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</si>
  <si>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</si>
  <si>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</si>
  <si>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</si>
  <si>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</si>
  <si>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</si>
  <si>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</si>
  <si>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</si>
  <si>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</si>
  <si>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</si>
  <si>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</si>
  <si>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</si>
  <si>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</si>
  <si>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</si>
  <si>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</si>
  <si>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</si>
  <si>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</si>
  <si>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</si>
  <si>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</si>
  <si>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</si>
  <si>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</si>
  <si>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</si>
  <si>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</si>
  <si>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</si>
  <si>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</si>
  <si>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</si>
  <si>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</si>
  <si>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</si>
  <si>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</si>
  <si>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</si>
  <si>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</si>
  <si>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</si>
  <si>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</si>
  <si>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</si>
  <si>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</si>
  <si>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</si>
  <si>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</si>
  <si>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</si>
  <si>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</si>
  <si>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</si>
  <si>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</si>
  <si>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</si>
  <si>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</si>
  <si>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</si>
  <si>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</si>
  <si>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</si>
  <si>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</si>
  <si>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</si>
  <si>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</si>
  <si>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</si>
  <si>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</si>
  <si>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</si>
  <si>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</si>
  <si>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</si>
  <si>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</si>
  <si>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</si>
  <si>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</si>
  <si>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</si>
  <si>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</si>
  <si>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</si>
  <si>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</si>
  <si>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</si>
  <si>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</si>
  <si>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</si>
  <si>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</si>
  <si>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</si>
  <si>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</si>
  <si>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</si>
  <si>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</si>
  <si>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</si>
  <si>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</si>
  <si>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</si>
  <si>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</si>
  <si>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</si>
  <si>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</si>
  <si>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</si>
  <si>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</si>
  <si>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</si>
  <si>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</si>
  <si>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</si>
  <si>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</si>
  <si>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</si>
  <si>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</si>
  <si>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</si>
  <si>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</si>
  <si>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</si>
  <si>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</si>
  <si>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</si>
  <si>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</si>
  <si>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</si>
  <si>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</si>
  <si>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</si>
  <si>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</si>
  <si>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</si>
  <si>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</si>
  <si>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</si>
  <si>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</si>
  <si>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</si>
  <si>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</si>
  <si>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</si>
  <si>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</si>
  <si>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</si>
  <si>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</si>
  <si>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</si>
  <si>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</si>
  <si>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</si>
  <si>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</si>
  <si>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</si>
  <si>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</si>
  <si>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</si>
  <si>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</si>
  <si>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</si>
  <si>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</si>
  <si>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</si>
  <si>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</si>
  <si>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</si>
  <si>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</si>
  <si>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</si>
  <si>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</si>
  <si>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</si>
  <si>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</si>
  <si>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</si>
  <si>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</si>
  <si>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</si>
  <si>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</si>
  <si>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</si>
  <si>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</si>
  <si>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</si>
  <si>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</si>
  <si>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</si>
  <si>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</si>
  <si>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</si>
  <si>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</si>
  <si>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</si>
  <si>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</si>
  <si>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</si>
  <si>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</si>
  <si>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</si>
  <si>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</si>
  <si>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</si>
  <si>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</si>
  <si>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</si>
  <si>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</si>
  <si>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</si>
  <si>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</si>
  <si>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</si>
  <si>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</si>
  <si>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</si>
  <si>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</si>
  <si>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</si>
  <si>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</si>
  <si>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</si>
  <si>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</si>
  <si>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</si>
  <si>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</si>
  <si>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</si>
  <si>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</si>
  <si>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</si>
  <si>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</si>
  <si>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</si>
  <si>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</si>
  <si>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</si>
  <si>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</si>
  <si>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</si>
  <si>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</si>
  <si>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</si>
  <si>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</si>
  <si>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</si>
  <si>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</si>
  <si>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</si>
  <si>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</si>
  <si>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</si>
  <si>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</si>
  <si>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</si>
  <si>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</si>
  <si>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</si>
  <si>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</si>
  <si>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</si>
  <si>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</si>
  <si>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</si>
  <si>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</si>
  <si>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</si>
  <si>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</si>
  <si>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</si>
  <si>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</si>
  <si>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</si>
  <si>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</si>
  <si>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</si>
  <si>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</si>
  <si>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</si>
  <si>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</si>
  <si>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</si>
  <si>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</si>
  <si>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</si>
  <si>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</si>
  <si>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</si>
  <si>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</si>
  <si>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</si>
  <si>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</si>
  <si>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</si>
  <si>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</si>
  <si>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</si>
  <si>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</si>
  <si>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</si>
  <si>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</si>
  <si>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</si>
  <si>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</si>
  <si>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</si>
  <si>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</si>
  <si>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</si>
  <si>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</si>
  <si>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</si>
  <si>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</si>
  <si>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</si>
  <si>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</si>
  <si>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</si>
  <si>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</si>
  <si>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</si>
  <si>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</si>
  <si>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</si>
  <si>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</si>
  <si>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</si>
  <si>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</si>
  <si>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</si>
  <si>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</si>
  <si>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</si>
  <si>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</si>
  <si>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</si>
  <si>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</si>
  <si>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</si>
  <si>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</si>
  <si>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</si>
  <si>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</si>
  <si>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</si>
  <si>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</si>
  <si>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</si>
  <si>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</si>
  <si>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</si>
  <si>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</si>
  <si>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</si>
  <si>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</si>
  <si>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</si>
  <si>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</si>
  <si>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</si>
  <si>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</si>
  <si>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</si>
  <si>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</si>
  <si>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</si>
  <si>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</si>
  <si>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</si>
  <si>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</si>
  <si>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</si>
  <si>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</si>
  <si>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</si>
  <si>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</si>
  <si>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</si>
  <si>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</si>
  <si>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</si>
  <si>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</si>
  <si>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</si>
  <si>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</si>
  <si>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</si>
  <si>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</si>
  <si>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</si>
  <si>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</si>
  <si>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</si>
  <si>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</si>
  <si>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</si>
  <si>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</si>
  <si>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</si>
  <si>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</si>
  <si>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</si>
  <si>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</si>
  <si>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</si>
  <si>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</si>
  <si>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</si>
  <si>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</si>
  <si>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</si>
  <si>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</si>
  <si>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</si>
  <si>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</si>
  <si>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</si>
  <si>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</si>
  <si>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</si>
  <si>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</si>
  <si>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</si>
  <si>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</si>
  <si>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</si>
  <si>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</si>
  <si>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</si>
  <si>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</si>
  <si>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</si>
  <si>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</si>
  <si>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</si>
  <si>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</si>
  <si>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</si>
  <si>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</si>
  <si>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</si>
  <si>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</si>
  <si>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</si>
  <si>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</si>
  <si>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</si>
  <si>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</si>
  <si>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</si>
  <si>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</si>
  <si>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</si>
  <si>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</si>
  <si>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</si>
  <si>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</si>
  <si>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</si>
  <si>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</si>
  <si>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</si>
  <si>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</si>
  <si>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</si>
  <si>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</si>
  <si>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</si>
  <si>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</si>
  <si>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</si>
  <si>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</si>
  <si>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</si>
  <si>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</si>
  <si>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</si>
  <si>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</si>
  <si>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</si>
  <si>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</si>
  <si>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</si>
  <si>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</si>
  <si>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</si>
  <si>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</si>
  <si>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</si>
  <si>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</si>
  <si>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</si>
  <si>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</si>
  <si>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</si>
  <si>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</si>
  <si>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</si>
  <si>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</si>
  <si>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</si>
  <si>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</si>
  <si>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</si>
  <si>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</si>
  <si>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</si>
  <si>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</si>
  <si>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</si>
  <si>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</si>
  <si>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</si>
  <si>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</si>
  <si>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</si>
  <si>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</si>
  <si>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</si>
  <si>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</si>
  <si>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</si>
  <si>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</si>
  <si>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</si>
  <si>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</si>
  <si>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</si>
  <si>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</si>
  <si>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</si>
  <si>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</si>
  <si>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</si>
  <si>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</si>
  <si>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</si>
  <si>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</si>
  <si>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</si>
  <si>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</si>
  <si>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</si>
  <si>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</si>
  <si>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</si>
  <si>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</si>
  <si>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</si>
  <si>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</si>
  <si>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</si>
  <si>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</si>
  <si>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</si>
  <si>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</si>
  <si>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</si>
  <si>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</si>
  <si>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</si>
  <si>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</si>
  <si>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</si>
  <si>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</si>
  <si>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</si>
  <si>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</si>
  <si>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</si>
  <si>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</si>
  <si>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</si>
  <si>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</si>
  <si>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</si>
  <si>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</si>
  <si>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</si>
  <si>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</si>
  <si>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</si>
  <si>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</si>
  <si>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</si>
  <si>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</si>
  <si>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</si>
  <si>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</si>
  <si>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</si>
  <si>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</si>
  <si>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</si>
  <si>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</si>
  <si>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</si>
  <si>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</si>
  <si>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</si>
  <si>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</si>
  <si>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</si>
  <si>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</si>
  <si>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</si>
  <si>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</si>
  <si>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</si>
  <si>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</si>
  <si>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</si>
  <si>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</si>
  <si>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</si>
  <si>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</si>
  <si>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</si>
  <si>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</si>
  <si>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</si>
  <si>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</si>
  <si>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</si>
  <si>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</si>
  <si>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</si>
  <si>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</si>
  <si>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</si>
  <si>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</si>
  <si>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</si>
  <si>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</si>
  <si>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</si>
  <si>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</si>
  <si>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</si>
  <si>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</si>
  <si>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</si>
  <si>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</si>
  <si>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</si>
  <si>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</si>
  <si>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</si>
  <si>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</si>
  <si>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</si>
  <si>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</si>
  <si>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</si>
  <si>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</si>
  <si>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</si>
  <si>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</si>
  <si>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</si>
  <si>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</si>
  <si>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</si>
  <si>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</si>
  <si>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</si>
  <si>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</si>
  <si>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</si>
  <si>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</si>
  <si>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</si>
  <si>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</si>
  <si>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</si>
  <si>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</si>
  <si>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</si>
  <si>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</si>
  <si>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</si>
  <si>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</si>
  <si>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</si>
  <si>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</si>
  <si>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</si>
  <si>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</si>
  <si>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</si>
  <si>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</si>
  <si>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</si>
  <si>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</si>
  <si>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</si>
  <si>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</si>
  <si>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</si>
  <si>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</si>
  <si>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</si>
  <si>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</si>
  <si>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</si>
  <si>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</si>
  <si>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</si>
  <si>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</si>
  <si>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</si>
  <si>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</si>
  <si>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</si>
  <si>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</si>
  <si>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</si>
  <si>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</si>
  <si>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</si>
  <si>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</si>
  <si>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</si>
  <si>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</si>
  <si>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</si>
  <si>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</si>
  <si>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</si>
  <si>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</si>
  <si>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</si>
  <si>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</si>
  <si>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</si>
  <si>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</si>
  <si>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</si>
  <si>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</si>
  <si>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</si>
  <si>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</si>
  <si>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</si>
  <si>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</si>
  <si>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</si>
  <si>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</si>
  <si>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</si>
  <si>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</si>
  <si>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</si>
  <si>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</si>
  <si>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</si>
  <si>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</si>
  <si>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</si>
  <si>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</si>
  <si>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</si>
  <si>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</si>
  <si>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</si>
  <si>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</si>
  <si>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</si>
  <si>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</si>
  <si>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</si>
  <si>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</si>
  <si>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</si>
  <si>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</si>
  <si>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</si>
  <si>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</si>
  <si>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</si>
  <si>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</si>
  <si>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</si>
  <si>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</si>
  <si>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</si>
  <si>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</si>
  <si>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</si>
  <si>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</si>
  <si>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</si>
  <si>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</si>
  <si>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</si>
  <si>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</si>
  <si>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</si>
  <si>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</si>
  <si>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</si>
  <si>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</si>
  <si>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</si>
  <si>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</si>
  <si>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</si>
  <si>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</si>
  <si>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</si>
  <si>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</si>
  <si>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</si>
  <si>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</si>
  <si>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</si>
  <si>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</si>
  <si>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</si>
  <si>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</si>
  <si>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</si>
  <si>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</si>
  <si>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</si>
  <si>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</si>
  <si>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</si>
  <si>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</si>
  <si>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</si>
  <si>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</si>
  <si>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</si>
  <si>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</si>
  <si>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</si>
  <si>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</si>
  <si>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</si>
  <si>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</si>
  <si>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</si>
  <si>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</si>
  <si>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</si>
  <si>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</si>
  <si>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</si>
  <si>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</si>
  <si>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</si>
  <si>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</si>
  <si>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</si>
  <si>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</si>
  <si>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</si>
  <si>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</si>
  <si>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</si>
  <si>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</si>
  <si>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</si>
  <si>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</si>
  <si>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</si>
  <si>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</si>
  <si>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</si>
  <si>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</si>
  <si>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</si>
  <si>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</si>
  <si>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</si>
  <si>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</si>
  <si>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</si>
  <si>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</si>
  <si>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</si>
  <si>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</si>
  <si>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</si>
  <si>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</si>
  <si>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</si>
  <si>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</si>
  <si>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</si>
  <si>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</si>
  <si>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</si>
  <si>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</si>
  <si>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</si>
  <si>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</si>
  <si>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</si>
  <si>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</si>
  <si>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</si>
  <si>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</si>
  <si>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</si>
  <si>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</si>
  <si>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</si>
  <si>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</si>
  <si>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</si>
  <si>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</si>
  <si>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</si>
  <si>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</si>
  <si>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</si>
  <si>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</si>
  <si>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</si>
  <si>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</si>
  <si>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</si>
  <si>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</si>
  <si>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</si>
  <si>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</si>
  <si>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</si>
  <si>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</si>
  <si>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</si>
  <si>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</si>
  <si>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</si>
  <si>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</si>
  <si>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</si>
  <si>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</si>
  <si>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</si>
  <si>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</si>
  <si>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</si>
  <si>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</si>
  <si>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</si>
  <si>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</si>
  <si>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</si>
  <si>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</si>
  <si>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</si>
  <si>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</si>
  <si>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</si>
  <si>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</si>
  <si>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</si>
  <si>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</si>
  <si>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</si>
  <si>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</si>
  <si>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</si>
  <si>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</si>
  <si>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</si>
  <si>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</si>
  <si>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</si>
  <si>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</si>
  <si>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</si>
  <si>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</si>
  <si>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</si>
  <si>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</si>
  <si>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</si>
  <si>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</si>
  <si>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</si>
  <si>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</si>
  <si>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</si>
  <si>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</si>
  <si>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</si>
  <si>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</si>
  <si>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</si>
  <si>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</si>
  <si>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</si>
  <si>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</si>
  <si>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</si>
  <si>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</si>
  <si>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</si>
  <si>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</si>
  <si>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</si>
  <si>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</si>
  <si>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</si>
  <si>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</si>
  <si>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</si>
  <si>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</si>
  <si>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</si>
  <si>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</si>
  <si>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</si>
  <si>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</si>
  <si>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</si>
  <si>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</si>
  <si>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</si>
  <si>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</si>
  <si>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</si>
  <si>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</si>
  <si>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</si>
  <si>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</si>
  <si>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</si>
  <si>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</si>
  <si>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</si>
  <si>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</si>
  <si>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</si>
  <si>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</si>
  <si>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</si>
  <si>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</si>
  <si>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</si>
  <si>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</si>
  <si>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</si>
  <si>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</si>
  <si>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</si>
  <si>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</si>
  <si>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</si>
  <si>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</si>
  <si>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</si>
  <si>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</si>
  <si>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</si>
  <si>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</si>
  <si>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</si>
  <si>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</si>
  <si>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</si>
  <si>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</si>
  <si>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</si>
  <si>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</si>
  <si>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</si>
  <si>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</si>
  <si>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</si>
  <si>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</si>
  <si>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</si>
  <si>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</si>
  <si>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</si>
  <si>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</si>
  <si>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</si>
  <si>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</si>
  <si>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</si>
  <si>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</si>
  <si>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</si>
  <si>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</si>
  <si>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</si>
  <si>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</si>
  <si>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</si>
  <si>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</si>
  <si>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</si>
  <si>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</si>
  <si>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</si>
  <si>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</si>
  <si>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</si>
  <si>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</si>
  <si>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</si>
  <si>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</si>
  <si>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</si>
  <si>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</si>
  <si>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</si>
  <si>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</si>
  <si>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</si>
  <si>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</si>
  <si>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</si>
  <si>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</si>
  <si>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</si>
  <si>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</si>
  <si>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</si>
  <si>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</si>
  <si>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</si>
  <si>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</si>
  <si>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</si>
  <si>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</si>
  <si>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</si>
  <si>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</si>
  <si>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</si>
  <si>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</si>
  <si>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</si>
  <si>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</si>
  <si>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</si>
  <si>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</si>
  <si>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</si>
  <si>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</si>
  <si>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</si>
  <si>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</si>
  <si>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</si>
  <si>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</si>
  <si>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</si>
  <si>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</si>
  <si>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</si>
  <si>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</si>
  <si>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</si>
  <si>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</si>
  <si>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</si>
  <si>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</si>
  <si>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</si>
  <si>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</si>
  <si>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</si>
  <si>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</si>
  <si>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</si>
  <si>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</si>
  <si>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</si>
  <si>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</si>
  <si>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</si>
  <si>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</si>
  <si>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</si>
  <si>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</si>
  <si>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</si>
  <si>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</si>
  <si>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</si>
  <si>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</si>
  <si>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</si>
  <si>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</si>
  <si>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</si>
  <si>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</si>
  <si>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</si>
  <si>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</si>
  <si>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</si>
  <si>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</si>
  <si>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</si>
  <si>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</si>
  <si>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</si>
  <si>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</si>
  <si>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</si>
  <si>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</si>
  <si>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</si>
  <si>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</si>
  <si>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</si>
  <si>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</si>
  <si>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</si>
  <si>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</si>
  <si>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</si>
  <si>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</si>
  <si>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</si>
  <si>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</si>
  <si>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</si>
  <si>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</si>
  <si>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</si>
  <si>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</si>
  <si>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</si>
  <si>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</si>
  <si>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</si>
  <si>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</si>
  <si>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</si>
  <si>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</si>
  <si>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</si>
  <si>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</si>
  <si>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</si>
  <si>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</si>
  <si>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</si>
  <si>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</si>
  <si>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</si>
  <si>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</si>
  <si>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</si>
  <si>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</si>
  <si>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</si>
  <si>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</si>
  <si>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</si>
  <si>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</si>
  <si>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</si>
  <si>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</si>
  <si>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</si>
  <si>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</si>
  <si>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</si>
  <si>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</si>
  <si>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</si>
  <si>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</si>
  <si>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</si>
  <si>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</si>
  <si>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</si>
  <si>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</si>
  <si>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</si>
  <si>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</si>
  <si>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</si>
  <si>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</si>
  <si>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</si>
  <si>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</si>
  <si>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</si>
  <si>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</si>
  <si>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</si>
  <si>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</si>
  <si>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</si>
  <si>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</si>
  <si>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</si>
  <si>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</si>
  <si>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</si>
  <si>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</si>
  <si>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</si>
  <si>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</si>
  <si>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</si>
  <si>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</si>
  <si>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</si>
  <si>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</si>
  <si>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</si>
  <si>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</si>
  <si>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</si>
  <si>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</si>
  <si>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</si>
  <si>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</si>
  <si>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</si>
  <si>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</si>
  <si>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</si>
  <si>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</si>
  <si>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</si>
  <si>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</si>
  <si>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</si>
  <si>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</si>
  <si>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</si>
  <si>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</si>
  <si>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</si>
  <si>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</si>
  <si>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</si>
  <si>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</si>
  <si>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</si>
  <si>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</si>
  <si>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</si>
  <si>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</si>
  <si>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</si>
  <si>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</si>
  <si>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</si>
  <si>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</si>
  <si>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</si>
  <si>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</si>
  <si>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</si>
  <si>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</si>
  <si>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</si>
  <si>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</si>
  <si>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</si>
  <si>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</si>
  <si>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</si>
  <si>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</si>
  <si>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</si>
  <si>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</si>
  <si>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</si>
  <si>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</si>
  <si>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</si>
  <si>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</si>
  <si>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</si>
  <si>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</si>
  <si>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</si>
  <si>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</si>
  <si>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</si>
  <si>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</si>
  <si>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</si>
  <si>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</si>
  <si>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</si>
  <si>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</si>
  <si>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</si>
  <si>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</si>
  <si>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</si>
  <si>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</si>
  <si>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</si>
  <si>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</si>
  <si>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</si>
  <si>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</si>
  <si>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</si>
  <si>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</si>
  <si>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</si>
  <si>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</si>
  <si>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</si>
  <si>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</si>
  <si>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</si>
  <si>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</si>
  <si>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</si>
  <si>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</si>
  <si>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</si>
  <si>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</si>
  <si>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</si>
  <si>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</si>
  <si>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</si>
  <si>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</si>
  <si>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</si>
  <si>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</si>
  <si>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</si>
  <si>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</si>
  <si>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</si>
  <si>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</si>
  <si>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</si>
  <si>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</si>
  <si>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</si>
  <si>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</si>
  <si>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</si>
  <si>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</si>
  <si>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</si>
  <si>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</si>
  <si>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</si>
  <si>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</si>
  <si>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</si>
  <si>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</si>
  <si>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</si>
  <si>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</si>
  <si>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</si>
  <si>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</si>
  <si>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</si>
  <si>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</si>
  <si>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</si>
  <si>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</si>
  <si>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</si>
  <si>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</si>
  <si>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</si>
  <si>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</si>
  <si>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</si>
  <si>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</si>
  <si>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</si>
  <si>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</si>
  <si>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</si>
  <si>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</si>
  <si>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</si>
  <si>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</si>
  <si>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</si>
  <si>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</si>
  <si>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</si>
  <si>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</si>
  <si>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</si>
  <si>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</si>
  <si>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</si>
  <si>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</si>
  <si>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</si>
  <si>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</si>
  <si>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</si>
  <si>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</si>
  <si>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</si>
  <si>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</si>
  <si>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</si>
  <si>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</si>
  <si>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</si>
  <si>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</si>
  <si>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</si>
  <si>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</si>
  <si>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</si>
  <si>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</si>
  <si>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</si>
  <si>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</si>
  <si>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</si>
  <si>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</si>
  <si>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</si>
  <si>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</si>
  <si>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</si>
  <si>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</si>
  <si>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</si>
  <si>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</si>
  <si>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</si>
  <si>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</si>
  <si>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</si>
  <si>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</si>
  <si>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</si>
  <si>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</si>
  <si>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</si>
  <si>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</si>
  <si>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</si>
  <si>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</si>
  <si>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</si>
  <si>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</si>
  <si>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</si>
  <si>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</si>
  <si>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</si>
  <si>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</si>
  <si>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</si>
  <si>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</si>
  <si>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</si>
  <si>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</si>
  <si>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</si>
  <si>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</si>
  <si>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</si>
  <si>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</si>
  <si>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</si>
  <si>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</si>
  <si>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</si>
  <si>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</si>
  <si>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</si>
  <si>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</si>
  <si>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</si>
  <si>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</si>
  <si>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</si>
  <si>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</si>
  <si>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</si>
  <si>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</si>
  <si>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</si>
  <si>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</si>
  <si>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</si>
  <si>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</si>
  <si>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</si>
  <si>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</si>
  <si>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</si>
  <si>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</si>
  <si>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</si>
  <si>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</si>
  <si>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</si>
  <si>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</si>
  <si>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</si>
  <si>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</si>
  <si>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</si>
  <si>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</si>
  <si>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</si>
  <si>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</si>
  <si>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</si>
  <si>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</si>
  <si>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</si>
  <si>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</si>
  <si>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</si>
  <si>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</si>
  <si>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</si>
  <si>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</si>
  <si>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</si>
  <si>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</si>
  <si>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</si>
  <si>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</si>
  <si>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</si>
  <si>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</si>
  <si>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</si>
  <si>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</si>
  <si>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</si>
  <si>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</si>
  <si>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</si>
  <si>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</si>
  <si>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</si>
  <si>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</si>
  <si>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</si>
  <si>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</si>
  <si>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</si>
  <si>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</si>
  <si>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</si>
  <si>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</si>
  <si>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</si>
  <si>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</si>
  <si>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</si>
  <si>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</si>
  <si>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</si>
  <si>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</si>
  <si>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</si>
  <si>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</si>
  <si>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</si>
  <si>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</si>
  <si>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</si>
  <si>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</si>
  <si>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</si>
  <si>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</si>
  <si>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</si>
  <si>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</si>
  <si>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</si>
  <si>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</si>
  <si>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</si>
  <si>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</si>
  <si>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</si>
  <si>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</si>
  <si>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</si>
  <si>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</si>
  <si>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</si>
  <si>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</si>
  <si>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</si>
  <si>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</si>
  <si>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</si>
  <si>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</si>
  <si>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</si>
  <si>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</si>
  <si>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</si>
  <si>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</si>
  <si>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</si>
  <si>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</si>
  <si>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</si>
  <si>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</si>
  <si>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</si>
  <si>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</si>
  <si>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</si>
  <si>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</si>
  <si>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</si>
  <si>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</si>
  <si>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</si>
  <si>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</si>
  <si>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</si>
  <si>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</si>
  <si>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</si>
  <si>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</si>
  <si>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</si>
  <si>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</si>
  <si>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</si>
  <si>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</si>
  <si>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</si>
  <si>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</si>
  <si>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</si>
  <si>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</si>
  <si>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</si>
  <si>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</si>
  <si>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</si>
  <si>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</si>
  <si>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</si>
  <si>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</si>
  <si>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</si>
  <si>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</si>
  <si>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</si>
  <si>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</si>
  <si>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</si>
  <si>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</si>
  <si>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</si>
  <si>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</si>
  <si>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</si>
  <si>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</si>
  <si>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</si>
  <si>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</si>
  <si>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</si>
  <si>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</si>
  <si>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</si>
  <si>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</si>
  <si>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</si>
  <si>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</si>
  <si>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</si>
  <si>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</si>
  <si>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</si>
  <si>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</si>
  <si>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</si>
  <si>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</si>
  <si>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</si>
  <si>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</si>
  <si>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</si>
  <si>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</si>
  <si>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</si>
  <si>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</si>
  <si>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</si>
  <si>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</si>
  <si>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</si>
  <si>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</si>
  <si>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</si>
  <si>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</si>
  <si>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</si>
  <si>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</si>
  <si>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</si>
  <si>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</si>
  <si>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</si>
  <si>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</si>
  <si>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</si>
  <si>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</si>
  <si>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</si>
  <si>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</si>
  <si>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</si>
  <si>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</si>
  <si>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</si>
  <si>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</si>
  <si>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</si>
  <si>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</si>
  <si>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</si>
  <si>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</si>
  <si>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</si>
  <si>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</si>
  <si>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</si>
  <si>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</si>
  <si>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</si>
  <si>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</si>
  <si>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</si>
  <si>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</si>
  <si>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</si>
  <si>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</si>
  <si>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</si>
  <si>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</si>
  <si>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</si>
  <si>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</si>
  <si>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</si>
  <si>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</si>
  <si>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</si>
  <si>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</si>
  <si>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</si>
  <si>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</si>
  <si>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</si>
  <si>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</si>
  <si>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</si>
  <si>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</si>
  <si>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</si>
  <si>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</si>
  <si>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</si>
  <si>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</si>
  <si>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</si>
  <si>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</si>
  <si>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</si>
  <si>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</si>
  <si>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</si>
  <si>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</si>
  <si>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</si>
  <si>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</si>
  <si>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</si>
  <si>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</si>
  <si>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</si>
  <si>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</si>
  <si>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</si>
  <si>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</si>
  <si>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</si>
  <si>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</si>
  <si>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</si>
  <si>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</si>
  <si>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</si>
  <si>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</si>
  <si>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</si>
  <si>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</si>
  <si>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</si>
  <si>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</si>
  <si>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</si>
  <si>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</si>
  <si>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</si>
  <si>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</si>
  <si>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</si>
  <si>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</si>
  <si>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</si>
  <si>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</si>
  <si>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</si>
  <si>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</si>
  <si>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</si>
  <si>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</si>
  <si>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</si>
  <si>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</si>
  <si>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</si>
  <si>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</si>
  <si>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</si>
  <si>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</si>
  <si>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</si>
  <si>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</si>
  <si>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</si>
  <si>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</si>
  <si>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</si>
  <si>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</si>
  <si>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</si>
  <si>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</si>
  <si>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</si>
  <si>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</si>
  <si>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</si>
  <si>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</si>
  <si>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</si>
  <si>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</si>
  <si>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</si>
  <si>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</si>
  <si>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</si>
  <si>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</si>
  <si>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</si>
  <si>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</si>
  <si>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</si>
  <si>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</si>
  <si>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</si>
  <si>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</si>
  <si>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</si>
  <si>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</si>
  <si>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</si>
  <si>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</si>
  <si>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</si>
  <si>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</si>
  <si>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</si>
  <si>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</si>
  <si>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</si>
  <si>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</si>
  <si>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</si>
  <si>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</si>
  <si>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</si>
  <si>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</si>
  <si>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</si>
  <si>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</si>
  <si>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</si>
  <si>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</si>
  <si>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</si>
  <si>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</si>
  <si>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</si>
  <si>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</si>
  <si>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</si>
  <si>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</si>
  <si>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</si>
  <si>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</si>
  <si>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</si>
  <si>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</si>
  <si>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</si>
  <si>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</si>
  <si>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</si>
  <si>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</si>
  <si>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</si>
  <si>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</si>
  <si>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</si>
  <si>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</si>
  <si>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</si>
  <si>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</si>
  <si>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</si>
  <si>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</si>
  <si>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</si>
  <si>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</si>
  <si>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</si>
  <si>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</si>
  <si>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</si>
  <si>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</si>
  <si>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</si>
  <si>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</si>
  <si>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</si>
  <si>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</si>
  <si>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</si>
  <si>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</si>
  <si>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</si>
  <si>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</si>
  <si>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</si>
  <si>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</si>
  <si>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</si>
  <si>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</si>
  <si>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</si>
  <si>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</si>
  <si>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</si>
  <si>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</si>
  <si>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</si>
  <si>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</si>
  <si>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</si>
  <si>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</si>
  <si>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</si>
  <si>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</si>
  <si>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</si>
  <si>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</si>
  <si>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</si>
  <si>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</si>
  <si>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</si>
  <si>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</si>
  <si>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</si>
  <si>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</si>
  <si>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</si>
  <si>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</si>
  <si>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</si>
  <si>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</si>
  <si>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</si>
  <si>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</si>
  <si>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</si>
  <si>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</si>
  <si>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</si>
  <si>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</si>
  <si>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</si>
  <si>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</si>
  <si>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</si>
  <si>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</si>
  <si>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</si>
  <si>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</si>
  <si>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</si>
  <si>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</si>
  <si>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</si>
  <si>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</si>
  <si>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</si>
  <si>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</si>
  <si>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</si>
  <si>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</si>
  <si>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</si>
  <si>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</si>
  <si>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</si>
  <si>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</si>
  <si>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</si>
  <si>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</si>
  <si>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</si>
  <si>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</si>
  <si>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</si>
  <si>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</si>
  <si>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</si>
  <si>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</si>
  <si>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</si>
  <si>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</si>
  <si>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</si>
  <si>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</si>
  <si>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</si>
  <si>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</si>
  <si>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</si>
  <si>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</si>
  <si>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</si>
  <si>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</si>
  <si>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</si>
  <si>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</si>
  <si>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</si>
  <si>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</si>
  <si>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</si>
  <si>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</si>
  <si>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</si>
  <si>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</si>
  <si>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</si>
  <si>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</si>
  <si>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</si>
  <si>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</si>
  <si>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</si>
  <si>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</si>
  <si>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</si>
  <si>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</si>
  <si>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</si>
  <si>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</si>
  <si>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</si>
  <si>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</si>
  <si>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</si>
  <si>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</si>
  <si>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</si>
  <si>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</si>
  <si>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</si>
  <si>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</si>
  <si>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</si>
  <si>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</si>
  <si>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</si>
  <si>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</si>
  <si>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</si>
  <si>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</si>
  <si>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</si>
  <si>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</si>
  <si>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</si>
  <si>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</si>
  <si>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</si>
  <si>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</si>
  <si>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</si>
  <si>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</si>
  <si>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</si>
  <si>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</si>
  <si>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</si>
  <si>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</si>
  <si>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</si>
  <si>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</si>
  <si>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</si>
  <si>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</si>
  <si>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</si>
  <si>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</si>
  <si>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</si>
  <si>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</si>
  <si>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</si>
  <si>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</si>
  <si>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</si>
  <si>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</si>
  <si>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</si>
  <si>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</si>
  <si>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</si>
  <si>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</si>
  <si>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</si>
  <si>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</si>
  <si>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</si>
  <si>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</si>
  <si>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</si>
  <si>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</si>
  <si>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</si>
  <si>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</si>
  <si>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</si>
  <si>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</si>
  <si>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</si>
  <si>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</si>
  <si>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</si>
  <si>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</si>
  <si>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</si>
  <si>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</si>
  <si>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</si>
  <si>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</si>
  <si>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</si>
  <si>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</si>
  <si>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</si>
  <si>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</si>
  <si>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</si>
  <si>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</si>
  <si>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</si>
  <si>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</si>
  <si>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</si>
  <si>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</si>
  <si>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</si>
  <si>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</si>
  <si>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</si>
  <si>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</si>
  <si>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</si>
  <si>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</si>
  <si>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</si>
  <si>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</si>
  <si>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</si>
  <si>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</si>
  <si>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</si>
  <si>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</si>
  <si>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</si>
  <si>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</si>
  <si>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</si>
  <si>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</si>
  <si>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</si>
  <si>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</si>
  <si>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</si>
  <si>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</si>
  <si>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</si>
  <si>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</si>
  <si>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</si>
  <si>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</si>
  <si>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</si>
  <si>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</si>
  <si>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</si>
  <si>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</si>
  <si>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</si>
  <si>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</si>
  <si>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</si>
  <si>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</si>
  <si>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</si>
  <si>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</si>
  <si>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</si>
  <si>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</si>
  <si>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</si>
  <si>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</si>
  <si>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</si>
  <si>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</si>
  <si>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</si>
  <si>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</si>
  <si>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</si>
  <si>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</si>
  <si>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</si>
  <si>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</si>
  <si>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</si>
  <si>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是</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</si>
  <si>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</si>
  <si>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</si>
  <si>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</si>
  <si>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</si>
  <si>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</si>
  <si>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</si>
  <si>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</si>
  <si>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</si>
  <si>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</si>
  <si>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</si>
  <si>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</si>
  <si>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</si>
  <si>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1号楼</t>
    <phoneticPr fontId="205" type="noConversion"/>
  </si>
  <si>
    <t>建筑面积</t>
    <phoneticPr fontId="205" type="noConversion"/>
  </si>
  <si>
    <t>2号楼</t>
    <phoneticPr fontId="205" type="noConversion"/>
  </si>
  <si>
    <t>建筑面积</t>
    <phoneticPr fontId="205" type="noConversion"/>
  </si>
  <si>
    <t>3号楼</t>
    <phoneticPr fontId="205" type="noConversion"/>
  </si>
  <si>
    <t>建筑面积</t>
    <phoneticPr fontId="205" type="noConversion"/>
  </si>
  <si>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</si>
  <si>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</si>
  <si>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</si>
  <si>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</si>
  <si>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</si>
  <si>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</si>
  <si>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</si>
  <si>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</si>
  <si>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</si>
  <si>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</si>
  <si>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</si>
  <si>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</si>
  <si>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</si>
  <si>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</si>
  <si>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</si>
  <si>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</si>
  <si>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</si>
  <si>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</si>
  <si>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</si>
  <si>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</si>
  <si>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</si>
  <si>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</si>
  <si>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</si>
  <si>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</si>
  <si>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</si>
  <si>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</si>
  <si>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</si>
  <si>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</si>
  <si>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</si>
  <si>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</si>
  <si>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</si>
  <si>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</si>
  <si>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</si>
  <si>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</si>
  <si>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</si>
  <si>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</si>
  <si>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</si>
  <si>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</si>
  <si>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</si>
  <si>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</si>
  <si>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</si>
  <si>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</si>
  <si>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</si>
  <si>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</si>
  <si>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</si>
  <si>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</si>
  <si>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</si>
  <si>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</si>
  <si>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</si>
  <si>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</si>
  <si>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</si>
  <si>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</si>
  <si>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</si>
  <si>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</si>
  <si>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</si>
  <si>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</si>
  <si>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</si>
  <si>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</si>
  <si>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</si>
  <si>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</si>
  <si>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</si>
  <si>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</si>
  <si>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</si>
  <si>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</si>
  <si>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</si>
  <si>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</si>
  <si>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</si>
  <si>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</si>
  <si>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</si>
  <si>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</si>
  <si>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</si>
  <si>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</si>
  <si>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</si>
  <si>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</si>
  <si>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</si>
  <si>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</si>
  <si>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</si>
  <si>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</si>
  <si>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</si>
  <si>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</si>
  <si>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</si>
  <si>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</si>
  <si>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</si>
  <si>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</si>
  <si>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</si>
  <si>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</si>
  <si>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</si>
  <si>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</si>
  <si>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</si>
  <si>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</si>
  <si>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</si>
  <si>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</si>
  <si>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</si>
  <si>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</si>
  <si>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</si>
  <si>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</si>
  <si>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</si>
  <si>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</si>
  <si>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</si>
  <si>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</si>
  <si>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</si>
  <si>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</si>
  <si>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</si>
  <si>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</si>
  <si>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</si>
  <si>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</si>
  <si>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</si>
  <si>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</si>
  <si>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</si>
  <si>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</si>
  <si>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</si>
  <si>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</si>
  <si>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</si>
  <si>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</si>
  <si>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</si>
  <si>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</si>
  <si>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</si>
  <si>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</si>
  <si>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</si>
  <si>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</si>
  <si>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</si>
  <si>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</si>
  <si>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</si>
  <si>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</si>
  <si>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</si>
  <si>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</si>
  <si>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</si>
  <si>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</si>
  <si>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</si>
  <si>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</si>
  <si>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</si>
  <si>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</si>
  <si>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</si>
  <si>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</si>
  <si>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</si>
  <si>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</si>
  <si>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</si>
  <si>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</si>
  <si>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</si>
  <si>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</si>
  <si>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</si>
  <si>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</si>
  <si>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</si>
  <si>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</si>
  <si>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</si>
  <si>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</si>
  <si>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</si>
  <si>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</si>
  <si>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</si>
  <si>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</si>
  <si>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</si>
  <si>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</si>
  <si>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</si>
  <si>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</si>
  <si>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</si>
  <si>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</si>
  <si>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</si>
  <si>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</si>
  <si>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</si>
  <si>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</si>
  <si>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</si>
  <si>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</si>
  <si>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</si>
  <si>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</si>
  <si>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</si>
  <si>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</si>
  <si>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</si>
  <si>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</si>
  <si>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</si>
  <si>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</si>
  <si>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</si>
  <si>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</si>
  <si>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</si>
  <si>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</si>
  <si>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</si>
  <si>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</si>
  <si>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</si>
  <si>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</si>
  <si>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</si>
  <si>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</si>
  <si>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</si>
  <si>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</si>
  <si>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</si>
  <si>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</si>
  <si>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</si>
  <si>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</si>
  <si>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</si>
  <si>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</si>
  <si>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</si>
  <si>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</si>
  <si>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</si>
  <si>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</si>
  <si>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</si>
  <si>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</si>
  <si>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</si>
  <si>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</si>
  <si>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</si>
  <si>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</si>
  <si>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</si>
  <si>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</si>
  <si>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</si>
  <si>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</si>
  <si>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</si>
  <si>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</si>
  <si>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</si>
  <si>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</si>
  <si>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</si>
  <si>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</si>
  <si>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</si>
  <si>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</si>
  <si>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</si>
  <si>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</si>
  <si>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</si>
  <si>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</si>
  <si>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</si>
  <si>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</si>
  <si>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</si>
  <si>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</si>
  <si>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</si>
  <si>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</si>
  <si>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</si>
  <si>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</si>
  <si>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</si>
  <si>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</si>
  <si>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</si>
  <si>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</si>
  <si>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</si>
  <si>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</si>
  <si>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</si>
  <si>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</si>
  <si>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</si>
  <si>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</si>
  <si>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</si>
  <si>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</si>
  <si>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</si>
  <si>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</si>
  <si>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</si>
  <si>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</si>
  <si>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</si>
  <si>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</si>
  <si>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</si>
  <si>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</si>
  <si>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</si>
  <si>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</si>
  <si>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</si>
  <si>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</si>
  <si>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成本法</t>
  </si>
  <si>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</si>
  <si>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</si>
  <si>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</si>
  <si>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</si>
  <si>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</si>
  <si>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</si>
  <si>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</si>
  <si>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</si>
  <si>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</si>
  <si>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</si>
  <si>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</si>
  <si>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</si>
  <si>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</si>
  <si>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</si>
  <si>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</si>
  <si>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</si>
  <si>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</si>
  <si>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</si>
  <si>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</si>
  <si>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</si>
  <si>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</si>
  <si>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</si>
  <si>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</si>
  <si>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</si>
  <si>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</si>
  <si>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</si>
  <si>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</si>
  <si>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</si>
  <si>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</si>
  <si>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</si>
  <si>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</si>
  <si>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</si>
  <si>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</si>
  <si>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</si>
  <si>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</si>
  <si>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</si>
  <si>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</si>
  <si>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</si>
  <si>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</si>
  <si>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</si>
  <si>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</si>
  <si>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</si>
  <si>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</si>
  <si>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</si>
  <si>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</si>
  <si>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</si>
  <si>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</si>
  <si>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</si>
  <si>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</si>
  <si>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</si>
  <si>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</si>
  <si>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</si>
  <si>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</si>
  <si>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</si>
  <si>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</si>
  <si>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</si>
  <si>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</si>
  <si>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</si>
  <si>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</si>
  <si>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</si>
  <si>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</si>
  <si>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</si>
  <si>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</si>
  <si>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</si>
  <si>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</si>
  <si>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</si>
  <si>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成本比率</t>
  </si>
  <si>
    <t>情况4</t>
  </si>
  <si>
    <t>出让金+开发费</t>
  </si>
  <si>
    <t>通热</t>
  </si>
  <si>
    <t>燃气</t>
  </si>
  <si>
    <t>丰台区花乡四合庄（中关村科技园丰台园东区三期）1516-28-A地块1#-3#办公商业楼在建建筑物及其分摊的出让国有建设用地使用权以及4#-8#商业办公楼分摊的出让国有建设用地使用权抵押价值评估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</si>
</sst>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 fillId="0" borderId="0" xfId="0" applyFont="1" applyFill="1" applyProtection="1">
      <alignment vertical="center"/>
      <protection locked="0"/>
    </xf>
    <xf numFmtId="0" fontId="191" fillId="14" borderId="1" xfId="0" applyFont="1" applyFill="1" applyBorder="1" applyAlignment="1" applyProtection="1">
      <alignment horizontal="center" vertical="center" wrapText="1"/>
      <protection locked="0"/>
    </xf>
    <xf numFmtId="0" fontId="152" fillId="14" borderId="60" xfId="0" applyFont="1" applyFill="1" applyBorder="1" applyAlignment="1" applyProtection="1">
      <alignment horizontal="center" vertical="center" wrapText="1"/>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0016;&#21488;&#21306;&#33457;&#20065;&#22235;&#21512;&#24196;&#39033;&#30446;4-8&#21495;&#270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办公"/>
      <sheetName val="比较法-商业"/>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面积明细"/>
      <sheetName val="土地案例"/>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150365</v>
          </cell>
        </row>
        <row r="118">
          <cell r="B118">
            <v>56410.099999999991</v>
          </cell>
          <cell r="C118">
            <v>10139.049999999999</v>
          </cell>
          <cell r="H118">
            <v>150365</v>
          </cell>
        </row>
        <row r="122">
          <cell r="D122">
            <v>150365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七通”（即通路、通电、通讯、通上水、通下水、通热、燃气）、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本次评估采用的主估价方法为成本法和假设开发法。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315470</v>
      </c>
    </row>
    <row r="21" spans="1:2" s="3062" customFormat="1">
      <c r="A21" s="3060" t="s">
        <v>2810</v>
      </c>
      <c r="B21" s="3061">
        <f ca="1">'预评函-2'!D7</f>
        <v>33303</v>
      </c>
    </row>
    <row r="22" spans="1:2" s="3062" customFormat="1">
      <c r="A22" s="3060" t="s">
        <v>2811</v>
      </c>
      <c r="B22" s="3061" t="str">
        <f ca="1">'预评函-2'!D6</f>
        <v>叁拾壹亿伍仟肆佰柒拾万元整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315470</v>
      </c>
    </row>
    <row r="31" spans="1:2" s="3062" customFormat="1">
      <c r="A31" s="3060" t="s">
        <v>2850</v>
      </c>
      <c r="B31" s="3061">
        <f ca="1">'预评函-2'!D15</f>
        <v>33303</v>
      </c>
    </row>
    <row r="32" spans="1:2" s="3062" customFormat="1">
      <c r="A32" s="3060" t="s">
        <v>2816</v>
      </c>
      <c r="B32" s="3061" t="str">
        <f ca="1">'预评函-2'!D14</f>
        <v>叁拾壹亿伍仟肆佰柒拾万元整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42" spans="1:2" s="3062" customFormat="1">
      <c r="A42" s="3060" t="s">
        <v>2873</v>
      </c>
      <c r="B42" s="3061" t="str">
        <f>'预评函-3'!B2</f>
        <v>建筑面积</v>
      </c>
    </row>
    <row r="43" spans="1:2" s="3062" customFormat="1">
      <c r="A43" s="3060" t="s">
        <v>2874</v>
      </c>
      <c r="B43" s="3061">
        <f>'预评函-3'!B4</f>
        <v>94727.57</v>
      </c>
    </row>
    <row r="44" spans="1:2" s="3062" customFormat="1">
      <c r="A44" s="3060" t="s">
        <v>2849</v>
      </c>
      <c r="B44" s="3061" t="str">
        <f>'预评函-3'!C2</f>
        <v>(分摊)土地面积</v>
      </c>
    </row>
    <row r="45" spans="1:2" s="3062" customFormat="1">
      <c r="A45" s="3060" t="s">
        <v>2820</v>
      </c>
      <c r="B45" s="3061">
        <f>'预评函-3'!C4</f>
        <v>17026.16</v>
      </c>
    </row>
    <row r="46" spans="1:2" s="3062" customFormat="1">
      <c r="A46" s="3060" t="s">
        <v>2847</v>
      </c>
      <c r="B46" s="3061" t="str">
        <f>'预评函-3'!D2</f>
        <v>出让国有建设用地使用权价值</v>
      </c>
    </row>
    <row r="47" spans="1:2" s="3062" customFormat="1">
      <c r="A47" s="3060" t="s">
        <v>2821</v>
      </c>
      <c r="B47" s="3061">
        <f ca="1">'预评函-3'!D4</f>
        <v>297488</v>
      </c>
    </row>
    <row r="48" spans="1:2" s="3062" customFormat="1">
      <c r="A48" s="3060" t="s">
        <v>2822</v>
      </c>
      <c r="B48" s="3061">
        <f ca="1">'预评函-3'!E4</f>
        <v>31405</v>
      </c>
    </row>
    <row r="49" spans="1:2" s="3062" customFormat="1">
      <c r="A49" s="3060" t="s">
        <v>2823</v>
      </c>
      <c r="B49" s="3061" t="str">
        <f ca="1">'预评函-3'!D5</f>
        <v>贰拾玖亿柒仟肆佰捌拾捌万元整</v>
      </c>
    </row>
    <row r="50" spans="1:2" s="3062" customFormat="1">
      <c r="A50" s="3060" t="s">
        <v>2848</v>
      </c>
      <c r="B50" s="3061" t="str">
        <f>'预评函-3'!F2</f>
        <v>在建建筑物价值</v>
      </c>
    </row>
    <row r="51" spans="1:2" s="3062" customFormat="1">
      <c r="A51" s="3060" t="s">
        <v>2824</v>
      </c>
      <c r="B51" s="3061">
        <f ca="1">'预评函-3'!F4</f>
        <v>17982</v>
      </c>
    </row>
    <row r="52" spans="1:2" s="3062" customFormat="1">
      <c r="A52" s="3060" t="s">
        <v>2825</v>
      </c>
      <c r="B52" s="3061">
        <f ca="1">'预评函-3'!G4</f>
        <v>1898</v>
      </c>
    </row>
    <row r="53" spans="1:2" s="3062" customFormat="1">
      <c r="A53" s="3060" t="s">
        <v>2854</v>
      </c>
      <c r="B53" s="3061" t="str">
        <f ca="1">'预评函-3'!F5</f>
        <v>壹亿柒仟玖佰捌拾贰万元整</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7"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7"/>
      <c r="B54" s="2092" t="s">
        <v>2016</v>
      </c>
      <c r="C54" s="1158" t="s">
        <v>2860</v>
      </c>
    </row>
    <row r="55" spans="1:4">
      <c r="A55" s="3407"/>
      <c r="B55" s="2092" t="s">
        <v>2017</v>
      </c>
      <c r="C55" s="1158" t="s">
        <v>2861</v>
      </c>
    </row>
    <row r="56" spans="1:4">
      <c r="A56" s="3407"/>
      <c r="B56" s="2092" t="s">
        <v>2018</v>
      </c>
      <c r="C56" s="1158" t="s">
        <v>2871</v>
      </c>
    </row>
    <row r="57" spans="1:4">
      <c r="A57" s="3407"/>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08"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1" s="3409"/>
      <c r="D1" s="3409"/>
      <c r="E1" s="3409"/>
      <c r="F1" s="3409"/>
      <c r="G1" s="3409"/>
      <c r="H1" s="3409"/>
      <c r="I1" s="3410"/>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v>
      </c>
    </row>
    <row r="2" spans="1:19" ht="18" customHeight="1">
      <c r="A2" s="1994" t="s">
        <v>2122</v>
      </c>
      <c r="B2" s="1941"/>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7"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7"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11"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12"/>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3407</v>
      </c>
      <c r="G10" s="2887"/>
      <c r="H10" s="2888"/>
      <c r="I10" s="2000"/>
      <c r="J10" s="1999"/>
      <c r="K10" s="2101"/>
      <c r="L10" s="1995"/>
      <c r="M10" s="1995"/>
      <c r="N10" s="1193"/>
      <c r="O10" s="11"/>
      <c r="P10" s="1193"/>
      <c r="Q10" s="1193"/>
      <c r="R10" s="1193"/>
    </row>
    <row r="11" spans="1:19" ht="18" customHeight="1" thickTop="1">
      <c r="A11" s="1957" t="s">
        <v>2059</v>
      </c>
      <c r="B11" s="2052"/>
      <c r="C11" s="3287"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18" t="s">
        <v>3052</v>
      </c>
      <c r="C16" s="3419"/>
      <c r="D16" s="3420"/>
      <c r="E16" s="1955" t="s">
        <v>2021</v>
      </c>
      <c r="F16" s="3421" t="s">
        <v>3053</v>
      </c>
      <c r="G16" s="3422"/>
      <c r="H16" s="3422"/>
      <c r="I16" s="3423"/>
      <c r="J16" s="1193"/>
      <c r="K16" s="2103"/>
      <c r="L16" s="1227"/>
      <c r="M16" s="1227"/>
      <c r="N16" s="2019"/>
      <c r="O16" s="1227"/>
      <c r="P16" s="2019"/>
      <c r="Q16" s="1193"/>
      <c r="R16" s="1193"/>
    </row>
    <row r="17" spans="1:22" ht="18" customHeight="1">
      <c r="A17" s="2006" t="s">
        <v>1951</v>
      </c>
      <c r="B17" s="1939" t="s">
        <v>1952</v>
      </c>
      <c r="C17" s="2084">
        <f>'数据-汇总表'!E3</f>
        <v>94727.57</v>
      </c>
      <c r="D17" s="1940" t="s">
        <v>1953</v>
      </c>
      <c r="E17" s="3424" t="s">
        <v>3054</v>
      </c>
      <c r="F17" s="3425"/>
      <c r="G17" s="3425"/>
      <c r="H17" s="3425"/>
      <c r="I17" s="3426"/>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17026.16</v>
      </c>
      <c r="D18" s="2897" t="s">
        <v>1953</v>
      </c>
      <c r="E18" s="3427" t="s">
        <v>3055</v>
      </c>
      <c r="F18" s="3428"/>
      <c r="G18" s="3428"/>
      <c r="H18" s="3428"/>
      <c r="I18" s="3429"/>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3056</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14" t="s">
        <v>2046</v>
      </c>
      <c r="C20" s="3415"/>
      <c r="D20" s="3416" t="s">
        <v>2047</v>
      </c>
      <c r="E20" s="3417"/>
      <c r="F20" s="2066" t="s">
        <v>2048</v>
      </c>
      <c r="G20" s="1999"/>
      <c r="H20" s="1999"/>
      <c r="I20" s="1999"/>
      <c r="J20" s="1999"/>
      <c r="K20" s="3413"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3057</v>
      </c>
      <c r="C21" s="2031" t="s">
        <v>2049</v>
      </c>
      <c r="D21" s="1988" t="s">
        <v>2051</v>
      </c>
      <c r="E21" s="2032" t="s">
        <v>526</v>
      </c>
      <c r="F21" s="1977"/>
      <c r="G21" s="1999"/>
      <c r="H21" s="1999"/>
      <c r="I21" s="1999"/>
      <c r="J21" s="1999"/>
      <c r="K21" s="3413"/>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13"/>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3058</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3059</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31" t="s">
        <v>2060</v>
      </c>
      <c r="B27" s="2008" t="s">
        <v>2061</v>
      </c>
      <c r="C27" s="1929" t="s">
        <v>3060</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31"/>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31"/>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32"/>
      <c r="B30" s="1939" t="s">
        <v>2064</v>
      </c>
      <c r="C30" s="3433"/>
      <c r="D30" s="3434"/>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35" t="s">
        <v>2065</v>
      </c>
      <c r="B31" s="1935" t="s">
        <v>3061</v>
      </c>
      <c r="C31" s="1936" t="str">
        <f>IF(B31="现房","成新及维护状况正常否",IF(B31="在建","工程状态是否正常",IF(B31="土地","是否闲置","-")))</f>
        <v>工程状态是否正常</v>
      </c>
      <c r="D31" s="2009"/>
      <c r="E31" s="1937" t="s">
        <v>3063</v>
      </c>
      <c r="F31" s="1999"/>
      <c r="G31" s="1999"/>
      <c r="H31" s="1999"/>
      <c r="I31" s="1999"/>
      <c r="J31" s="1999"/>
      <c r="K31" s="2105"/>
      <c r="L31" s="1995"/>
      <c r="M31" s="1995"/>
      <c r="N31" s="1193"/>
      <c r="O31" s="11"/>
      <c r="P31" s="1193"/>
      <c r="Q31" s="1193"/>
      <c r="R31" s="1193"/>
      <c r="S31" s="1193"/>
      <c r="T31" s="1193"/>
      <c r="U31" s="1193"/>
      <c r="V31" s="1193"/>
    </row>
    <row r="32" spans="1:22" ht="18" customHeight="1">
      <c r="A32" s="3436"/>
      <c r="B32" s="1935" t="s">
        <v>3062</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36"/>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3064</v>
      </c>
      <c r="C34" s="1959" t="s">
        <v>3065</v>
      </c>
      <c r="D34" s="1959" t="s">
        <v>3066</v>
      </c>
      <c r="E34" s="1959" t="s">
        <v>3067</v>
      </c>
      <c r="F34" s="1959" t="s">
        <v>3068</v>
      </c>
      <c r="G34" s="1959" t="s">
        <v>3405</v>
      </c>
      <c r="H34" s="1959" t="s">
        <v>3406</v>
      </c>
      <c r="I34" s="1999"/>
      <c r="J34" s="1999"/>
      <c r="K34" s="2884">
        <f>COUNTIF(B34:H34,"——")</f>
        <v>0</v>
      </c>
      <c r="L34" s="2011" t="s">
        <v>2094</v>
      </c>
      <c r="M34" s="2011" t="s">
        <v>2095</v>
      </c>
      <c r="N34" s="2011" t="s">
        <v>2096</v>
      </c>
      <c r="O34" s="2011" t="s">
        <v>2097</v>
      </c>
      <c r="P34" s="2011" t="s">
        <v>2098</v>
      </c>
      <c r="Q34" s="2011" t="s">
        <v>2099</v>
      </c>
      <c r="R34" s="2011" t="s">
        <v>2100</v>
      </c>
      <c r="S34" s="3430" t="s">
        <v>2101</v>
      </c>
      <c r="T34" s="2012" t="str">
        <f>NUMBERSTRING(7-K34,1)&amp;"通"</f>
        <v>七通</v>
      </c>
      <c r="U34" s="1193"/>
      <c r="V34" s="1193"/>
    </row>
    <row r="35" spans="1:22" ht="18" customHeight="1">
      <c r="A35" s="2013"/>
      <c r="B35" s="3437" t="s">
        <v>1867</v>
      </c>
      <c r="C35" s="3437"/>
      <c r="D35" s="3437"/>
      <c r="E35" s="3437"/>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0"/>
      <c r="T35" s="23" t="str">
        <f>IF(T34="一通",L35,IF(T34="二通",M35,IF(T34="三通",N35,IF(T34="四通",O35,IF(T34="五通",P35,IF(T34="六通",Q35,R35))))))</f>
        <v>通路、通电、通讯、通上水、通下水、通热、燃气</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09" customFormat="1" ht="18" customHeight="1" thickTop="1" thickBot="1">
      <c r="A39" s="3310" t="s">
        <v>3025</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3056</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94727.57</v>
      </c>
      <c r="BA5" s="307">
        <f t="shared" si="1"/>
        <v>88001.1</v>
      </c>
      <c r="BB5" s="307">
        <f t="shared" si="1"/>
        <v>71485.3</v>
      </c>
      <c r="BC5" s="307">
        <f t="shared" si="1"/>
        <v>4770.78</v>
      </c>
      <c r="BD5" s="307">
        <f t="shared" si="1"/>
        <v>6669.35</v>
      </c>
      <c r="BE5" s="307">
        <f t="shared" si="1"/>
        <v>5075.67</v>
      </c>
      <c r="BF5" s="307">
        <f t="shared" si="1"/>
        <v>0</v>
      </c>
      <c r="BG5" s="307">
        <f t="shared" si="1"/>
        <v>0</v>
      </c>
      <c r="BH5" s="307">
        <f t="shared" si="1"/>
        <v>0</v>
      </c>
      <c r="BI5" s="307">
        <f t="shared" si="1"/>
        <v>0</v>
      </c>
      <c r="BJ5" s="307">
        <f t="shared" si="1"/>
        <v>0</v>
      </c>
      <c r="BK5" s="307">
        <f t="shared" si="1"/>
        <v>0</v>
      </c>
      <c r="BL5" s="307">
        <f t="shared" si="1"/>
        <v>6726.4699999999975</v>
      </c>
      <c r="BM5" s="307">
        <f t="shared" si="1"/>
        <v>0</v>
      </c>
      <c r="BN5" s="307">
        <f t="shared" si="1"/>
        <v>0</v>
      </c>
      <c r="BO5" s="307">
        <f t="shared" si="1"/>
        <v>0</v>
      </c>
      <c r="BP5" s="307">
        <f t="shared" si="1"/>
        <v>0</v>
      </c>
      <c r="BQ5" s="307">
        <f t="shared" si="1"/>
        <v>0</v>
      </c>
      <c r="BR5" s="307">
        <f t="shared" si="1"/>
        <v>6726.4699999999975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17026.16</v>
      </c>
      <c r="AZ6" s="305" t="s">
        <v>29</v>
      </c>
      <c r="BA6" s="305">
        <f>ROUND($AY$6*BA5/$AZ$5,2)</f>
        <v>15817.16</v>
      </c>
      <c r="BB6" s="305">
        <f>ROUND($AY$6*BB5/$AZ$5,2)</f>
        <v>12848.64</v>
      </c>
      <c r="BC6" s="305">
        <f t="shared" ref="BC6:BH6" si="4">ROUND($AY$6*BC5/$AZ$5,2)</f>
        <v>857.49</v>
      </c>
      <c r="BD6" s="305">
        <f t="shared" si="4"/>
        <v>1198.74</v>
      </c>
      <c r="BE6" s="305">
        <f t="shared" si="4"/>
        <v>912.29</v>
      </c>
      <c r="BF6" s="305">
        <f t="shared" si="4"/>
        <v>0</v>
      </c>
      <c r="BG6" s="305">
        <f t="shared" si="4"/>
        <v>0</v>
      </c>
      <c r="BH6" s="305">
        <f t="shared" si="4"/>
        <v>0</v>
      </c>
      <c r="BI6" s="305">
        <f t="shared" ref="BI6:BT6" si="5">ROUND($AY$6*BI5/$AZ$5,2)</f>
        <v>0</v>
      </c>
      <c r="BJ6" s="305">
        <f t="shared" si="5"/>
        <v>0</v>
      </c>
      <c r="BK6" s="305">
        <f t="shared" si="5"/>
        <v>0</v>
      </c>
      <c r="BL6" s="305">
        <f t="shared" si="5"/>
        <v>1209</v>
      </c>
      <c r="BM6" s="305">
        <f t="shared" si="5"/>
        <v>0</v>
      </c>
      <c r="BN6" s="305">
        <f t="shared" si="5"/>
        <v>0</v>
      </c>
      <c r="BO6" s="305">
        <f t="shared" si="5"/>
        <v>0</v>
      </c>
      <c r="BP6" s="305">
        <f t="shared" si="5"/>
        <v>0</v>
      </c>
      <c r="BQ6" s="305">
        <f t="shared" si="5"/>
        <v>0</v>
      </c>
      <c r="BR6" s="305">
        <f t="shared" si="5"/>
        <v>1209</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3069</v>
      </c>
      <c r="D13" s="217" t="s">
        <v>3070</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5839.74</v>
      </c>
      <c r="AZ13" s="305">
        <f>BA13+BL13</f>
        <v>32490.27</v>
      </c>
      <c r="BA13" s="305">
        <f>SUM(BB13:BK13)</f>
        <v>30402.27</v>
      </c>
      <c r="BB13" s="305">
        <f>IF($D13="是",I13-J13,0)</f>
        <v>23356.51</v>
      </c>
      <c r="BC13" s="305">
        <f>IF($D13="是",K13-L13,0)</f>
        <v>1788.11</v>
      </c>
      <c r="BD13" s="305">
        <f>IF($D13="是",M13-N13,0)</f>
        <v>3099.88</v>
      </c>
      <c r="BE13" s="305">
        <f>IF($D13="是",O13-P13,0)</f>
        <v>2157.7700000000004</v>
      </c>
      <c r="BF13" s="305">
        <f>IF($D13="是",Q13-R13,0)</f>
        <v>0</v>
      </c>
      <c r="BG13" s="305">
        <f>IF($D13="是",S13-T13,0)</f>
        <v>0</v>
      </c>
      <c r="BH13" s="305">
        <f>IF($D13="是",U13-V13,0)</f>
        <v>0</v>
      </c>
      <c r="BI13" s="305">
        <f>IF($D13="是",W13-X13,0)</f>
        <v>0</v>
      </c>
      <c r="BJ13" s="305">
        <f>IF($D13="是",Y13-Z13,0)</f>
        <v>0</v>
      </c>
      <c r="BK13" s="305">
        <f>IF($D13="是",AA13-AB13,0)</f>
        <v>0</v>
      </c>
      <c r="BL13" s="305">
        <f>SUM(BM13:BT13)</f>
        <v>2088</v>
      </c>
      <c r="BM13" s="305">
        <f>IF($D13="是",AD13-AE13,0)</f>
        <v>0</v>
      </c>
      <c r="BN13" s="305">
        <f>IF($D13="是",AF13-AG13,0)</f>
        <v>0</v>
      </c>
      <c r="BO13" s="305">
        <f>IF($D13="是",AH13-AI13,0)</f>
        <v>0</v>
      </c>
      <c r="BP13" s="305">
        <f>IF($D13="是",AJ13-AK13,0)</f>
        <v>0</v>
      </c>
      <c r="BQ13" s="305">
        <f>IF($D13="是",AL13-AM13,0)</f>
        <v>0</v>
      </c>
      <c r="BR13" s="305">
        <f>IF($D13="是",AN13-AO13,0)</f>
        <v>2088</v>
      </c>
      <c r="BS13" s="305">
        <f>IF($D13="是",AP13-AQ13,0)</f>
        <v>0</v>
      </c>
      <c r="BT13" s="311">
        <f>IF($D13="是",AR13-AS13,0)</f>
        <v>0</v>
      </c>
    </row>
    <row r="14" spans="1:72" s="1161" customFormat="1" ht="24">
      <c r="A14" s="216"/>
      <c r="B14" s="216"/>
      <c r="C14" s="216" t="s">
        <v>3078</v>
      </c>
      <c r="D14" s="217" t="s">
        <v>3080</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5214.93</v>
      </c>
      <c r="AZ14" s="305">
        <f>BA14+BL14</f>
        <v>29014.03</v>
      </c>
      <c r="BA14" s="305">
        <f>SUM(BB14:BK14)</f>
        <v>25460.48</v>
      </c>
      <c r="BB14" s="305">
        <f>IF($D14="是",I14-J14,0)</f>
        <v>23811.18</v>
      </c>
      <c r="BC14" s="305">
        <f>IF($D14="是",K14-L14,0)</f>
        <v>1229.6399999999999</v>
      </c>
      <c r="BD14" s="305">
        <f>IF($D14="是",M14-N14,0)</f>
        <v>0</v>
      </c>
      <c r="BE14" s="305">
        <f>IF($D14="是",O14-P14,0)</f>
        <v>419.65999999999997</v>
      </c>
      <c r="BF14" s="305">
        <f>IF($D14="是",Q14-R14,0)</f>
        <v>0</v>
      </c>
      <c r="BG14" s="305">
        <f>IF($D14="是",S14-T14,0)</f>
        <v>0</v>
      </c>
      <c r="BH14" s="305">
        <f>IF($D14="是",U14-V14,0)</f>
        <v>0</v>
      </c>
      <c r="BI14" s="305">
        <f>IF($D14="是",W14-X14,0)</f>
        <v>0</v>
      </c>
      <c r="BJ14" s="305">
        <f>IF($D14="是",Y14-Z14,0)</f>
        <v>0</v>
      </c>
      <c r="BK14" s="305">
        <f>IF($D14="是",AA14-AB14,0)</f>
        <v>0</v>
      </c>
      <c r="BL14" s="305">
        <f>SUM(BM14:BT14)</f>
        <v>3553.5499999999993</v>
      </c>
      <c r="BM14" s="305">
        <f>IF($D14="是",AD14-AE14,0)</f>
        <v>0</v>
      </c>
      <c r="BN14" s="305">
        <f>IF($D14="是",AF14-AG14,0)</f>
        <v>0</v>
      </c>
      <c r="BO14" s="305">
        <f>IF($D14="是",AH14-AI14,0)</f>
        <v>0</v>
      </c>
      <c r="BP14" s="305">
        <f>IF($D14="是",AJ14-AK14,0)</f>
        <v>0</v>
      </c>
      <c r="BQ14" s="305">
        <f>IF($D14="是",AL14-AM14,0)</f>
        <v>0</v>
      </c>
      <c r="BR14" s="305">
        <f>IF($D14="是",AN14-AO14,0)</f>
        <v>3553.5499999999993</v>
      </c>
      <c r="BS14" s="305">
        <f>IF($D14="是",AP14-AQ14,0)</f>
        <v>0</v>
      </c>
      <c r="BT14" s="311">
        <f>IF($D14="是",AR14-AS14,0)</f>
        <v>0</v>
      </c>
    </row>
    <row r="15" spans="1:72" s="1161" customFormat="1" ht="24">
      <c r="A15" s="216"/>
      <c r="B15" s="216"/>
      <c r="C15" s="216" t="s">
        <v>3079</v>
      </c>
      <c r="D15" s="217" t="s">
        <v>3080</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5971.49</v>
      </c>
      <c r="AZ15" s="305">
        <f>BA15+BL15</f>
        <v>33223.269999999997</v>
      </c>
      <c r="BA15" s="305">
        <f>SUM(BB15:BK15)</f>
        <v>32138.35</v>
      </c>
      <c r="BB15" s="305">
        <f>IF($D15="是",I15-J15,0)</f>
        <v>24317.61</v>
      </c>
      <c r="BC15" s="305">
        <f>IF($D15="是",K15-L15,0)</f>
        <v>1753.0299999999997</v>
      </c>
      <c r="BD15" s="305">
        <f>IF($D15="是",M15-N15,0)</f>
        <v>3569.47</v>
      </c>
      <c r="BE15" s="305">
        <f>IF($D15="是",O15-P15,0)</f>
        <v>2498.2399999999998</v>
      </c>
      <c r="BF15" s="305">
        <f>IF($D15="是",Q15-R15,0)</f>
        <v>0</v>
      </c>
      <c r="BG15" s="305">
        <f>IF($D15="是",S15-T15,0)</f>
        <v>0</v>
      </c>
      <c r="BH15" s="305">
        <f>IF($D15="是",U15-V15,0)</f>
        <v>0</v>
      </c>
      <c r="BI15" s="305">
        <f>IF($D15="是",W15-X15,0)</f>
        <v>0</v>
      </c>
      <c r="BJ15" s="305">
        <f>IF($D15="是",Y15-Z15,0)</f>
        <v>0</v>
      </c>
      <c r="BK15" s="305">
        <f>IF($D15="是",AA15-AB15,0)</f>
        <v>0</v>
      </c>
      <c r="BL15" s="305">
        <f>SUM(BM15:BT15)</f>
        <v>1084.9199999999983</v>
      </c>
      <c r="BM15" s="305">
        <f>IF($D15="是",AD15-AE15,0)</f>
        <v>0</v>
      </c>
      <c r="BN15" s="305">
        <f>IF($D15="是",AF15-AG15,0)</f>
        <v>0</v>
      </c>
      <c r="BO15" s="305">
        <f>IF($D15="是",AH15-AI15,0)</f>
        <v>0</v>
      </c>
      <c r="BP15" s="305">
        <f>IF($D15="是",AJ15-AK15,0)</f>
        <v>0</v>
      </c>
      <c r="BQ15" s="305">
        <f>IF($D15="是",AL15-AM15,0)</f>
        <v>0</v>
      </c>
      <c r="BR15" s="305">
        <f>IF($D15="是",AN15-AO15,0)</f>
        <v>1084.9199999999983</v>
      </c>
      <c r="BS15" s="305">
        <f>IF($D15="是",AP15-AQ15,0)</f>
        <v>0</v>
      </c>
      <c r="BT15" s="311">
        <f>IF($D15="是",AR15-AS15,0)</f>
        <v>0</v>
      </c>
    </row>
    <row r="16" spans="1:72" s="1161" customFormat="1" ht="24">
      <c r="A16" s="216"/>
      <c r="B16" s="216"/>
      <c r="C16" s="216" t="s">
        <v>3081</v>
      </c>
      <c r="D16" s="217" t="s">
        <v>3090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24">
      <c r="A17" s="216"/>
      <c r="B17" s="216"/>
      <c r="C17" s="216" t="s">
        <v>3089</v>
      </c>
      <c r="D17" s="217" t="s">
        <v>3090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216" t="s">
        <v>3082</v>
      </c>
      <c r="D18" s="2213" t="s">
        <v>3090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8" t="s">
        <v>198</v>
      </c>
      <c r="E1" s="3438" t="s">
        <v>199</v>
      </c>
      <c r="F1" s="3438"/>
      <c r="G1" s="3438"/>
      <c r="H1" s="3438"/>
      <c r="I1" s="3438"/>
      <c r="J1" s="3438"/>
      <c r="K1" s="3438"/>
      <c r="L1" s="3438"/>
      <c r="M1" s="3438"/>
    </row>
    <row r="2" spans="1:13" ht="27" customHeight="1">
      <c r="A2" s="3378"/>
      <c r="B2" s="3378"/>
      <c r="C2" s="3378"/>
      <c r="D2" s="3438"/>
      <c r="E2" s="3438" t="s">
        <v>182</v>
      </c>
      <c r="F2" s="3438" t="s">
        <v>183</v>
      </c>
      <c r="G2" s="3438"/>
      <c r="H2" s="3438"/>
      <c r="I2" s="3438"/>
      <c r="J2" s="3438" t="s">
        <v>184</v>
      </c>
      <c r="K2" s="3438"/>
      <c r="L2" s="3438"/>
      <c r="M2" s="3438"/>
    </row>
    <row r="3" spans="1:13" ht="28.5">
      <c r="A3" s="3378"/>
      <c r="B3" s="3378"/>
      <c r="C3" s="3378"/>
      <c r="D3" s="3438"/>
      <c r="E3" s="3438"/>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200</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48" t="s">
        <v>639</v>
      </c>
      <c r="B2" s="3448"/>
      <c r="C2" s="3448"/>
      <c r="D2" s="2206" t="s">
        <v>640</v>
      </c>
      <c r="E2" s="19" t="s">
        <v>641</v>
      </c>
      <c r="F2" s="2222"/>
      <c r="G2" s="1176"/>
      <c r="H2" s="1177"/>
      <c r="I2" s="2214" t="s">
        <v>642</v>
      </c>
      <c r="J2" s="2222"/>
      <c r="K2" s="2222"/>
      <c r="L2" s="2222"/>
      <c r="M2" s="2222"/>
      <c r="N2" s="2231"/>
      <c r="O2" s="2222"/>
      <c r="P2" s="2222"/>
    </row>
    <row r="3" spans="1:16" ht="15.75" thickBot="1">
      <c r="A3" s="3449" t="s">
        <v>643</v>
      </c>
      <c r="B3" s="3449"/>
      <c r="C3" s="3449"/>
      <c r="D3" s="335">
        <f>'数据-基础表'!AY6</f>
        <v>17026.16</v>
      </c>
      <c r="E3" s="335">
        <f>'数据-基础表'!AZ5</f>
        <v>94727.57</v>
      </c>
      <c r="F3" s="2222"/>
      <c r="G3" s="442"/>
      <c r="H3" s="440" t="s">
        <v>644</v>
      </c>
      <c r="I3" s="344">
        <f>ROUND('数据-基础表'!B3/'数据-基础表'!A3,2)</f>
        <v>5.56</v>
      </c>
      <c r="J3" s="2222"/>
      <c r="K3" s="2222"/>
      <c r="L3" s="2222"/>
      <c r="M3" s="2222"/>
      <c r="N3" s="2231"/>
      <c r="O3" s="2222"/>
      <c r="P3" s="2222"/>
    </row>
    <row r="4" spans="1:16" ht="14.25">
      <c r="A4" s="3450"/>
      <c r="B4" s="3451"/>
      <c r="C4" s="3452"/>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3" t="s">
        <v>647</v>
      </c>
      <c r="C5" s="3453"/>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3" t="s">
        <v>648</v>
      </c>
      <c r="C6" s="3453"/>
      <c r="D6" s="337">
        <f>ROUND($D$3*E6/$E$3,2)</f>
        <v>17026.16</v>
      </c>
      <c r="E6" s="338">
        <f>E3-E5</f>
        <v>94727.57</v>
      </c>
      <c r="F6" s="2222"/>
      <c r="G6" s="1758" t="s">
        <v>1786</v>
      </c>
      <c r="H6" s="442" t="s">
        <v>645</v>
      </c>
      <c r="I6" s="1759">
        <f>ROUND(F31/D31,2)</f>
        <v>4.4800000000000004</v>
      </c>
      <c r="J6" s="2222"/>
      <c r="K6" s="2222"/>
      <c r="L6" s="2222"/>
      <c r="M6" s="2222"/>
      <c r="N6" s="2222"/>
      <c r="O6" s="2222"/>
      <c r="P6" s="2222"/>
    </row>
    <row r="7" spans="1:16" ht="14.25">
      <c r="A7" s="3445"/>
      <c r="B7" s="3446"/>
      <c r="C7" s="3447"/>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13706.13</v>
      </c>
      <c r="E8" s="340">
        <f>SUMIF('数据-基础表'!BB10:BK10,"地上",'数据-基础表'!BB5:BK5)</f>
        <v>76256.08</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912.29</v>
      </c>
      <c r="E10" s="340">
        <f>SUMPRODUCT(('数据-基础表'!BB10:BK10="地下")*('数据-基础表'!BB11:BK11="商业")*('数据-基础表'!BB5:BK5))</f>
        <v>5075.67</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1198.74</v>
      </c>
      <c r="E15" s="340">
        <f>SUMPRODUCT(('数据-基础表'!BB10:BK10="地下")*('数据-基础表'!BB11:BK11="车库—办公")*('数据-基础表'!BB5:BK5))</f>
        <v>6669.35</v>
      </c>
      <c r="F15" s="2222"/>
      <c r="G15" s="2223"/>
      <c r="H15" s="2223"/>
      <c r="I15" s="2222"/>
      <c r="J15" s="2222"/>
      <c r="K15" s="2222"/>
      <c r="L15" s="2222"/>
      <c r="M15" s="2222"/>
      <c r="N15" s="2222"/>
      <c r="O15" s="2222"/>
      <c r="P15" s="2222"/>
    </row>
    <row r="16" spans="1:16" ht="15" thickBot="1">
      <c r="A16" s="24"/>
      <c r="B16" s="28"/>
      <c r="C16" s="26" t="s">
        <v>658</v>
      </c>
      <c r="D16" s="339">
        <f>SUM(D8:D15)</f>
        <v>15817.159999999998</v>
      </c>
      <c r="E16" s="342">
        <f>SUM(E8:E15)</f>
        <v>88001.1</v>
      </c>
      <c r="F16" s="2222"/>
      <c r="G16" s="2223"/>
      <c r="H16" s="1175" t="s">
        <v>529</v>
      </c>
      <c r="I16" s="1179"/>
      <c r="J16" s="2222"/>
      <c r="K16" s="3442" t="s">
        <v>529</v>
      </c>
      <c r="L16" s="3443"/>
      <c r="M16" s="3443"/>
      <c r="N16" s="3443"/>
      <c r="O16" s="3443"/>
      <c r="P16" s="3444"/>
    </row>
    <row r="17" spans="1:19" ht="14.25">
      <c r="A17" s="29" t="s">
        <v>659</v>
      </c>
      <c r="B17" s="30" t="s">
        <v>660</v>
      </c>
      <c r="C17" s="34" t="s">
        <v>2383</v>
      </c>
      <c r="D17" s="2073" t="s">
        <v>640</v>
      </c>
      <c r="E17" s="2071" t="s">
        <v>641</v>
      </c>
      <c r="F17" s="36"/>
      <c r="G17" s="37"/>
      <c r="H17" s="1180" t="s">
        <v>661</v>
      </c>
      <c r="I17" s="1181" t="s">
        <v>203</v>
      </c>
      <c r="J17" s="2222"/>
      <c r="K17" s="3439" t="s">
        <v>667</v>
      </c>
      <c r="L17" s="3440"/>
      <c r="M17" s="3441"/>
      <c r="N17" s="3439" t="s">
        <v>2685</v>
      </c>
      <c r="O17" s="3440"/>
      <c r="P17" s="3441"/>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3091</v>
      </c>
      <c r="D19" s="337">
        <f>ROUND($D$3*E19/$E$3,2)</f>
        <v>12848.64</v>
      </c>
      <c r="E19" s="345">
        <f t="shared" ref="E19:E26" si="1">SUM(F19:G19)</f>
        <v>71485.3</v>
      </c>
      <c r="F19" s="346">
        <f>'数据-基础表'!I13+'数据-基础表'!I14+'数据-基础表'!I15</f>
        <v>71485.3</v>
      </c>
      <c r="G19" s="347"/>
      <c r="H19" s="1129">
        <f>ROUND($D$3*I19/$E$3,2)</f>
        <v>982.1</v>
      </c>
      <c r="I19" s="340">
        <f t="shared" ref="I19:I26" si="2">IF($I$17="自定义",P19,M19)</f>
        <v>5464.06</v>
      </c>
      <c r="J19" s="2222"/>
      <c r="K19" s="2804">
        <f t="shared" ref="K19:K26" si="3">ROUND(E$28*E19/E$27,2)</f>
        <v>5464.06</v>
      </c>
      <c r="L19" s="2484">
        <f t="shared" ref="L19:L26" si="4">ROUND(IF(COUNTIF(C19,"*住宅*")&gt;0,E$29*E19/E$32,0),2)</f>
        <v>0</v>
      </c>
      <c r="M19" s="2822">
        <f>K19+L19</f>
        <v>5464.06</v>
      </c>
      <c r="N19" s="2820"/>
      <c r="O19" s="2802"/>
      <c r="P19" s="2805">
        <f>N19+O19</f>
        <v>0</v>
      </c>
      <c r="R19" s="2484">
        <f t="shared" ref="R19:S26" si="5">D19+H19</f>
        <v>13830.74</v>
      </c>
      <c r="S19" s="2485">
        <f t="shared" si="5"/>
        <v>76949.36</v>
      </c>
    </row>
    <row r="20" spans="1:19" ht="14.25">
      <c r="A20" s="33"/>
      <c r="B20" s="26" t="s">
        <v>633</v>
      </c>
      <c r="C20" s="1417" t="s">
        <v>3092</v>
      </c>
      <c r="D20" s="337">
        <f t="shared" ref="D20:D26" si="6">ROUND($D$3*E20/$E$3,2)</f>
        <v>1769.78</v>
      </c>
      <c r="E20" s="345">
        <f t="shared" si="1"/>
        <v>9846.4500000000007</v>
      </c>
      <c r="F20" s="346">
        <f>'数据-基础表'!K13+'数据-基础表'!K14+'数据-基础表'!K15</f>
        <v>4770.78</v>
      </c>
      <c r="G20" s="347">
        <f>'数据-基础表'!O13+'数据-基础表'!O14+'数据-基础表'!O15</f>
        <v>5075.67</v>
      </c>
      <c r="H20" s="1129">
        <f t="shared" ref="H20:H26" si="7">ROUND($D$3*I20/$E$3,2)</f>
        <v>135.28</v>
      </c>
      <c r="I20" s="340">
        <f t="shared" si="2"/>
        <v>752.63</v>
      </c>
      <c r="J20" s="2222"/>
      <c r="K20" s="2804">
        <f t="shared" si="3"/>
        <v>752.63</v>
      </c>
      <c r="L20" s="2484">
        <f t="shared" si="4"/>
        <v>0</v>
      </c>
      <c r="M20" s="2822">
        <f t="shared" ref="M20:M26" si="8">K20+L20</f>
        <v>752.63</v>
      </c>
      <c r="N20" s="2820"/>
      <c r="O20" s="2802"/>
      <c r="P20" s="2805">
        <f t="shared" ref="P20:P26" si="9">N20+O20</f>
        <v>0</v>
      </c>
      <c r="R20" s="2484">
        <f t="shared" si="5"/>
        <v>1905.06</v>
      </c>
      <c r="S20" s="2485">
        <f t="shared" si="5"/>
        <v>10599.08</v>
      </c>
    </row>
    <row r="21" spans="1:19" ht="14.25">
      <c r="A21" s="33"/>
      <c r="B21" s="26" t="s">
        <v>633</v>
      </c>
      <c r="C21" s="1417" t="s">
        <v>3093</v>
      </c>
      <c r="D21" s="337">
        <f t="shared" si="6"/>
        <v>1198.74</v>
      </c>
      <c r="E21" s="345">
        <f t="shared" si="1"/>
        <v>6669.35</v>
      </c>
      <c r="F21" s="346"/>
      <c r="G21" s="347">
        <f>'数据-基础表'!M13+'数据-基础表'!M15</f>
        <v>6669.35</v>
      </c>
      <c r="H21" s="1129">
        <f t="shared" si="7"/>
        <v>91.63</v>
      </c>
      <c r="I21" s="340">
        <f t="shared" si="2"/>
        <v>509.78</v>
      </c>
      <c r="J21" s="2222"/>
      <c r="K21" s="2804">
        <f t="shared" si="3"/>
        <v>509.78</v>
      </c>
      <c r="L21" s="2484">
        <f t="shared" si="4"/>
        <v>0</v>
      </c>
      <c r="M21" s="2822">
        <f t="shared" si="8"/>
        <v>509.78</v>
      </c>
      <c r="N21" s="2820"/>
      <c r="O21" s="2802"/>
      <c r="P21" s="2805">
        <f t="shared" si="9"/>
        <v>0</v>
      </c>
      <c r="R21" s="2484">
        <f t="shared" si="5"/>
        <v>1290.3699999999999</v>
      </c>
      <c r="S21" s="2485">
        <f t="shared" si="5"/>
        <v>7179.13</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29.25" thickBot="1">
      <c r="A27" s="33"/>
      <c r="B27" s="23"/>
      <c r="C27" s="2775" t="s">
        <v>634</v>
      </c>
      <c r="D27" s="2807">
        <f>SUM(D19:D26)</f>
        <v>15817.16</v>
      </c>
      <c r="E27" s="2808">
        <f>IF(SUM(E19:E26)='数据-基础表'!BA5,SUM(E19:E26),IF(F27="地上面积有误","面积有误","地下面积有误"))</f>
        <v>88001.1</v>
      </c>
      <c r="F27" s="2807">
        <f>IF(SUM(F19:F26)=E8,SUM(F19:F26),"地上面积有误")</f>
        <v>76256.08</v>
      </c>
      <c r="G27" s="2809">
        <f>SUM(G19:G26)</f>
        <v>11745.02</v>
      </c>
      <c r="H27" s="2810">
        <f>SUM(H19:H26)</f>
        <v>1209.0100000000002</v>
      </c>
      <c r="I27" s="2811">
        <f>SUM(I19:I26)</f>
        <v>6726.47</v>
      </c>
      <c r="J27" s="2222"/>
      <c r="K27" s="2817">
        <f>SUM(K19:K26)</f>
        <v>6726.47</v>
      </c>
      <c r="L27" s="2818">
        <f>SUM(L19:L26)</f>
        <v>0</v>
      </c>
      <c r="M27" s="2823">
        <f>SUM(M19:M26)</f>
        <v>6726.47</v>
      </c>
      <c r="N27" s="2817">
        <f t="shared" ref="N27:O27" si="10">SUM(N19:N26)</f>
        <v>0</v>
      </c>
      <c r="O27" s="2818">
        <f t="shared" si="10"/>
        <v>0</v>
      </c>
      <c r="P27" s="2819">
        <f>SUM(P19:P26)</f>
        <v>0</v>
      </c>
      <c r="R27" s="2486" t="str">
        <f>IF(SUM(R19:R26)=$D$3,SUM(R19:R26),SUM(R19:R26)&amp;"误差"&amp;ROUND(SUM(R19:R26)-$D$3,2))</f>
        <v>17026.17误差0.01</v>
      </c>
      <c r="S27" s="2484">
        <f>IF(SUM(S19:S26)=$E$3,SUM(S19:S26),SUM(S19:S26)&amp;"误差"&amp;ROUND(SUM(S19:S26)-E3,2))</f>
        <v>94727.57</v>
      </c>
    </row>
    <row r="28" spans="1:19" ht="14.25">
      <c r="A28" s="33"/>
      <c r="B28" s="26" t="s">
        <v>635</v>
      </c>
      <c r="C28" s="5" t="s">
        <v>636</v>
      </c>
      <c r="D28" s="337">
        <f>ROUND($D$3*E28/$E$3,2)</f>
        <v>1209</v>
      </c>
      <c r="E28" s="345">
        <f>SUM(F28:G28)</f>
        <v>6726.4699999999975</v>
      </c>
      <c r="F28" s="354">
        <f>'数据-基础表'!BQ5+'数据-基础表'!BS5</f>
        <v>0</v>
      </c>
      <c r="G28" s="355">
        <f>'数据-基础表'!BR5+'数据-基础表'!BT5</f>
        <v>6726.4699999999975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1209</v>
      </c>
      <c r="E30" s="2807">
        <f>SUM(E28:E29)</f>
        <v>6726.4699999999975</v>
      </c>
      <c r="F30" s="2807">
        <f>SUM(F28:F29)</f>
        <v>0</v>
      </c>
      <c r="G30" s="2809">
        <f>SUM(G28:G29)</f>
        <v>6726.4699999999975</v>
      </c>
      <c r="H30" s="2222"/>
      <c r="I30" s="2222"/>
      <c r="J30" s="2222"/>
      <c r="K30" s="2222"/>
      <c r="L30" s="2222"/>
      <c r="M30" s="2222"/>
      <c r="N30" s="2806"/>
      <c r="O30" s="2806"/>
      <c r="P30" s="2222"/>
    </row>
    <row r="31" spans="1:19" ht="15.75" thickBot="1">
      <c r="A31" s="1184"/>
      <c r="B31" s="2523"/>
      <c r="C31" s="2524" t="s">
        <v>637</v>
      </c>
      <c r="D31" s="1185">
        <f>D27+D30</f>
        <v>17026.16</v>
      </c>
      <c r="E31" s="1185">
        <f>E27+E30</f>
        <v>94727.57</v>
      </c>
      <c r="F31" s="1186">
        <f>F27+F30</f>
        <v>76256.08</v>
      </c>
      <c r="G31" s="1187">
        <f>G27+G30</f>
        <v>18471.489999999998</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3094</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71485.3</v>
      </c>
      <c r="L6" s="1473">
        <v>3200</v>
      </c>
      <c r="M6" s="365">
        <f t="shared" ref="M6:M14" si="0">ROUND(K6*L6/10000,0)</f>
        <v>22875</v>
      </c>
      <c r="N6" s="1471">
        <v>0.4</v>
      </c>
      <c r="O6" s="365">
        <f>IF($N$5="成新度","——",ROUND(M6*N6,0))</f>
        <v>9150</v>
      </c>
      <c r="P6" s="366">
        <f>IF($N$5="成新度","——",M6-O6)</f>
        <v>13725</v>
      </c>
      <c r="Q6" s="1474">
        <v>0.25</v>
      </c>
      <c r="R6" s="367">
        <f ca="1">SUMIF('数据-汇总表'!C$19:C$33,A6,'数据-汇总表'!R$19:R$27)</f>
        <v>13830.74</v>
      </c>
      <c r="S6" s="343">
        <f>IF('数据-汇总表'!$I$17="按面积比例",SUMIF('数据-汇总表'!C$19:C$33,A6,'数据-汇总表'!K$19:K$33),SUMIF('数据-汇总表'!C$19:C$33,A6,'数据-汇总表'!N$19:N$33))</f>
        <v>5464.06</v>
      </c>
      <c r="T6" s="2890">
        <f>ROUND($L$14*S6/10000,0)</f>
        <v>1257</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503</v>
      </c>
      <c r="AR6" s="344">
        <f>ROUND($L$14*(1-$N$14)*S6/10000,0)</f>
        <v>754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9846.4500000000007</v>
      </c>
      <c r="L7" s="1473">
        <v>3200</v>
      </c>
      <c r="M7" s="365">
        <f t="shared" si="0"/>
        <v>3151</v>
      </c>
      <c r="N7" s="1471">
        <v>0.4</v>
      </c>
      <c r="O7" s="365">
        <f t="shared" ref="O7:O14" si="3">IF($N$5="成新度","——",ROUND(M7*N7,0))</f>
        <v>1260</v>
      </c>
      <c r="P7" s="366">
        <f t="shared" ref="P7:P14" si="4">IF($N$5="成新度","——",M7-O7)</f>
        <v>1891</v>
      </c>
      <c r="Q7" s="1474">
        <v>0.25</v>
      </c>
      <c r="R7" s="367">
        <f ca="1">SUMIF('数据-汇总表'!C$19:C$33,A7,'数据-汇总表'!R$19:R$27)</f>
        <v>1905.06</v>
      </c>
      <c r="S7" s="343">
        <f>IF('数据-汇总表'!$I$17="按面积比例",SUMIF('数据-汇总表'!C$19:C$33,A7,'数据-汇总表'!K$19:K$33),SUMIF('数据-汇总表'!C$19:C$33,A7,'数据-汇总表'!N$19:N$33))</f>
        <v>752.63</v>
      </c>
      <c r="T7" s="2890">
        <f t="shared" ref="T7:T13" si="5">ROUND($L$14*S7/10000,0)</f>
        <v>173</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69</v>
      </c>
      <c r="AR7" s="344">
        <f t="shared" ref="AR7:AR13" si="11">ROUND($L$14*(1-$N$14)*S7/10000,0)</f>
        <v>104</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6669.35</v>
      </c>
      <c r="L8" s="1473">
        <v>2300</v>
      </c>
      <c r="M8" s="365">
        <f>ROUND(K8*L8/10000,0)</f>
        <v>1534</v>
      </c>
      <c r="N8" s="1471">
        <v>0.4</v>
      </c>
      <c r="O8" s="365">
        <f t="shared" si="3"/>
        <v>614</v>
      </c>
      <c r="P8" s="366">
        <f t="shared" si="4"/>
        <v>920</v>
      </c>
      <c r="Q8" s="1474">
        <v>0.15</v>
      </c>
      <c r="R8" s="367">
        <f ca="1">SUMIF('数据-汇总表'!C$19:C$33,A8,'数据-汇总表'!R$19:R$27)</f>
        <v>1290.3699999999999</v>
      </c>
      <c r="S8" s="343">
        <f>IF('数据-汇总表'!$I$17="按面积比例",SUMIF('数据-汇总表'!C$19:C$33,A8,'数据-汇总表'!K$19:K$33),SUMIF('数据-汇总表'!C$19:C$33,A8,'数据-汇总表'!N$19:N$33))</f>
        <v>509.78</v>
      </c>
      <c r="T8" s="2890">
        <f t="shared" si="5"/>
        <v>117</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47</v>
      </c>
      <c r="AR8" s="344">
        <f t="shared" si="11"/>
        <v>70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6726.4699999999975</v>
      </c>
      <c r="L14" s="381">
        <v>2300</v>
      </c>
      <c r="M14" s="365">
        <f t="shared" si="0"/>
        <v>1547</v>
      </c>
      <c r="N14" s="382">
        <v>0.4</v>
      </c>
      <c r="O14" s="365">
        <f t="shared" si="3"/>
        <v>619</v>
      </c>
      <c r="P14" s="366">
        <f t="shared" si="4"/>
        <v>928</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0.05</v>
      </c>
      <c r="I16" s="390"/>
      <c r="J16" s="390"/>
      <c r="K16" s="391">
        <f>SUM(K6:K15)</f>
        <v>94727.57</v>
      </c>
      <c r="L16" s="392">
        <f>ROUND(M16*10000/SUM(K6:K14),0)</f>
        <v>3073</v>
      </c>
      <c r="M16" s="392">
        <f>SUM(M6:M14)</f>
        <v>29107</v>
      </c>
      <c r="N16" s="393">
        <f>ROUND(SUMPRODUCT(M6:M14,N6:N14)/M16,3)</f>
        <v>0.4</v>
      </c>
      <c r="O16" s="392">
        <f>SUM(O6:O14)</f>
        <v>11643</v>
      </c>
      <c r="P16" s="392">
        <f>SUM(P6:P14)</f>
        <v>17464</v>
      </c>
      <c r="Q16" s="394">
        <f>ROUND(SUMPRODUCT(Q6:Q13,K6:K13)/SUMPRODUCT((Q6:Q13&gt;0)*(K6:K13)),2)</f>
        <v>0.24</v>
      </c>
      <c r="R16" s="2497">
        <f ca="1">SUM(R6:R13)</f>
        <v>17026.169999999998</v>
      </c>
      <c r="S16" s="395">
        <f>SUM(S6:S13)</f>
        <v>6726.47</v>
      </c>
      <c r="T16" s="396">
        <f>IF(SUMIF(T6:T13,"&lt;9E307")=M14,SUMIF(T6:T13,"&lt;9E307"),"有误，请检查")</f>
        <v>1547</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0.7</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0.7</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2.2999999999999998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v>1895</v>
      </c>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8"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8"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8"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8"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8"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8"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3">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8"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89"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89"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1"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1"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4" t="s">
        <v>746</v>
      </c>
      <c r="B1" s="3455"/>
      <c r="C1" s="3455"/>
      <c r="D1" s="3455"/>
      <c r="E1" s="3455"/>
      <c r="F1" s="3455"/>
      <c r="G1" s="3455"/>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0"/>
      <c r="D3" s="2253"/>
      <c r="E3" s="1026" t="s">
        <v>749</v>
      </c>
      <c r="F3" s="1210" t="s">
        <v>97</v>
      </c>
      <c r="G3" s="3294" t="s">
        <v>3009</v>
      </c>
      <c r="H3" s="2252"/>
      <c r="I3" s="2252"/>
      <c r="J3" s="2252"/>
      <c r="K3" s="2252"/>
      <c r="L3" s="2252"/>
      <c r="M3" s="2252"/>
      <c r="N3" s="2252"/>
      <c r="O3" s="2252"/>
      <c r="P3" s="2252"/>
      <c r="Q3" s="2252"/>
      <c r="R3" s="2252"/>
    </row>
    <row r="4" spans="1:29" ht="54">
      <c r="A4" s="1026"/>
      <c r="B4" s="2208" t="s">
        <v>750</v>
      </c>
      <c r="C4" s="3291" t="s">
        <v>3190</v>
      </c>
      <c r="D4" s="2253"/>
      <c r="E4" s="1211"/>
      <c r="F4" s="2212" t="s">
        <v>751</v>
      </c>
      <c r="G4" s="3292" t="s">
        <v>752</v>
      </c>
      <c r="H4" s="2252"/>
      <c r="I4" s="2252"/>
      <c r="J4" s="2252"/>
      <c r="K4" s="2252"/>
      <c r="L4" s="2252"/>
      <c r="M4" s="2252"/>
      <c r="N4" s="2252"/>
      <c r="O4" s="2252"/>
      <c r="P4" s="2252"/>
      <c r="Q4" s="2252"/>
      <c r="R4" s="2252"/>
    </row>
    <row r="5" spans="1:29" ht="54">
      <c r="A5" s="1026"/>
      <c r="B5" s="2208" t="s">
        <v>753</v>
      </c>
      <c r="C5" s="3291" t="s">
        <v>3191</v>
      </c>
      <c r="D5" s="2253"/>
      <c r="E5" s="1211"/>
      <c r="F5" s="2741" t="s">
        <v>2625</v>
      </c>
      <c r="G5" s="3292" t="s">
        <v>2627</v>
      </c>
      <c r="H5" s="2252"/>
      <c r="I5" s="2252"/>
      <c r="J5" s="2252"/>
      <c r="K5" s="2252"/>
      <c r="L5" s="2252"/>
      <c r="M5" s="2252"/>
      <c r="N5" s="2252"/>
      <c r="O5" s="2252"/>
      <c r="P5" s="2252"/>
      <c r="Q5" s="2252"/>
      <c r="R5" s="2252"/>
    </row>
    <row r="6" spans="1:29" ht="54">
      <c r="A6" s="1026"/>
      <c r="B6" s="2208" t="s">
        <v>70</v>
      </c>
      <c r="C6" s="3292" t="s">
        <v>3192</v>
      </c>
      <c r="D6" s="2253"/>
      <c r="E6" s="1211"/>
      <c r="F6" s="2741" t="s">
        <v>2624</v>
      </c>
      <c r="G6" s="3292" t="s">
        <v>2626</v>
      </c>
      <c r="H6" s="2252"/>
      <c r="I6" s="2252"/>
      <c r="J6" s="2252"/>
      <c r="K6" s="2252"/>
      <c r="L6" s="2252"/>
      <c r="M6" s="2252"/>
      <c r="N6" s="2252"/>
      <c r="O6" s="2252"/>
      <c r="P6" s="2252"/>
      <c r="Q6" s="2252"/>
      <c r="R6" s="2252"/>
    </row>
    <row r="7" spans="1:29" ht="41.25" thickBot="1">
      <c r="A7" s="1026"/>
      <c r="B7" s="2208" t="s">
        <v>2625</v>
      </c>
      <c r="C7" s="3292" t="s">
        <v>3193</v>
      </c>
      <c r="D7" s="2254"/>
      <c r="E7" s="1212"/>
      <c r="F7" s="1213" t="s">
        <v>732</v>
      </c>
      <c r="G7" s="3295" t="s">
        <v>3010</v>
      </c>
      <c r="H7" s="2252"/>
      <c r="I7" s="2252"/>
      <c r="J7" s="2252"/>
      <c r="K7" s="2252"/>
      <c r="L7" s="2252"/>
      <c r="M7" s="2252"/>
      <c r="N7" s="2252"/>
      <c r="O7" s="2252"/>
      <c r="P7" s="2252"/>
      <c r="Q7" s="2252"/>
      <c r="R7" s="2252"/>
    </row>
    <row r="8" spans="1:29" ht="27">
      <c r="A8" s="1026"/>
      <c r="B8" s="2741" t="s">
        <v>2624</v>
      </c>
      <c r="C8" s="3292" t="s">
        <v>3194</v>
      </c>
      <c r="D8" s="2254"/>
      <c r="E8" s="2254"/>
      <c r="F8" s="2255"/>
      <c r="G8" s="2255"/>
      <c r="H8" s="2252"/>
      <c r="I8" s="2252"/>
      <c r="J8" s="2252"/>
      <c r="K8" s="2252"/>
      <c r="L8" s="2252"/>
      <c r="M8" s="2252"/>
      <c r="N8" s="2252"/>
      <c r="O8" s="2252"/>
      <c r="P8" s="2252"/>
      <c r="Q8" s="2252"/>
      <c r="R8" s="2252"/>
    </row>
    <row r="9" spans="1:29" ht="54">
      <c r="A9" s="1026"/>
      <c r="B9" s="2208" t="s">
        <v>71</v>
      </c>
      <c r="C9" s="3291" t="s">
        <v>3195</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3" t="s">
        <v>3196</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3197</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3198</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RowHeight="13.5"/>
  <cols>
    <col min="1" max="1" width="23.375" style="3251" customWidth="1"/>
    <col min="2" max="9" width="15.75" style="3251" customWidth="1"/>
    <col min="10" max="16384" width="9" style="3251"/>
  </cols>
  <sheetData>
    <row r="1" spans="1:10" ht="16.5">
      <c r="A1" s="3256" t="s">
        <v>2979</v>
      </c>
      <c r="B1" s="3256">
        <f>SUM(B14:B23)</f>
        <v>151137.66999999998</v>
      </c>
      <c r="C1" s="3255"/>
      <c r="D1" s="3255"/>
      <c r="E1" s="3255"/>
      <c r="F1" s="3255"/>
      <c r="G1" s="3253"/>
    </row>
    <row r="2" spans="1:10" ht="16.5">
      <c r="A2" s="3256" t="s">
        <v>2967</v>
      </c>
      <c r="B2" s="3256">
        <f>SUM(C14:C23)</f>
        <v>27165.21</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465835</v>
      </c>
      <c r="C5" s="3256">
        <f ca="1">ROUND(B5*10000/$B$1,0)</f>
        <v>30822</v>
      </c>
      <c r="D5" s="3256">
        <f ca="1">ROUND(B5*10000/$B$2,0)</f>
        <v>171482</v>
      </c>
      <c r="E5" s="3255"/>
      <c r="F5" s="3253"/>
      <c r="G5" s="3253"/>
    </row>
    <row r="6" spans="1:10" ht="16.5">
      <c r="A6" s="3256" t="s">
        <v>2970</v>
      </c>
      <c r="B6" s="3256">
        <f ca="1">SUM(G14:G23)</f>
        <v>315470</v>
      </c>
      <c r="C6" s="3256">
        <f ca="1">ROUND(B6*10000/$B$1,0)</f>
        <v>20873</v>
      </c>
      <c r="D6" s="3256">
        <f ca="1">ROUND(B6*10000/$B$2,0)</f>
        <v>116130</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94727.57</v>
      </c>
      <c r="C14" s="3254">
        <f>'数据-汇总表'!D3</f>
        <v>17026.16</v>
      </c>
      <c r="D14" s="3254">
        <f ca="1">结果表!H118</f>
        <v>315470</v>
      </c>
      <c r="E14" s="3254">
        <f ca="1">ROUND(D14*10000/B14,0)</f>
        <v>33303</v>
      </c>
      <c r="F14" s="3254">
        <f ca="1">ROUND(D14*10000/C14,0)</f>
        <v>185285</v>
      </c>
      <c r="G14" s="3254">
        <f ca="1">结果表!D122</f>
        <v>315470</v>
      </c>
      <c r="H14" s="3254" t="str">
        <f>结果表!D124</f>
        <v>——</v>
      </c>
      <c r="I14" s="3254" t="str">
        <f>结果表!D126</f>
        <v>——</v>
      </c>
      <c r="J14" s="3253"/>
    </row>
    <row r="15" spans="1:10" ht="16.5">
      <c r="A15" s="3252" t="s">
        <v>2963</v>
      </c>
      <c r="B15" s="3259">
        <f>[2]结果表!$B$118</f>
        <v>56410.099999999991</v>
      </c>
      <c r="C15" s="3259">
        <f>[2]结果表!$C$118</f>
        <v>10139.049999999999</v>
      </c>
      <c r="D15" s="3259">
        <f ca="1">[2]结果表!$H$118</f>
        <v>150365</v>
      </c>
      <c r="E15" s="3254">
        <f t="shared" ref="E15:E23" ca="1" si="0">ROUND(D15*10000/B15,0)</f>
        <v>26656</v>
      </c>
      <c r="F15" s="3254">
        <f t="shared" ref="F15:F23" ca="1" si="1">ROUND(D15*10000/C15,0)</f>
        <v>148303</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3061</v>
      </c>
      <c r="H1" s="2108" t="str">
        <f>IF(G1="现房","——","估价对象范围")</f>
        <v>估价对象范围</v>
      </c>
      <c r="I1" s="2085" t="s">
        <v>3337</v>
      </c>
    </row>
    <row r="2" spans="1:12" ht="21.75" customHeight="1" thickBot="1">
      <c r="A2" s="3533"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2" s="3534"/>
      <c r="C2" s="3534"/>
      <c r="D2" s="3534"/>
      <c r="E2" s="3534"/>
      <c r="F2" s="3534"/>
      <c r="G2" s="3534"/>
      <c r="H2" s="3534"/>
      <c r="I2" s="3535"/>
    </row>
    <row r="3" spans="1:12" ht="12">
      <c r="A3" s="3537" t="s">
        <v>10</v>
      </c>
      <c r="B3" s="3538"/>
      <c r="C3" s="3538"/>
      <c r="D3" s="3538"/>
      <c r="E3" s="3538"/>
      <c r="F3" s="3538"/>
      <c r="G3" s="3538"/>
      <c r="H3" s="3538"/>
      <c r="I3" s="3538"/>
    </row>
    <row r="4" spans="1:12" ht="13.5">
      <c r="A4" s="429" t="s">
        <v>11</v>
      </c>
      <c r="B4" s="430" t="s">
        <v>12</v>
      </c>
      <c r="C4" s="431" t="s">
        <v>3335</v>
      </c>
      <c r="D4" s="431" t="s">
        <v>3336</v>
      </c>
      <c r="E4" s="3542" t="s">
        <v>755</v>
      </c>
      <c r="F4" s="3543"/>
      <c r="G4" s="3543"/>
      <c r="H4" s="3543"/>
      <c r="I4" s="3544"/>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08" t="s">
        <v>13</v>
      </c>
      <c r="B5" s="3536">
        <v>25</v>
      </c>
      <c r="C5" s="3539"/>
      <c r="D5" s="3526"/>
      <c r="E5" s="471" t="s">
        <v>799</v>
      </c>
      <c r="F5" s="432"/>
      <c r="G5" s="432"/>
      <c r="H5" s="432"/>
      <c r="I5" s="433"/>
    </row>
    <row r="6" spans="1:12" ht="12.75">
      <c r="A6" s="3508"/>
      <c r="B6" s="3536"/>
      <c r="C6" s="3541"/>
      <c r="D6" s="3526"/>
      <c r="E6" s="471" t="s">
        <v>800</v>
      </c>
      <c r="F6" s="432"/>
      <c r="G6" s="432"/>
      <c r="H6" s="432"/>
      <c r="I6" s="433"/>
    </row>
    <row r="7" spans="1:12" ht="12.75">
      <c r="A7" s="3508"/>
      <c r="B7" s="3536"/>
      <c r="C7" s="3540"/>
      <c r="D7" s="3526"/>
      <c r="E7" s="471" t="s">
        <v>801</v>
      </c>
      <c r="F7" s="432"/>
      <c r="G7" s="432"/>
      <c r="H7" s="432"/>
      <c r="I7" s="433"/>
    </row>
    <row r="8" spans="1:12" ht="12.75">
      <c r="A8" s="3508" t="s">
        <v>14</v>
      </c>
      <c r="B8" s="3536">
        <v>15</v>
      </c>
      <c r="C8" s="3539"/>
      <c r="D8" s="3526"/>
      <c r="E8" s="471" t="s">
        <v>802</v>
      </c>
      <c r="F8" s="432"/>
      <c r="G8" s="432"/>
      <c r="H8" s="432"/>
      <c r="I8" s="433"/>
    </row>
    <row r="9" spans="1:12" ht="12.75">
      <c r="A9" s="3508"/>
      <c r="B9" s="3536"/>
      <c r="C9" s="3540"/>
      <c r="D9" s="3526"/>
      <c r="E9" s="471" t="s">
        <v>803</v>
      </c>
      <c r="F9" s="432"/>
      <c r="G9" s="432"/>
      <c r="H9" s="432"/>
      <c r="I9" s="433"/>
    </row>
    <row r="10" spans="1:12" ht="12.75">
      <c r="A10" s="3508" t="s">
        <v>15</v>
      </c>
      <c r="B10" s="3536">
        <v>15</v>
      </c>
      <c r="C10" s="3539"/>
      <c r="D10" s="3526"/>
      <c r="E10" s="471" t="s">
        <v>804</v>
      </c>
      <c r="F10" s="432"/>
      <c r="G10" s="432"/>
      <c r="H10" s="432"/>
      <c r="I10" s="433"/>
    </row>
    <row r="11" spans="1:12" ht="12.75">
      <c r="A11" s="3508"/>
      <c r="B11" s="3536"/>
      <c r="C11" s="3540"/>
      <c r="D11" s="3526"/>
      <c r="E11" s="471" t="s">
        <v>805</v>
      </c>
      <c r="F11" s="432"/>
      <c r="G11" s="432"/>
      <c r="H11" s="432"/>
      <c r="I11" s="433"/>
    </row>
    <row r="12" spans="1:12" ht="12.75">
      <c r="A12" s="3508" t="s">
        <v>16</v>
      </c>
      <c r="B12" s="3536">
        <v>15</v>
      </c>
      <c r="C12" s="3539"/>
      <c r="D12" s="3526"/>
      <c r="E12" s="471" t="s">
        <v>806</v>
      </c>
      <c r="F12" s="432"/>
      <c r="G12" s="432"/>
      <c r="H12" s="432"/>
      <c r="I12" s="433"/>
    </row>
    <row r="13" spans="1:12" ht="12.75">
      <c r="A13" s="3508"/>
      <c r="B13" s="3536"/>
      <c r="C13" s="3540"/>
      <c r="D13" s="3526"/>
      <c r="E13" s="471" t="s">
        <v>807</v>
      </c>
      <c r="F13" s="432"/>
      <c r="G13" s="432"/>
      <c r="H13" s="432"/>
      <c r="I13" s="433"/>
    </row>
    <row r="14" spans="1:12" ht="12.75">
      <c r="A14" s="3508" t="s">
        <v>17</v>
      </c>
      <c r="B14" s="3536">
        <v>30</v>
      </c>
      <c r="C14" s="3539">
        <v>5</v>
      </c>
      <c r="D14" s="3526">
        <v>5</v>
      </c>
      <c r="E14" s="471" t="s">
        <v>808</v>
      </c>
      <c r="F14" s="432"/>
      <c r="G14" s="432"/>
      <c r="H14" s="432"/>
      <c r="I14" s="433"/>
    </row>
    <row r="15" spans="1:12" ht="12.75">
      <c r="A15" s="3508"/>
      <c r="B15" s="3536"/>
      <c r="C15" s="3541"/>
      <c r="D15" s="3526"/>
      <c r="E15" s="471" t="s">
        <v>809</v>
      </c>
      <c r="F15" s="432"/>
      <c r="G15" s="432"/>
      <c r="H15" s="432"/>
      <c r="I15" s="433"/>
    </row>
    <row r="16" spans="1:12" ht="12.75">
      <c r="A16" s="3508"/>
      <c r="B16" s="3536"/>
      <c r="C16" s="3540"/>
      <c r="D16" s="3526"/>
      <c r="E16" s="471" t="s">
        <v>810</v>
      </c>
      <c r="F16" s="432"/>
      <c r="G16" s="432"/>
      <c r="H16" s="432"/>
      <c r="I16" s="433"/>
    </row>
    <row r="17" spans="1:35" ht="14.25">
      <c r="A17" s="434" t="s">
        <v>18</v>
      </c>
      <c r="B17" s="38"/>
      <c r="C17" s="472">
        <f>SUM(C5:C16)</f>
        <v>5</v>
      </c>
      <c r="D17" s="472">
        <f>SUM(D5:D16)</f>
        <v>5</v>
      </c>
      <c r="E17" s="2273"/>
      <c r="F17" s="2273"/>
      <c r="G17" s="2273"/>
      <c r="H17" s="2273"/>
      <c r="I17" s="2273"/>
      <c r="K17" s="2180"/>
      <c r="L17" s="2181" t="s">
        <v>2309</v>
      </c>
      <c r="M17" s="2181" t="s">
        <v>2310</v>
      </c>
    </row>
    <row r="18" spans="1:35" ht="15" thickBot="1">
      <c r="A18" s="435" t="s">
        <v>19</v>
      </c>
      <c r="B18" s="18"/>
      <c r="C18" s="473">
        <f>ROUND(C17/SUM(C17:D17),2)</f>
        <v>0.5</v>
      </c>
      <c r="D18" s="473">
        <f>1-C18</f>
        <v>0.5</v>
      </c>
      <c r="E18" s="2273"/>
      <c r="F18" s="2273"/>
      <c r="G18" s="2273"/>
      <c r="H18" s="2273"/>
      <c r="I18" s="2273"/>
      <c r="K18" s="2180" t="s">
        <v>2124</v>
      </c>
      <c r="L18" s="2180">
        <f>IF(C1="",'数据-汇总表'!E3,SUMIF(项目类型,C1,'数据-汇总表'!E17:E26)+SUMIF(项目类型,C1,'数据-汇总表'!I17:I26))</f>
        <v>94727.57</v>
      </c>
      <c r="M18" s="2180">
        <f>IF(C1="",'数据-汇总表'!E3,SUMIF(项目类型,C1,'数据-汇总表'!E17:E26))</f>
        <v>94727.57</v>
      </c>
    </row>
    <row r="19" spans="1:35" ht="14.25">
      <c r="A19" s="436" t="s">
        <v>178</v>
      </c>
      <c r="B19" s="437" t="s">
        <v>20</v>
      </c>
      <c r="C19" s="474">
        <f ca="1">SUMIF(INDIRECT("'"&amp;C4&amp;"'"&amp;"!A:A"),结果表!B19,INDIRECT("'"&amp;C4&amp;"'"&amp;"!B:B"))</f>
        <v>314959</v>
      </c>
      <c r="D19" s="475">
        <f ca="1">SUMIF(INDIRECT("'"&amp;D4&amp;"'"&amp;"!A:A"),结果表!B19,INDIRECT("'"&amp;D4&amp;"'"&amp;"!B:B"))</f>
        <v>315980</v>
      </c>
      <c r="E19" s="436" t="s">
        <v>177</v>
      </c>
      <c r="F19" s="437" t="s">
        <v>20</v>
      </c>
      <c r="G19" s="476">
        <f ca="1">ROUND(C19*$C$18+D19*$D$18,0)</f>
        <v>315470</v>
      </c>
      <c r="H19" s="438" t="s">
        <v>224</v>
      </c>
      <c r="I19" s="2273"/>
      <c r="J19" s="1442">
        <f ca="1">G19+[2]结果表!$G$19</f>
        <v>465835</v>
      </c>
      <c r="K19" s="2180" t="s">
        <v>2125</v>
      </c>
      <c r="L19" s="2180">
        <f>IF(C1="",'数据-汇总表'!D3,SUMIF(项目类型,C1,'数据-汇总表'!D17:D26)+SUMIF(项目类型,C1,'数据-汇总表'!H17:H27))</f>
        <v>17026.16</v>
      </c>
      <c r="M19" s="2180">
        <f>IF(C1="",'数据-汇总表'!D3,SUMIF(项目类型,C1,'数据-汇总表'!D17:D26))</f>
        <v>17026.16</v>
      </c>
    </row>
    <row r="20" spans="1:35" ht="14.25">
      <c r="A20" s="439"/>
      <c r="B20" s="440" t="s">
        <v>21</v>
      </c>
      <c r="C20" s="477">
        <f ca="1">SUMIF(INDIRECT("'"&amp;C4&amp;"'"&amp;"!A:A"),结果表!B20,INDIRECT("'"&amp;C4&amp;"'"&amp;"!B:B"))</f>
        <v>33249</v>
      </c>
      <c r="D20" s="478">
        <f ca="1">SUMIF(INDIRECT("'"&amp;D4&amp;"'"&amp;"!A:A"),结果表!B20,INDIRECT("'"&amp;D4&amp;"'"&amp;"!B:B"))</f>
        <v>33357</v>
      </c>
      <c r="E20" s="439"/>
      <c r="F20" s="440" t="s">
        <v>21</v>
      </c>
      <c r="G20" s="479">
        <f ca="1">ROUND(C20*$C$18+D20*$D$18,0)</f>
        <v>33303</v>
      </c>
      <c r="H20" s="441" t="s">
        <v>223</v>
      </c>
      <c r="I20" s="2273"/>
    </row>
    <row r="21" spans="1:35" ht="15" customHeight="1" thickBot="1">
      <c r="A21" s="443"/>
      <c r="B21" s="444" t="s">
        <v>22</v>
      </c>
      <c r="C21" s="1418">
        <f ca="1">ROUND(C19*10000/L19,0)</f>
        <v>184985</v>
      </c>
      <c r="D21" s="1419">
        <f ca="1">ROUND(D19*10000/L19,0)</f>
        <v>185585</v>
      </c>
      <c r="E21" s="443"/>
      <c r="F21" s="444" t="s">
        <v>22</v>
      </c>
      <c r="G21" s="480">
        <f ca="1">ROUND(G19*10000/L19,0)</f>
        <v>185285</v>
      </c>
      <c r="H21" s="445" t="s">
        <v>223</v>
      </c>
      <c r="I21" s="2273"/>
    </row>
    <row r="22" spans="1:35" ht="15" thickBot="1">
      <c r="A22" s="275" t="s">
        <v>179</v>
      </c>
      <c r="B22" s="1420"/>
      <c r="C22" s="1421"/>
      <c r="D22" s="1422">
        <f ca="1">IF(C19&lt;D19,D19/C19-1,C19/D19-1)</f>
        <v>3.2416917757549513E-3</v>
      </c>
      <c r="E22" s="2273"/>
      <c r="F22" s="2273"/>
      <c r="G22" s="2273"/>
      <c r="H22" s="2273"/>
      <c r="I22" s="2273"/>
    </row>
    <row r="23" spans="1:35" ht="12.75" thickBot="1">
      <c r="A23" s="1239"/>
      <c r="B23" s="1239"/>
      <c r="C23" s="1239"/>
      <c r="D23" s="1239"/>
      <c r="E23" s="2273"/>
      <c r="F23" s="2273"/>
      <c r="G23" s="2273"/>
      <c r="H23" s="2273"/>
      <c r="I23" s="2273"/>
    </row>
    <row r="24" spans="1:35" ht="14.25">
      <c r="A24" s="3551" t="s">
        <v>175</v>
      </c>
      <c r="B24" s="437" t="s">
        <v>20</v>
      </c>
      <c r="C24" s="476">
        <f>IF(B30=0,0,D30)</f>
        <v>0</v>
      </c>
      <c r="D24" s="446"/>
      <c r="E24" s="2273"/>
      <c r="F24" s="2273"/>
      <c r="G24" s="2273"/>
      <c r="H24" s="2273"/>
      <c r="I24" s="2273"/>
    </row>
    <row r="25" spans="1:35" ht="14.25">
      <c r="A25" s="3552"/>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315470</v>
      </c>
      <c r="D32" s="2089" t="s">
        <v>206</v>
      </c>
      <c r="E32" s="2273"/>
      <c r="F32" s="2273"/>
      <c r="G32" s="2273"/>
      <c r="H32" s="2273"/>
      <c r="I32" s="2273"/>
    </row>
    <row r="33" spans="1:15" ht="13.5">
      <c r="A33" s="457" t="s">
        <v>756</v>
      </c>
      <c r="B33" s="2088"/>
      <c r="C33" s="2873" t="s">
        <v>3402</v>
      </c>
      <c r="D33" s="2876" t="s">
        <v>3335</v>
      </c>
      <c r="E33" s="2086" t="s">
        <v>2104</v>
      </c>
      <c r="F33" s="2087" t="str">
        <f>IF(D32="楼面单价","取值（单价）","取值（总价）")</f>
        <v>取值（总价）</v>
      </c>
      <c r="G33" s="2273"/>
      <c r="H33" s="2273"/>
      <c r="I33" s="2273"/>
    </row>
    <row r="34" spans="1:15" ht="15">
      <c r="A34" s="458"/>
      <c r="B34" s="459" t="s">
        <v>759</v>
      </c>
      <c r="C34" s="489">
        <f ca="1">IF(C33="自定义",F34,C32-C35)</f>
        <v>297488</v>
      </c>
      <c r="D34" s="2090">
        <f ca="1">IF(C33="自定义",ROUND(C34/C32,3),IF(C33="收益比率",SUMIF(INDIRECT("'"&amp;D33&amp;"'"&amp;"!b:b"),"土地收益比率",INDIRECT("'"&amp;D33&amp;"'"&amp;"!c:c")),SUMIF(INDIRECT("'"&amp;D33&amp;"'"&amp;"!b:b"),"土地成本比率",INDIRECT("'"&amp;D33&amp;"'"&amp;"!c:c"))))</f>
        <v>0.94299999999999995</v>
      </c>
      <c r="E34" s="2874" t="s">
        <v>2105</v>
      </c>
      <c r="F34" s="3249"/>
      <c r="G34" s="2273"/>
      <c r="H34" s="2273"/>
      <c r="I34" s="2273"/>
    </row>
    <row r="35" spans="1:15" ht="15.75" thickBot="1">
      <c r="A35" s="461"/>
      <c r="B35" s="2877" t="s">
        <v>761</v>
      </c>
      <c r="C35" s="2878">
        <f ca="1">IF(C33="自定义",F35,ROUND(C32*D35,0))</f>
        <v>17982</v>
      </c>
      <c r="D35" s="2879">
        <f ca="1">IF(C33="自定义",ROUND(C35/C32,3),IF(C33="收益比率",SUMIF(INDIRECT("'"&amp;D33&amp;"'"&amp;"!b:b"),"建筑物收益比率",INDIRECT("'"&amp;D33&amp;"'"&amp;"!c:c")),SUMIF(INDIRECT("'"&amp;D33&amp;"'"&amp;"!b:b"),"建筑物成本比率",INDIRECT("'"&amp;D33&amp;"'"&amp;"!c:c"))))</f>
        <v>5.7000000000000002E-2</v>
      </c>
      <c r="E35" s="2875" t="s">
        <v>2106</v>
      </c>
      <c r="F35" s="495"/>
      <c r="G35" s="2273"/>
      <c r="H35" s="2273"/>
      <c r="I35" s="2273"/>
    </row>
    <row r="36" spans="1:15" ht="15.75" thickBot="1">
      <c r="A36" s="3527" t="s">
        <v>757</v>
      </c>
      <c r="B36" s="455" t="s">
        <v>758</v>
      </c>
      <c r="C36" s="486"/>
      <c r="D36" s="456"/>
      <c r="E36" s="1242"/>
      <c r="F36" s="2274"/>
      <c r="G36" s="2273"/>
      <c r="H36" s="2273"/>
      <c r="I36" s="2273"/>
    </row>
    <row r="37" spans="1:15" ht="15.75" thickBot="1">
      <c r="A37" s="3528"/>
      <c r="B37" s="13" t="s">
        <v>760</v>
      </c>
      <c r="C37" s="488"/>
      <c r="D37" s="2222"/>
      <c r="E37" s="2222"/>
      <c r="F37" s="2274"/>
      <c r="G37" s="2273"/>
      <c r="H37" s="2273"/>
      <c r="I37" s="2273"/>
    </row>
    <row r="38" spans="1:15" ht="15.75" thickBot="1">
      <c r="A38" s="3529"/>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548" t="s">
        <v>791</v>
      </c>
      <c r="B45" s="3549"/>
      <c r="C45" s="3550"/>
      <c r="D45" s="496">
        <f ca="1">ROUND(I45*F45,0)</f>
        <v>372668</v>
      </c>
      <c r="E45" s="497" t="s">
        <v>792</v>
      </c>
      <c r="F45" s="498">
        <v>0.8</v>
      </c>
      <c r="G45" s="499" t="s">
        <v>793</v>
      </c>
      <c r="H45" s="2273"/>
      <c r="I45" s="3741">
        <f ca="1">G19+[2]结果表!$G$19</f>
        <v>465835</v>
      </c>
      <c r="J45" s="3458" t="s">
        <v>211</v>
      </c>
      <c r="K45" s="3458"/>
      <c r="L45" s="3458"/>
      <c r="M45" s="3458"/>
      <c r="N45" s="3458"/>
      <c r="O45" s="3458"/>
    </row>
    <row r="46" spans="1:15" ht="14.25" customHeight="1">
      <c r="A46" s="3545" t="s">
        <v>283</v>
      </c>
      <c r="B46" s="3546"/>
      <c r="C46" s="3546"/>
      <c r="D46" s="3546"/>
      <c r="E46" s="3546"/>
      <c r="F46" s="3546"/>
      <c r="G46" s="3547"/>
      <c r="H46" s="2275"/>
      <c r="I46" s="2228"/>
      <c r="J46" s="1497">
        <v>1</v>
      </c>
      <c r="K46" s="3458" t="s">
        <v>212</v>
      </c>
      <c r="L46" s="3458"/>
      <c r="M46" s="3459"/>
      <c r="N46" s="3459"/>
      <c r="O46" s="3459"/>
    </row>
    <row r="47" spans="1:15" ht="12" customHeight="1">
      <c r="A47" s="501" t="s">
        <v>284</v>
      </c>
      <c r="B47" s="502"/>
      <c r="C47" s="503"/>
      <c r="D47" s="504" t="s">
        <v>285</v>
      </c>
      <c r="E47" s="313" t="s">
        <v>286</v>
      </c>
      <c r="F47" s="505" t="s">
        <v>794</v>
      </c>
      <c r="G47" s="506" t="s">
        <v>795</v>
      </c>
      <c r="H47" s="2275"/>
      <c r="I47" s="2228"/>
      <c r="J47" s="1497">
        <v>2</v>
      </c>
      <c r="K47" s="3458" t="s">
        <v>213</v>
      </c>
      <c r="L47" s="3458"/>
      <c r="M47" s="3460">
        <f>'数据-取费表'!B2</f>
        <v>42949</v>
      </c>
      <c r="N47" s="3460"/>
      <c r="O47" s="3460"/>
    </row>
    <row r="48" spans="1:15" ht="25.5">
      <c r="A48" s="3531" t="s">
        <v>287</v>
      </c>
      <c r="B48" s="3532"/>
      <c r="C48" s="3532"/>
      <c r="D48" s="471">
        <f ca="1">IF(H48="情况1",0,IF(H48="情况2",D52,IF(H48="情况3",D53,IF(H48="情况4",D54))))</f>
        <v>461</v>
      </c>
      <c r="E48" s="1921" t="str">
        <f>IF(H48="情况4","(销售额-原购置价)×税（费）率","销售额×税（费）率")</f>
        <v>(销售额-原购置价)×税（费）率</v>
      </c>
      <c r="F48" s="507">
        <f>IF(H48="情况1","免征",'数据-取费表'!B41)</f>
        <v>5.6000000000000001E-2</v>
      </c>
      <c r="G48" s="465" t="s">
        <v>772</v>
      </c>
      <c r="H48" s="1428" t="s">
        <v>3403</v>
      </c>
      <c r="I48" s="2275"/>
      <c r="J48" s="1497">
        <v>3</v>
      </c>
      <c r="K48" s="3458" t="s">
        <v>773</v>
      </c>
      <c r="L48" s="3458"/>
      <c r="M48" s="3461">
        <f ca="1">I45</f>
        <v>465835</v>
      </c>
      <c r="N48" s="3461"/>
      <c r="O48" s="3461"/>
    </row>
    <row r="49" spans="1:35" ht="25.5" customHeight="1">
      <c r="A49" s="508" t="s">
        <v>796</v>
      </c>
      <c r="B49" s="3511" t="s">
        <v>797</v>
      </c>
      <c r="C49" s="3511"/>
      <c r="D49" s="509">
        <v>0</v>
      </c>
      <c r="E49" s="312" t="s">
        <v>798</v>
      </c>
      <c r="F49" s="317" t="s">
        <v>169</v>
      </c>
      <c r="G49" s="3490"/>
      <c r="H49" s="2273"/>
      <c r="I49" s="2276"/>
      <c r="J49" s="1497">
        <v>4</v>
      </c>
      <c r="K49" s="3458" t="str">
        <f>IF(项目基本情况!E8="房地产抵押价值","房地产抵押价值","抵押担保权已注销时的房地产抵押价值")</f>
        <v>房地产抵押价值</v>
      </c>
      <c r="L49" s="3458"/>
      <c r="M49" s="3742">
        <f ca="1">D122+[2]结果表!$D$122</f>
        <v>465835</v>
      </c>
      <c r="N49" s="3742"/>
      <c r="O49" s="3742"/>
    </row>
    <row r="50" spans="1:35" ht="25.5" customHeight="1">
      <c r="A50" s="510"/>
      <c r="B50" s="3511" t="s">
        <v>290</v>
      </c>
      <c r="C50" s="3511"/>
      <c r="D50" s="511"/>
      <c r="E50" s="320"/>
      <c r="F50" s="512"/>
      <c r="G50" s="3491"/>
      <c r="H50" s="2273"/>
      <c r="I50" s="2276"/>
      <c r="J50" s="3458" t="s">
        <v>214</v>
      </c>
      <c r="K50" s="3458"/>
      <c r="L50" s="3458"/>
      <c r="M50" s="3458"/>
      <c r="N50" s="3458"/>
      <c r="O50" s="3458"/>
    </row>
    <row r="51" spans="1:35" ht="12" customHeight="1">
      <c r="A51" s="513"/>
      <c r="B51" s="3511" t="s">
        <v>291</v>
      </c>
      <c r="C51" s="3511"/>
      <c r="D51" s="514"/>
      <c r="E51" s="319"/>
      <c r="F51" s="512"/>
      <c r="G51" s="3492"/>
      <c r="H51" s="2273"/>
      <c r="I51" s="2276"/>
      <c r="J51" s="3268" t="s">
        <v>215</v>
      </c>
      <c r="K51" s="3458" t="s">
        <v>216</v>
      </c>
      <c r="L51" s="3458"/>
      <c r="M51" s="3268" t="s">
        <v>2992</v>
      </c>
      <c r="N51" s="3268" t="s">
        <v>217</v>
      </c>
      <c r="O51" s="3268" t="s">
        <v>218</v>
      </c>
    </row>
    <row r="52" spans="1:35" ht="24" customHeight="1">
      <c r="A52" s="515" t="s">
        <v>292</v>
      </c>
      <c r="B52" s="3511" t="s">
        <v>293</v>
      </c>
      <c r="C52" s="3511"/>
      <c r="D52" s="514">
        <f ca="1">ROUND(D45*'数据-取费表'!B41/(1+'数据-取费表'!C42),0)</f>
        <v>19876</v>
      </c>
      <c r="E52" s="299" t="s">
        <v>294</v>
      </c>
      <c r="F52" s="516">
        <f>'数据-取费表'!B41</f>
        <v>5.6000000000000001E-2</v>
      </c>
      <c r="G52" s="466"/>
      <c r="H52" s="2273"/>
      <c r="I52" s="2276"/>
      <c r="J52" s="1497">
        <v>1</v>
      </c>
      <c r="K52" s="3484" t="s">
        <v>774</v>
      </c>
      <c r="L52" s="3484"/>
      <c r="M52" s="3269">
        <f ca="1">D48</f>
        <v>461</v>
      </c>
      <c r="N52" s="1496" t="str">
        <f>E48</f>
        <v>(销售额-原购置价)×税（费）率</v>
      </c>
      <c r="O52" s="3270">
        <f>F48</f>
        <v>5.6000000000000001E-2</v>
      </c>
    </row>
    <row r="53" spans="1:35" ht="12" customHeight="1">
      <c r="A53" s="515" t="s">
        <v>295</v>
      </c>
      <c r="B53" s="3512" t="s">
        <v>296</v>
      </c>
      <c r="C53" s="3513"/>
      <c r="D53" s="514">
        <f ca="1">ROUND(D45*'数据-取费表'!B41/(1+'数据-取费表'!C42),0)</f>
        <v>19876</v>
      </c>
      <c r="E53" s="299" t="s">
        <v>294</v>
      </c>
      <c r="F53" s="516">
        <f>'数据-取费表'!B41</f>
        <v>5.6000000000000001E-2</v>
      </c>
      <c r="G53" s="466"/>
      <c r="H53" s="2273"/>
      <c r="I53" s="2276"/>
      <c r="J53" s="1497">
        <v>2</v>
      </c>
      <c r="K53" s="3484" t="s">
        <v>775</v>
      </c>
      <c r="L53" s="3484"/>
      <c r="M53" s="3269">
        <f t="shared" ref="M53:O54" ca="1" si="0">D55</f>
        <v>186</v>
      </c>
      <c r="N53" s="1496" t="str">
        <f t="shared" si="0"/>
        <v>销售额×税（费）率</v>
      </c>
      <c r="O53" s="3270">
        <f t="shared" si="0"/>
        <v>5.0000000000000001E-4</v>
      </c>
    </row>
    <row r="54" spans="1:35" ht="12" customHeight="1">
      <c r="A54" s="515" t="s">
        <v>297</v>
      </c>
      <c r="B54" s="3512" t="s">
        <v>298</v>
      </c>
      <c r="C54" s="3513"/>
      <c r="D54" s="514">
        <f ca="1">C68</f>
        <v>461</v>
      </c>
      <c r="E54" s="319" t="s">
        <v>299</v>
      </c>
      <c r="F54" s="516">
        <f>'数据-取费表'!B41</f>
        <v>5.6000000000000001E-2</v>
      </c>
      <c r="G54" s="466"/>
      <c r="H54" s="2277"/>
      <c r="I54" s="2276"/>
      <c r="J54" s="1497">
        <v>3</v>
      </c>
      <c r="K54" s="3484" t="s">
        <v>776</v>
      </c>
      <c r="L54" s="3484"/>
      <c r="M54" s="3269">
        <f t="shared" ca="1" si="0"/>
        <v>0</v>
      </c>
      <c r="N54" s="1496" t="str">
        <f t="shared" si="0"/>
        <v>增值额×税（费）率</v>
      </c>
      <c r="O54" s="3271" t="str">
        <f t="shared" si="0"/>
        <v>——</v>
      </c>
    </row>
    <row r="55" spans="1:35" ht="24" customHeight="1">
      <c r="A55" s="3554" t="s">
        <v>300</v>
      </c>
      <c r="B55" s="3532"/>
      <c r="C55" s="3532"/>
      <c r="D55" s="517">
        <f ca="1">IF(H55="个人住宅",0,ROUND(D45*I55,0))</f>
        <v>186</v>
      </c>
      <c r="E55" s="299" t="s">
        <v>301</v>
      </c>
      <c r="F55" s="516">
        <f>IF(H55="正常",I55,"免征")</f>
        <v>5.0000000000000001E-4</v>
      </c>
      <c r="G55" s="466"/>
      <c r="H55" s="1428" t="s">
        <v>153</v>
      </c>
      <c r="I55" s="518">
        <f>'数据-取费表'!B49</f>
        <v>5.0000000000000001E-4</v>
      </c>
      <c r="J55" s="1497" t="str">
        <f>IF(H59="非个人房产","",4)</f>
        <v/>
      </c>
      <c r="K55" s="3484" t="str">
        <f>IF(H59="非个人房产","——","个人所得税")</f>
        <v>——</v>
      </c>
      <c r="L55" s="3484"/>
      <c r="M55" s="3272" t="str">
        <f>D59</f>
        <v>——</v>
      </c>
      <c r="N55" s="3273" t="str">
        <f>E59</f>
        <v>——</v>
      </c>
      <c r="O55" s="3274" t="str">
        <f>F59</f>
        <v>——</v>
      </c>
    </row>
    <row r="56" spans="1:35" ht="24.75">
      <c r="A56" s="3554" t="s">
        <v>302</v>
      </c>
      <c r="B56" s="3532"/>
      <c r="C56" s="3532"/>
      <c r="D56" s="517">
        <f ca="1">IF(H56="个人住宅",D57,D58)</f>
        <v>0</v>
      </c>
      <c r="E56" s="299" t="s">
        <v>303</v>
      </c>
      <c r="F56" s="516" t="str">
        <f>IF(H56="正常",F58,"免征")</f>
        <v>——</v>
      </c>
      <c r="G56" s="1252" t="s">
        <v>777</v>
      </c>
      <c r="H56" s="1427" t="s">
        <v>153</v>
      </c>
      <c r="I56" s="2278"/>
      <c r="J56" s="1497" t="str">
        <f>IF(项目基本情况!K6="上海银行",IF(J55="",4,J55+1),"")</f>
        <v/>
      </c>
      <c r="K56" s="3464" t="str">
        <f>IF(项目基本情况!K6="上海银行","其他处置费用","")</f>
        <v/>
      </c>
      <c r="L56" s="3465"/>
      <c r="M56" s="3269" t="str">
        <f>IF(项目基本情况!K6="上海银行",M69,"")</f>
        <v/>
      </c>
      <c r="N56" s="3467" t="str">
        <f>IF(项目基本情况!K6="上海银行","包含处置中涉及的律师、诉讼、拍卖、评估等费用","")</f>
        <v/>
      </c>
      <c r="O56" s="3468"/>
    </row>
    <row r="57" spans="1:35" ht="12.75">
      <c r="A57" s="515" t="s">
        <v>288</v>
      </c>
      <c r="B57" s="3517" t="s">
        <v>304</v>
      </c>
      <c r="C57" s="3518"/>
      <c r="D57" s="519">
        <v>0</v>
      </c>
      <c r="E57" s="312" t="s">
        <v>289</v>
      </c>
      <c r="F57" s="487"/>
      <c r="G57" s="466"/>
      <c r="H57" s="2278"/>
      <c r="I57" s="2278"/>
      <c r="J57" s="3496">
        <f>IF(AND(J55="",J56=""),4,IF(项目基本情况!K6="上海银行",结果表!J56+1,结果表!J55+1))</f>
        <v>4</v>
      </c>
      <c r="K57" s="3484" t="s">
        <v>778</v>
      </c>
      <c r="L57" s="3275" t="s">
        <v>219</v>
      </c>
      <c r="M57" s="3276"/>
      <c r="N57" s="3277">
        <f ca="1">SUMIF(M52:M56,"&lt;9e307")</f>
        <v>647</v>
      </c>
      <c r="O57" s="3278"/>
      <c r="P57" s="3265">
        <f ca="1">N57/M49</f>
        <v>1.3889037964085996E-3</v>
      </c>
    </row>
    <row r="58" spans="1:35" ht="24.75">
      <c r="A58" s="515" t="s">
        <v>292</v>
      </c>
      <c r="B58" s="3517" t="s">
        <v>305</v>
      </c>
      <c r="C58" s="3530"/>
      <c r="D58" s="517">
        <f ca="1">IF(H58="转让取得",C81,C97)</f>
        <v>0</v>
      </c>
      <c r="E58" s="299" t="s">
        <v>303</v>
      </c>
      <c r="F58" s="313" t="s">
        <v>169</v>
      </c>
      <c r="G58" s="466"/>
      <c r="H58" s="1427" t="s">
        <v>1126</v>
      </c>
      <c r="I58" s="2278"/>
      <c r="J58" s="3496"/>
      <c r="K58" s="3484"/>
      <c r="L58" s="3275" t="s">
        <v>220</v>
      </c>
      <c r="M58" s="3279"/>
      <c r="N58" s="3280" t="str">
        <f ca="1">NUMBERSTRING(INT(N57*10000),2)&amp;"元整"</f>
        <v>陆佰肆拾柒万元整</v>
      </c>
      <c r="O58" s="3281"/>
    </row>
    <row r="59" spans="1:35" ht="24.75" thickBot="1">
      <c r="A59" s="3488" t="s">
        <v>306</v>
      </c>
      <c r="B59" s="3489"/>
      <c r="C59" s="3489"/>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486">
        <f>J57+1</f>
        <v>5</v>
      </c>
      <c r="K59" s="3484" t="s">
        <v>170</v>
      </c>
      <c r="L59" s="1496" t="s">
        <v>219</v>
      </c>
      <c r="M59" s="3282"/>
      <c r="N59" s="3283">
        <f ca="1">M49-N57</f>
        <v>465188</v>
      </c>
      <c r="O59" s="3284"/>
    </row>
    <row r="60" spans="1:35" ht="12" customHeight="1">
      <c r="A60" s="1254"/>
      <c r="B60" s="1239"/>
      <c r="C60" s="1239"/>
      <c r="D60" s="1239"/>
      <c r="E60" s="229"/>
      <c r="F60" s="2278"/>
      <c r="G60" s="2278"/>
      <c r="H60" s="2279"/>
      <c r="I60" s="2273"/>
      <c r="J60" s="3487"/>
      <c r="K60" s="3484"/>
      <c r="L60" s="3275" t="s">
        <v>220</v>
      </c>
      <c r="M60" s="3279"/>
      <c r="N60" s="3280" t="str">
        <f ca="1">NUMBERSTRING(INT(N59*10000),2)&amp;"元整"</f>
        <v>肆拾陆亿伍仟壹佰捌拾捌万元整</v>
      </c>
      <c r="O60" s="3281"/>
    </row>
    <row r="61" spans="1:35" ht="13.5" thickBot="1">
      <c r="A61" s="3553" t="s">
        <v>307</v>
      </c>
      <c r="B61" s="3553"/>
      <c r="C61" s="3553"/>
      <c r="D61" s="3553"/>
      <c r="E61" s="3553"/>
      <c r="F61" s="2278"/>
      <c r="G61" s="2278"/>
      <c r="H61" s="2279"/>
      <c r="I61" s="2273"/>
      <c r="J61" s="1497">
        <f>J59+1</f>
        <v>6</v>
      </c>
      <c r="K61" s="3484" t="s">
        <v>221</v>
      </c>
      <c r="L61" s="3484"/>
      <c r="M61" s="3285"/>
      <c r="N61" s="3743">
        <f ca="1">ROUND(N59*10000/'数据-汇总表'!E3,0)</f>
        <v>49108</v>
      </c>
      <c r="O61" s="3286"/>
    </row>
    <row r="62" spans="1:35" ht="12.75">
      <c r="A62" s="3505" t="s">
        <v>308</v>
      </c>
      <c r="B62" s="3506"/>
      <c r="C62" s="1915"/>
      <c r="D62" s="1915" t="s">
        <v>316</v>
      </c>
      <c r="E62" s="524" t="s">
        <v>317</v>
      </c>
      <c r="F62" s="2278"/>
      <c r="G62" s="2278"/>
      <c r="H62" s="2279"/>
      <c r="I62" s="2273"/>
    </row>
    <row r="63" spans="1:35" ht="12.75">
      <c r="A63" s="535" t="s">
        <v>1888</v>
      </c>
      <c r="B63" s="525" t="s">
        <v>309</v>
      </c>
      <c r="C63" s="526">
        <f ca="1">ROUND((C64+C65)/(1+'数据-取费表'!C42),0)</f>
        <v>354922</v>
      </c>
      <c r="D63" s="527"/>
      <c r="E63" s="528"/>
      <c r="F63" s="2278"/>
      <c r="G63" s="2278"/>
      <c r="H63" s="2279"/>
      <c r="I63" s="2273"/>
      <c r="J63" s="3466" t="s">
        <v>2985</v>
      </c>
      <c r="K63" s="3264" t="s">
        <v>2986</v>
      </c>
      <c r="L63" s="3262">
        <f ca="1">IF(M49&gt;10000,M49*0.5%,IF(AND(M49&gt;1000,M49&lt;=10000),M49*1%,IF(AND(M49&gt;100,M49&lt;=1000),M49*3%,IF(AND(M49&gt;10,M49&lt;=100),M49*5%,M49*8%))))</f>
        <v>2329.1750000000002</v>
      </c>
      <c r="M63" s="313">
        <f ca="1">ROUND(L63,1)</f>
        <v>2329.1999999999998</v>
      </c>
      <c r="Z63" s="1430"/>
      <c r="AI63" s="1240"/>
    </row>
    <row r="64" spans="1:35" ht="14.25" customHeight="1">
      <c r="A64" s="529" t="s">
        <v>1883</v>
      </c>
      <c r="B64" s="530" t="s">
        <v>310</v>
      </c>
      <c r="C64" s="531">
        <f ca="1">D45</f>
        <v>372668</v>
      </c>
      <c r="D64" s="532" t="s">
        <v>165</v>
      </c>
      <c r="E64" s="533"/>
      <c r="F64" s="2278"/>
      <c r="G64" s="2278"/>
      <c r="H64" s="2279"/>
      <c r="I64" s="2273"/>
      <c r="J64" s="3466"/>
      <c r="K64" s="3264" t="s">
        <v>2987</v>
      </c>
      <c r="L64" s="3262">
        <f ca="1">IF(M49&gt;2000,M49*0.5%,IF(AND(M49&gt;1000,M49&lt;=2000),M49*0.6%,IF(AND(M49&gt;500,M49&lt;=1000),M49*0.7%,IF(AND(M49&gt;200,M49&lt;=500),M49*0.8%,IF(AND(M49&gt;100,M49&lt;=200),M49*0.9%,IF(AND(M49&gt;50,M49&lt;=100),M49*1%,IF(AND(M49&gt;20,M49&lt;=50),M49*1.5%,IF(AND(M49&gt;10,M49&lt;=20),M49*2%,IF(AND(M49&gt;1,M49&lt;=10),M49*2.5%)))))))))</f>
        <v>2329.1750000000002</v>
      </c>
      <c r="M64" s="313">
        <f t="shared" ref="M64:M65" ca="1" si="1">ROUND(L64,1)</f>
        <v>2329.1999999999998</v>
      </c>
      <c r="N64" s="469" t="s">
        <v>2993</v>
      </c>
      <c r="Z64" s="1430"/>
      <c r="AI64" s="1240"/>
    </row>
    <row r="65" spans="1:35" ht="14.25" customHeight="1">
      <c r="A65" s="529" t="s">
        <v>1884</v>
      </c>
      <c r="B65" s="530" t="s">
        <v>311</v>
      </c>
      <c r="C65" s="534"/>
      <c r="D65" s="532"/>
      <c r="E65" s="533"/>
      <c r="F65" s="2278"/>
      <c r="G65" s="2278"/>
      <c r="H65" s="2279"/>
      <c r="I65" s="2273"/>
      <c r="J65" s="3466"/>
      <c r="K65" s="3264" t="s">
        <v>2988</v>
      </c>
      <c r="L65" s="3262">
        <f ca="1">IF(M49&gt;1000,M49*0.1%,IF(AND(M49&gt;500,M49&lt;=1000),M49*0.5%,IF(AND(M49&gt;50,M49&lt;=500),M49*1%,IF(AND(M49&gt;1,M49&lt;=50),M49*1.5%))))</f>
        <v>465.83500000000004</v>
      </c>
      <c r="M65" s="313">
        <f t="shared" ca="1" si="1"/>
        <v>465.8</v>
      </c>
      <c r="N65" s="469" t="s">
        <v>2994</v>
      </c>
      <c r="Z65" s="1430"/>
      <c r="AI65" s="1240"/>
    </row>
    <row r="66" spans="1:35" ht="14.25" customHeight="1">
      <c r="A66" s="535" t="s">
        <v>1885</v>
      </c>
      <c r="B66" s="536" t="s">
        <v>312</v>
      </c>
      <c r="C66" s="537">
        <f>342000+4692.5872</f>
        <v>346692.58720000001</v>
      </c>
      <c r="D66" s="538" t="s">
        <v>165</v>
      </c>
      <c r="E66" s="3314" t="s">
        <v>3029</v>
      </c>
      <c r="F66" s="2278"/>
      <c r="G66" s="2278"/>
      <c r="H66" s="2279"/>
      <c r="I66" s="2273"/>
      <c r="J66" s="3466"/>
      <c r="K66" s="3264" t="s">
        <v>2989</v>
      </c>
      <c r="L66" s="3262">
        <f ca="1">M49*0.5%</f>
        <v>2329.1750000000002</v>
      </c>
      <c r="M66" s="313">
        <f ca="1">IF(L66&gt;0.5,0.5,ROUND(L66,0))</f>
        <v>0.5</v>
      </c>
      <c r="N66" s="469" t="s">
        <v>2995</v>
      </c>
      <c r="Z66" s="1430"/>
      <c r="AI66" s="1240"/>
    </row>
    <row r="67" spans="1:35" ht="14.25" customHeight="1">
      <c r="A67" s="535" t="s">
        <v>1886</v>
      </c>
      <c r="B67" s="536" t="s">
        <v>313</v>
      </c>
      <c r="C67" s="539">
        <f ca="1">C63-C66</f>
        <v>8229.412799999991</v>
      </c>
      <c r="D67" s="532" t="s">
        <v>165</v>
      </c>
      <c r="E67" s="533"/>
      <c r="F67" s="2278"/>
      <c r="G67" s="2278"/>
      <c r="H67" s="2279"/>
      <c r="I67" s="2273"/>
      <c r="J67" s="3466"/>
      <c r="K67" s="3264" t="s">
        <v>2990</v>
      </c>
      <c r="L67" s="3262">
        <f ca="1">IF(M49&gt;=10000,(8.25+(M49-10000)*0.01%),IF(AND(M49&gt;=8000,M49&lt;10000),(7.85+(M49-8000)*0.02%),IF(AND(M49&gt;=5000,M49&lt;8000),(6.65+(M49-5000)*0.04%),IF(AND(M49&gt;=2000,M49&lt;5000),(4.25+(PM49-2000)*0.08%),IF(AND(M49&gt;=1000,M49&lt;2000),(2.75+(M49-1000)*0.15%),IF(AND(M49&gt;=100,M49&lt;1000),(0.5+(M49-100)*0.25%),IF(AND(M49&gt;0,M49&lt;100),M49*0.5%)))))))</f>
        <v>53.833500000000001</v>
      </c>
      <c r="M67" s="313">
        <f ca="1">ROUND(L67*0.9,1)</f>
        <v>48.5</v>
      </c>
      <c r="Z67" s="1430"/>
      <c r="AI67" s="1240"/>
    </row>
    <row r="68" spans="1:35" ht="14.25" customHeight="1" thickBot="1">
      <c r="A68" s="540" t="s">
        <v>1887</v>
      </c>
      <c r="B68" s="541" t="s">
        <v>314</v>
      </c>
      <c r="C68" s="542">
        <f ca="1">IF(C67&lt;=0,0,ROUND(C67*D68,0))</f>
        <v>461</v>
      </c>
      <c r="D68" s="543">
        <f>'数据-取费表'!B41</f>
        <v>5.6000000000000001E-2</v>
      </c>
      <c r="E68" s="544"/>
      <c r="F68" s="2278"/>
      <c r="G68" s="2278"/>
      <c r="H68" s="2279"/>
      <c r="I68" s="2273"/>
      <c r="J68" s="3466"/>
      <c r="K68" s="3264" t="s">
        <v>2991</v>
      </c>
      <c r="L68" s="3262">
        <f ca="1">IF(M49&gt;10000,M49*0.5%,IF(AND(M49&gt;5000,M49&lt;=10000),M49*1%,IF(AND(M49&gt;1000,M49&lt;=5000),M49*2%,IF(AND(M49&gt;200,M49&lt;=1000),M49*3%,M49*5%))))</f>
        <v>2329.1750000000002</v>
      </c>
      <c r="M68" s="313">
        <f ca="1">ROUND(L68,1)</f>
        <v>2329.1999999999998</v>
      </c>
      <c r="Z68" s="1430"/>
      <c r="AI68" s="1240"/>
    </row>
    <row r="69" spans="1:35" s="1241" customFormat="1" ht="16.5" customHeight="1">
      <c r="A69" s="1255"/>
      <c r="B69" s="1256"/>
      <c r="C69" s="1257"/>
      <c r="D69" s="1258"/>
      <c r="E69" s="1259"/>
      <c r="F69" s="229"/>
      <c r="G69" s="229"/>
      <c r="H69" s="241"/>
      <c r="I69" s="1239"/>
      <c r="J69" s="3466"/>
      <c r="K69" s="3264" t="s">
        <v>185</v>
      </c>
      <c r="L69" s="3263"/>
      <c r="M69" s="313">
        <f ca="1">ROUND(SUM(M63:M68),0)</f>
        <v>7502</v>
      </c>
      <c r="N69" s="3265">
        <f ca="1">M69/M49</f>
        <v>1.6104414653257054E-2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5" t="s">
        <v>315</v>
      </c>
      <c r="B70" s="3516"/>
      <c r="C70" s="3516"/>
      <c r="D70" s="3516"/>
      <c r="E70" s="3516"/>
      <c r="F70" s="3516"/>
      <c r="G70" s="3516"/>
      <c r="H70" s="3516"/>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505" t="s">
        <v>308</v>
      </c>
      <c r="B71" s="3506"/>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354922</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2130</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0</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c r="D75" s="532" t="s">
        <v>165</v>
      </c>
      <c r="E75" s="551" t="s">
        <v>322</v>
      </c>
      <c r="F75" s="1423" t="s">
        <v>2406</v>
      </c>
      <c r="G75" s="551" t="s">
        <v>788</v>
      </c>
      <c r="H75" s="552"/>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512" t="s">
        <v>324</v>
      </c>
      <c r="F76" s="3511"/>
      <c r="G76" s="3511"/>
      <c r="H76" s="3514"/>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0</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2130</v>
      </c>
      <c r="D78" s="558">
        <f>'数据-取费表'!B43</f>
        <v>6.000000000000001E-3</v>
      </c>
      <c r="E78" s="3507" t="s">
        <v>2498</v>
      </c>
      <c r="F78" s="3503"/>
      <c r="G78" s="3503"/>
      <c r="H78" s="3504"/>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352792</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165.63004694835681</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210930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5" t="s">
        <v>330</v>
      </c>
      <c r="B83" s="3516"/>
      <c r="C83" s="3516"/>
      <c r="D83" s="3516"/>
      <c r="E83" s="3516"/>
      <c r="F83" s="3516"/>
      <c r="G83" s="3516"/>
      <c r="H83" s="3516"/>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505" t="s">
        <v>308</v>
      </c>
      <c r="B84" s="3506"/>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354922</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483378.58720000001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3404</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 ca="1">IF(H91="——",成本法!C33,I91)</f>
        <v>12925</v>
      </c>
      <c r="D91" s="558"/>
      <c r="E91" s="3502" t="s">
        <v>790</v>
      </c>
      <c r="F91" s="3503"/>
      <c r="G91" s="3503"/>
      <c r="H91" s="1426" t="s">
        <v>2308</v>
      </c>
      <c r="I91" s="3364">
        <f ca="1">成本法!C33</f>
        <v>12925</v>
      </c>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 ca="1">ROUND((C87+C90+C91)*D92,0)</f>
        <v>37019</v>
      </c>
      <c r="D92" s="558">
        <v>0.1</v>
      </c>
      <c r="E92" s="3502" t="s">
        <v>339</v>
      </c>
      <c r="F92" s="3503"/>
      <c r="G92" s="3503"/>
      <c r="H92" s="3504"/>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2130</v>
      </c>
      <c r="D93" s="558">
        <f>'数据-取费表'!B43</f>
        <v>6.000000000000001E-3</v>
      </c>
      <c r="E93" s="3507" t="s">
        <v>2498</v>
      </c>
      <c r="F93" s="3503"/>
      <c r="G93" s="3503"/>
      <c r="H93" s="3504"/>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 ca="1">ROUND((C87+C90+C91)*D94,0)</f>
        <v>74038</v>
      </c>
      <c r="D94" s="558">
        <v>0.2</v>
      </c>
      <c r="E94" s="3555" t="s">
        <v>3044</v>
      </c>
      <c r="F94" s="3556"/>
      <c r="G94" s="3556"/>
      <c r="H94" s="3557"/>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-128457</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0" t="s">
        <v>226</v>
      </c>
      <c r="B100" s="3451"/>
      <c r="C100" s="3451"/>
      <c r="D100" s="3485"/>
      <c r="E100" s="3451" t="s">
        <v>2898</v>
      </c>
      <c r="F100" s="3451"/>
      <c r="G100" s="3451"/>
      <c r="H100" s="3485"/>
      <c r="I100" s="2273"/>
    </row>
    <row r="101" spans="1:35" ht="18.75" customHeight="1">
      <c r="A101" s="3493" t="s">
        <v>204</v>
      </c>
      <c r="B101" s="3494"/>
      <c r="C101" s="1262" t="str">
        <f>C4</f>
        <v>成本法</v>
      </c>
      <c r="D101" s="1263" t="str">
        <f>D4</f>
        <v>假设开发法</v>
      </c>
      <c r="E101" s="3462" t="s">
        <v>1902</v>
      </c>
      <c r="F101" s="3463"/>
      <c r="G101" s="1264" t="s">
        <v>206</v>
      </c>
      <c r="H101" s="1983">
        <f ca="1">H118</f>
        <v>315470</v>
      </c>
      <c r="I101" s="2273"/>
    </row>
    <row r="102" spans="1:35" ht="18.75" customHeight="1">
      <c r="A102" s="3495" t="s">
        <v>205</v>
      </c>
      <c r="B102" s="1264" t="s">
        <v>206</v>
      </c>
      <c r="C102" s="1231">
        <f ca="1">C19</f>
        <v>314959</v>
      </c>
      <c r="D102" s="1232">
        <f ca="1">D19</f>
        <v>315980</v>
      </c>
      <c r="E102" s="3462"/>
      <c r="F102" s="3463"/>
      <c r="G102" s="1264" t="s">
        <v>207</v>
      </c>
      <c r="H102" s="711">
        <f ca="1">I118</f>
        <v>33303</v>
      </c>
      <c r="I102" s="2273"/>
    </row>
    <row r="103" spans="1:35" ht="42.75" customHeight="1">
      <c r="A103" s="3495"/>
      <c r="B103" s="1264" t="s">
        <v>207</v>
      </c>
      <c r="C103" s="1233">
        <f ca="1">C20</f>
        <v>33249</v>
      </c>
      <c r="D103" s="1234">
        <f ca="1">D20</f>
        <v>33357</v>
      </c>
      <c r="E103" s="3456" t="s">
        <v>3008</v>
      </c>
      <c r="F103" s="3457"/>
      <c r="G103" s="1265" t="s">
        <v>209</v>
      </c>
      <c r="H103" s="1983">
        <f>IF(D36="正常操作",H104+H105+H106,H105+H106)</f>
        <v>0</v>
      </c>
      <c r="I103" s="2273"/>
    </row>
    <row r="104" spans="1:35" ht="18.75" customHeight="1">
      <c r="A104" s="3495" t="s">
        <v>208</v>
      </c>
      <c r="B104" s="1266" t="s">
        <v>206</v>
      </c>
      <c r="C104" s="1235">
        <f ca="1">H118</f>
        <v>315470</v>
      </c>
      <c r="D104" s="1236"/>
      <c r="E104" s="13" t="s">
        <v>1901</v>
      </c>
      <c r="F104" s="6"/>
      <c r="G104" s="1265" t="s">
        <v>209</v>
      </c>
      <c r="H104" s="1984">
        <f>IF(D36="同一抵押权人同一抵押物续贷",C36&amp;"（未扣减，详见特别提示）",C36)</f>
        <v>0</v>
      </c>
      <c r="I104" s="2273"/>
    </row>
    <row r="105" spans="1:35" ht="18.75" customHeight="1" thickBot="1">
      <c r="A105" s="3509"/>
      <c r="B105" s="1267" t="s">
        <v>207</v>
      </c>
      <c r="C105" s="1237">
        <f ca="1">I118</f>
        <v>33303</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497" t="str">
        <f>IF(项目基本情况!E8="已注销","——","3.房地产抵押价值")</f>
        <v>3.房地产抵押价值</v>
      </c>
      <c r="F107" s="3463"/>
      <c r="G107" s="1264" t="s">
        <v>206</v>
      </c>
      <c r="H107" s="1983">
        <f ca="1">IF(E107="——","——",H101-H103)</f>
        <v>315470</v>
      </c>
      <c r="I107" s="2273"/>
    </row>
    <row r="108" spans="1:35" ht="18.75" customHeight="1">
      <c r="A108" s="2273"/>
      <c r="B108" s="2273"/>
      <c r="C108" s="2273"/>
      <c r="D108" s="2273"/>
      <c r="E108" s="3497"/>
      <c r="F108" s="3463"/>
      <c r="G108" s="1264" t="s">
        <v>207</v>
      </c>
      <c r="H108" s="711">
        <f ca="1">ROUND(H107*10000/'数据-汇总表'!E3,0)</f>
        <v>33303</v>
      </c>
      <c r="I108" s="2273"/>
    </row>
    <row r="109" spans="1:35" ht="18.75" customHeight="1">
      <c r="A109" s="2273"/>
      <c r="B109" s="2273"/>
      <c r="C109" s="2273"/>
      <c r="D109" s="2273"/>
      <c r="E109" s="3497" t="str">
        <f>IF(项目基本情况!E8="已注销及未注销","4.抵押担保权已注销时的房地产抵押价值",IF(项目基本情况!E8="已注销","3.抵押担保权已注销时的房地产抵押价值","——"))</f>
        <v>——</v>
      </c>
      <c r="F109" s="3463"/>
      <c r="G109" s="1264" t="s">
        <v>206</v>
      </c>
      <c r="H109" s="685" t="str">
        <f>IF(E109="——","——",H101-H105-H106)</f>
        <v>——</v>
      </c>
      <c r="I109" s="2273"/>
    </row>
    <row r="110" spans="1:35" ht="18.75" customHeight="1">
      <c r="A110" s="2273"/>
      <c r="B110" s="2273"/>
      <c r="C110" s="2273"/>
      <c r="D110" s="2273"/>
      <c r="E110" s="3497"/>
      <c r="F110" s="3463"/>
      <c r="G110" s="1264" t="s">
        <v>207</v>
      </c>
      <c r="H110" s="711" t="str">
        <f>IF(H109="——","——",ROUND(H109*10000/'数据-汇总表'!E3,0))</f>
        <v>——</v>
      </c>
      <c r="I110" s="2273"/>
    </row>
    <row r="111" spans="1:35" ht="18.75" customHeight="1">
      <c r="A111" s="2273"/>
      <c r="B111" s="2273"/>
      <c r="C111" s="2273"/>
      <c r="D111" s="2273"/>
      <c r="E111" s="3498" t="str">
        <f>IF(项目基本情况!E9="抵押净值",IF(OR(项目基本情况!E8="已注销",项目基本情况!E8="房地产抵押价值"),"4.抵押净值","5.抵押净值"),"——")</f>
        <v>——</v>
      </c>
      <c r="F111" s="3499"/>
      <c r="G111" s="1264" t="s">
        <v>206</v>
      </c>
      <c r="H111" s="1983" t="str">
        <f>IF(E111="——","——",N59)</f>
        <v>——</v>
      </c>
      <c r="I111" s="2273"/>
    </row>
    <row r="112" spans="1:35" ht="18.75" customHeight="1" thickBot="1">
      <c r="A112" s="2273"/>
      <c r="B112" s="2273"/>
      <c r="C112" s="2273"/>
      <c r="D112" s="2273"/>
      <c r="E112" s="3500"/>
      <c r="F112" s="3501"/>
      <c r="G112" s="1268" t="s">
        <v>207</v>
      </c>
      <c r="H112" s="1419" t="str">
        <f>IF(E111="——","——",N61)</f>
        <v>——</v>
      </c>
      <c r="I112" s="2273"/>
    </row>
    <row r="113" spans="1:11" ht="18.75" customHeight="1">
      <c r="A113" s="2273"/>
      <c r="B113" s="2273"/>
      <c r="C113" s="2273"/>
      <c r="D113" s="2273"/>
      <c r="E113" s="3510" t="s">
        <v>1999</v>
      </c>
      <c r="F113" s="3510"/>
      <c r="G113" s="3510"/>
      <c r="H113" s="3510"/>
      <c r="I113" s="2273"/>
    </row>
    <row r="114" spans="1:11" ht="3.75" customHeight="1">
      <c r="A114" s="1239"/>
      <c r="B114" s="1239"/>
      <c r="C114" s="1239"/>
      <c r="D114" s="1239"/>
      <c r="E114" s="1254"/>
      <c r="F114" s="1254"/>
      <c r="G114" s="1254"/>
      <c r="H114" s="1254"/>
      <c r="I114" s="1239"/>
    </row>
    <row r="115" spans="1:11" ht="18.75" customHeight="1">
      <c r="A115" s="3523" t="s">
        <v>222</v>
      </c>
      <c r="B115" s="3524"/>
      <c r="C115" s="3524"/>
      <c r="D115" s="3524"/>
      <c r="E115" s="3524"/>
      <c r="F115" s="3524"/>
      <c r="G115" s="3524"/>
      <c r="H115" s="3524"/>
      <c r="I115" s="3525"/>
    </row>
    <row r="116" spans="1:11" ht="27" customHeight="1">
      <c r="A116" s="3430" t="s">
        <v>5</v>
      </c>
      <c r="B116" s="3472" t="s">
        <v>779</v>
      </c>
      <c r="C116" s="3472" t="s">
        <v>780</v>
      </c>
      <c r="D116" s="3481" t="s">
        <v>202</v>
      </c>
      <c r="E116" s="3482"/>
      <c r="F116" s="3519" t="s">
        <v>2376</v>
      </c>
      <c r="G116" s="3519"/>
      <c r="H116" s="3430" t="s">
        <v>6</v>
      </c>
      <c r="I116" s="3430"/>
    </row>
    <row r="117" spans="1:11" ht="18.75" customHeight="1">
      <c r="A117" s="3430"/>
      <c r="B117" s="3473"/>
      <c r="C117" s="3473"/>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118" s="1917">
        <f>M18</f>
        <v>94727.57</v>
      </c>
      <c r="C118" s="1917">
        <f>M19</f>
        <v>17026.16</v>
      </c>
      <c r="D118" s="1917">
        <f ca="1">ROUND(IF(D32="总价",C34,E118*B118/10000),0)</f>
        <v>297488</v>
      </c>
      <c r="E118" s="1917">
        <f ca="1">ROUND(IF(C33="自定义",IF(D32="楼面单价",C34,D118*10000/B118),I118-G118),0)</f>
        <v>31405</v>
      </c>
      <c r="F118" s="1917">
        <f ca="1">ROUND(IF(D32="总价",C35,G118*B118/10000),0)</f>
        <v>17982</v>
      </c>
      <c r="G118" s="1917">
        <f ca="1">ROUND(IF(D32="楼面单价",C35,F118*10000/B118),0)</f>
        <v>1898</v>
      </c>
      <c r="H118" s="1917">
        <f ca="1">ROUND(IF(D32="总价",C32,I118*B118/10000),0)</f>
        <v>315470</v>
      </c>
      <c r="I118" s="1917">
        <f ca="1">ROUND(IF(D32="楼面单价",C32,H118*10000/B118),0)</f>
        <v>33303</v>
      </c>
    </row>
    <row r="119" spans="1:11" ht="18.75" customHeight="1">
      <c r="A119" s="3430" t="s">
        <v>9</v>
      </c>
      <c r="B119" s="3430"/>
      <c r="C119" s="3430"/>
      <c r="D119" s="3474" t="str">
        <f ca="1">NUMBERSTRING(INT(D118*10000),2)&amp;"元整"</f>
        <v>贰拾玖亿柒仟肆佰捌拾捌万元整</v>
      </c>
      <c r="E119" s="3475"/>
      <c r="F119" s="3474" t="str">
        <f ca="1">NUMBERSTRING(INT(F118*10000),2)&amp;"元整"</f>
        <v>壹亿柒仟玖佰捌拾贰万元整</v>
      </c>
      <c r="G119" s="3475"/>
      <c r="H119" s="3474" t="str">
        <f ca="1">NUMBERSTRING(INT(H118*10000),2)&amp;"元整"</f>
        <v>叁拾壹亿伍仟肆佰柒拾万元整</v>
      </c>
      <c r="I119" s="3475"/>
    </row>
    <row r="120" spans="1:11" ht="18.75" customHeight="1">
      <c r="A120" s="3476" t="str">
        <f>MID(E103,3,LEN(E103)-2)</f>
        <v>估价师知悉的法定优先受偿款</v>
      </c>
      <c r="B120" s="3477"/>
      <c r="C120" s="3478"/>
      <c r="D120" s="3469">
        <f>H103</f>
        <v>0</v>
      </c>
      <c r="E120" s="3470"/>
      <c r="F120" s="3470"/>
      <c r="G120" s="3470"/>
      <c r="H120" s="3470"/>
      <c r="I120" s="3471"/>
      <c r="K120" s="1430" t="str">
        <f>IF(D120=0,"故，本次评估不存在"&amp;A120,"故，本次评估"&amp;A120&amp;"为人民币"&amp;D120&amp;"万元整。")</f>
        <v>故，本次评估不存在估价师知悉的法定优先受偿款</v>
      </c>
    </row>
    <row r="121" spans="1:11" ht="18.75" customHeight="1">
      <c r="A121" s="3520" t="s">
        <v>9</v>
      </c>
      <c r="B121" s="3521"/>
      <c r="C121" s="3522"/>
      <c r="D121" s="3474" t="str">
        <f>IF(D120=0,"零元整",NUMBERSTRING(INT(D120*10000),2)&amp;"元整")</f>
        <v>零元整</v>
      </c>
      <c r="E121" s="3479"/>
      <c r="F121" s="3479"/>
      <c r="G121" s="3479"/>
      <c r="H121" s="3479"/>
      <c r="I121" s="3475"/>
    </row>
    <row r="122" spans="1:11" ht="18.75" customHeight="1">
      <c r="A122" s="3483" t="str">
        <f>MID(E107,3,LEN(E107)-2)</f>
        <v>房地产抵押价值</v>
      </c>
      <c r="B122" s="3483"/>
      <c r="C122" s="3483"/>
      <c r="D122" s="3469">
        <f ca="1">H107</f>
        <v>315470</v>
      </c>
      <c r="E122" s="3470"/>
      <c r="F122" s="3470"/>
      <c r="G122" s="3470"/>
      <c r="H122" s="3470"/>
      <c r="I122" s="3471"/>
    </row>
    <row r="123" spans="1:11" ht="18.75" customHeight="1">
      <c r="A123" s="3430" t="s">
        <v>9</v>
      </c>
      <c r="B123" s="3430"/>
      <c r="C123" s="3430"/>
      <c r="D123" s="3474" t="str">
        <f ca="1">NUMBERSTRING(INT(D122*10000),2)&amp;"元整"</f>
        <v>叁拾壹亿伍仟肆佰柒拾万元整</v>
      </c>
      <c r="E123" s="3479"/>
      <c r="F123" s="3479"/>
      <c r="G123" s="3479"/>
      <c r="H123" s="3479"/>
      <c r="I123" s="3475"/>
    </row>
    <row r="124" spans="1:11" ht="18.75" customHeight="1">
      <c r="A124" s="3483" t="str">
        <f>MID(E109,3,LEN(E109)-2)</f>
        <v/>
      </c>
      <c r="B124" s="3483"/>
      <c r="C124" s="3483"/>
      <c r="D124" s="3469" t="str">
        <f>H109</f>
        <v>——</v>
      </c>
      <c r="E124" s="3470"/>
      <c r="F124" s="3470"/>
      <c r="G124" s="3470"/>
      <c r="H124" s="3470"/>
      <c r="I124" s="3471"/>
    </row>
    <row r="125" spans="1:11" ht="18.75" customHeight="1">
      <c r="A125" s="3430" t="s">
        <v>9</v>
      </c>
      <c r="B125" s="3430"/>
      <c r="C125" s="3430"/>
      <c r="D125" s="3474" t="e">
        <f>NUMBERSTRING(INT(D124*10000),2)&amp;"元整"</f>
        <v>#VALUE!</v>
      </c>
      <c r="E125" s="3479"/>
      <c r="F125" s="3479"/>
      <c r="G125" s="3479"/>
      <c r="H125" s="3479"/>
      <c r="I125" s="3475"/>
    </row>
    <row r="126" spans="1:11" ht="18.75" customHeight="1">
      <c r="A126" s="3483" t="str">
        <f>MID(E111,3,LEN(E111)-2)</f>
        <v/>
      </c>
      <c r="B126" s="3483"/>
      <c r="C126" s="3483"/>
      <c r="D126" s="3469" t="str">
        <f>H111</f>
        <v>——</v>
      </c>
      <c r="E126" s="3470"/>
      <c r="F126" s="3470"/>
      <c r="G126" s="3470"/>
      <c r="H126" s="3470"/>
      <c r="I126" s="3471"/>
    </row>
    <row r="127" spans="1:11" ht="18.75" customHeight="1">
      <c r="A127" s="3430" t="s">
        <v>9</v>
      </c>
      <c r="B127" s="3430"/>
      <c r="C127" s="3430"/>
      <c r="D127" s="3474" t="e">
        <f>NUMBERSTRING(INT(D126*10000),2)&amp;"元整"</f>
        <v>#VALUE!</v>
      </c>
      <c r="E127" s="3479"/>
      <c r="F127" s="3479"/>
      <c r="G127" s="3479"/>
      <c r="H127" s="3479"/>
      <c r="I127" s="3475"/>
    </row>
    <row r="128" spans="1:11" ht="21.75" customHeight="1">
      <c r="A128" s="3480" t="s">
        <v>1998</v>
      </c>
      <c r="B128" s="3480"/>
      <c r="C128" s="3480"/>
      <c r="D128" s="3480"/>
      <c r="E128" s="3480"/>
      <c r="F128" s="3480"/>
      <c r="G128" s="3480"/>
      <c r="H128" s="3480"/>
      <c r="I128" s="3480"/>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10" sqref="C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314959</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33249</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245570</v>
      </c>
      <c r="D5" s="587" t="s">
        <v>816</v>
      </c>
      <c r="E5" s="588" t="s">
        <v>817</v>
      </c>
      <c r="F5" s="588" t="s">
        <v>818</v>
      </c>
      <c r="G5" s="589"/>
    </row>
    <row r="6" spans="1:9" s="590" customFormat="1" ht="13.5" customHeight="1">
      <c r="A6" s="1801" t="s">
        <v>1914</v>
      </c>
      <c r="B6" s="591" t="s">
        <v>819</v>
      </c>
      <c r="C6" s="592">
        <f>'土地比较法-住宅、综合'!B2</f>
        <v>236463</v>
      </c>
      <c r="D6" s="593"/>
      <c r="E6" s="594"/>
      <c r="F6" s="594"/>
      <c r="G6" s="595"/>
    </row>
    <row r="7" spans="1:9" s="590" customFormat="1" ht="13.5" customHeight="1">
      <c r="A7" s="1801" t="s">
        <v>1915</v>
      </c>
      <c r="B7" s="591" t="s">
        <v>343</v>
      </c>
      <c r="C7" s="596">
        <f>ROUND(C6*F7,0)</f>
        <v>7212</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1895</v>
      </c>
      <c r="D8" s="598"/>
      <c r="E8" s="596"/>
      <c r="F8" s="597"/>
      <c r="G8" s="84"/>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c r="H9" s="2800"/>
      <c r="I9" s="2801" t="s">
        <v>2681</v>
      </c>
    </row>
    <row r="10" spans="1:9" s="590" customFormat="1" ht="13.5" customHeight="1">
      <c r="A10" s="1802" t="s">
        <v>1924</v>
      </c>
      <c r="B10" s="600" t="s">
        <v>822</v>
      </c>
      <c r="C10" s="601">
        <f ca="1">ROUND(D10*E10/10000,0)</f>
        <v>1895</v>
      </c>
      <c r="D10" s="1906">
        <f ca="1">IF(B1="",'数据-汇总表'!E6,IF(INDIRECT("'数据-取费表'!c"&amp;$G$1)="住宅",INDIRECT("'数据-取费表'!s"&amp;$G$1),INDIRECT("'数据-取费表'!k"&amp;$G$1)+INDIRECT("'数据-取费表'!s"&amp;$G$1)))</f>
        <v>94727.57</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 ca="1">IF(G19="已包含在土地取得成本中","0",ROUND(D19*E19/10000,0))</f>
        <v>1895</v>
      </c>
      <c r="D19" s="1910">
        <f ca="1">D9+D10</f>
        <v>94727.57</v>
      </c>
      <c r="E19" s="587">
        <f>'数据-取费表'!B31</f>
        <v>200</v>
      </c>
      <c r="F19" s="607"/>
      <c r="G19" s="84"/>
    </row>
    <row r="20" spans="1:7" s="590" customFormat="1" ht="13.5" customHeight="1">
      <c r="A20" s="1800" t="s">
        <v>2502</v>
      </c>
      <c r="B20" s="586" t="s">
        <v>832</v>
      </c>
      <c r="C20" s="608">
        <f ca="1">ROUND((C5+C19)*F20,0)</f>
        <v>4949</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8252</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8108</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63</v>
      </c>
      <c r="D24" s="614"/>
      <c r="E24" s="614"/>
      <c r="F24" s="615"/>
      <c r="G24" s="616" t="s">
        <v>837</v>
      </c>
    </row>
    <row r="25" spans="1:7" s="590" customFormat="1" ht="24">
      <c r="A25" s="1803" t="s">
        <v>1916</v>
      </c>
      <c r="B25" s="591" t="s">
        <v>2503</v>
      </c>
      <c r="C25" s="2696">
        <f ca="1">ROUND(IF('数据-取费表'!B22&lt;=1,C20*F22*'数据-取费表'!B23/2,C20*(POWER((1+F22),'数据-取费表'!B23/2)-1)),0)</f>
        <v>81</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 ca="1">C28</f>
        <v>14135</v>
      </c>
      <c r="D27" s="611">
        <f ca="1">C29</f>
        <v>1.1000000000000001E-3</v>
      </c>
      <c r="E27" s="612" t="s">
        <v>854</v>
      </c>
      <c r="F27" s="622">
        <f ca="1">IF(B1="",'数据-取费表'!Q16,INDIRECT("'数据-取费表'!q"&amp;$G$1))</f>
        <v>0.24</v>
      </c>
      <c r="G27" s="623" t="s">
        <v>2514</v>
      </c>
    </row>
    <row r="28" spans="1:7" s="590" customFormat="1" ht="13.5" customHeight="1">
      <c r="A28" s="1803" t="s">
        <v>1914</v>
      </c>
      <c r="B28" s="624" t="s">
        <v>2507</v>
      </c>
      <c r="C28" s="625">
        <f ca="1">ROUND((C5+C19+C20)*F27*'数据-取费表'!B21/'数据-取费表'!B20,0)</f>
        <v>14135</v>
      </c>
      <c r="D28" s="611"/>
      <c r="E28" s="612"/>
      <c r="F28" s="622"/>
      <c r="G28" s="623"/>
    </row>
    <row r="29" spans="1:7" s="590" customFormat="1" ht="13.5" customHeight="1">
      <c r="A29" s="1803" t="s">
        <v>1915</v>
      </c>
      <c r="B29" s="624" t="s">
        <v>2508</v>
      </c>
      <c r="C29" s="614">
        <f ca="1">ROUND(C21*F27*'数据-取费表'!B21/'数据-取费表'!B20,4)</f>
        <v>1.1000000000000001E-3</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296986</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12925</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11643</v>
      </c>
      <c r="D34" s="593"/>
      <c r="E34" s="596"/>
      <c r="F34" s="633">
        <f ca="1">IF('数据-取费表'!B24=0,1,IF(B1="",'数据-取费表'!N16,INDIRECT("'数据-取费表'!n"&amp;$G$1)))</f>
        <v>0.4</v>
      </c>
      <c r="G34" s="595" t="s">
        <v>844</v>
      </c>
    </row>
    <row r="35" spans="1:7" ht="13.5" customHeight="1">
      <c r="A35" s="1803" t="s">
        <v>1919</v>
      </c>
      <c r="B35" s="591" t="s">
        <v>346</v>
      </c>
      <c r="C35" s="596">
        <f ca="1">ROUND(C34*F35,0)</f>
        <v>349</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758</v>
      </c>
      <c r="D37" s="593">
        <f ca="1">D19</f>
        <v>94727.57</v>
      </c>
      <c r="E37" s="625">
        <f>'数据-取费表'!B35</f>
        <v>200</v>
      </c>
      <c r="F37" s="635"/>
      <c r="G37" s="637" t="s">
        <v>847</v>
      </c>
    </row>
    <row r="38" spans="1:7" ht="13.5" customHeight="1">
      <c r="A38" s="1803" t="s">
        <v>1922</v>
      </c>
      <c r="B38" s="591" t="s">
        <v>349</v>
      </c>
      <c r="C38" s="596">
        <f ca="1">ROUND(C34*F38,0)</f>
        <v>175</v>
      </c>
      <c r="D38" s="596"/>
      <c r="E38" s="596"/>
      <c r="F38" s="635">
        <f>'数据-取费表'!B36</f>
        <v>1.4999999999999999E-2</v>
      </c>
      <c r="G38" s="595" t="s">
        <v>845</v>
      </c>
    </row>
    <row r="39" spans="1:7" s="590" customFormat="1" ht="13.5" customHeight="1">
      <c r="A39" s="1800" t="s">
        <v>1906</v>
      </c>
      <c r="B39" s="586" t="s">
        <v>832</v>
      </c>
      <c r="C39" s="608">
        <f ca="1">ROUND(C33*F20,0)</f>
        <v>259</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212</v>
      </c>
      <c r="D42" s="614"/>
      <c r="E42" s="614"/>
      <c r="F42" s="615"/>
      <c r="G42" s="3558" t="s">
        <v>849</v>
      </c>
    </row>
    <row r="43" spans="1:7" ht="13.5" customHeight="1">
      <c r="A43" s="1803" t="s">
        <v>1915</v>
      </c>
      <c r="B43" s="591" t="s">
        <v>2509</v>
      </c>
      <c r="C43" s="614">
        <f ca="1">ROUND(IF('数据-取费表'!B22&lt;=1,C39*F22*'数据-取费表'!B21/2,C39*(POWER((1+F22),'数据-取费表'!B21/2)-1)),0)</f>
        <v>4</v>
      </c>
      <c r="D43" s="614"/>
      <c r="E43" s="614"/>
      <c r="F43" s="615"/>
      <c r="G43" s="3559"/>
    </row>
    <row r="44" spans="1:7" ht="13.5" customHeight="1">
      <c r="A44" s="1803" t="s">
        <v>1916</v>
      </c>
      <c r="B44" s="591" t="s">
        <v>2511</v>
      </c>
      <c r="C44" s="614">
        <f ca="1">ROUND(IF('数据-取费表'!B22&lt;=1,C40*F22*'数据-取费表'!B21/2,C40*(POWER((1+F22),'数据-取费表'!B21/2)-1)),4)</f>
        <v>2.9999999999999997E-4</v>
      </c>
      <c r="D44" s="614"/>
      <c r="E44" s="614"/>
      <c r="F44" s="615"/>
      <c r="G44" s="3560"/>
    </row>
    <row r="45" spans="1:7" s="590" customFormat="1" ht="13.5" customHeight="1">
      <c r="A45" s="1800" t="s">
        <v>1909</v>
      </c>
      <c r="B45" s="620" t="s">
        <v>840</v>
      </c>
      <c r="C45" s="621">
        <f ca="1">C46</f>
        <v>3164</v>
      </c>
      <c r="D45" s="611">
        <f ca="1">C47</f>
        <v>4.7999999999999996E-3</v>
      </c>
      <c r="E45" s="612" t="s">
        <v>857</v>
      </c>
      <c r="F45" s="622"/>
      <c r="G45" s="623" t="s">
        <v>2517</v>
      </c>
    </row>
    <row r="46" spans="1:7" s="590" customFormat="1" ht="13.5" customHeight="1">
      <c r="A46" s="1803" t="s">
        <v>1914</v>
      </c>
      <c r="B46" s="624" t="s">
        <v>2510</v>
      </c>
      <c r="C46" s="625">
        <f ca="1">ROUND((C33+C39)*F27,0)</f>
        <v>3164</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17973</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17973</v>
      </c>
      <c r="D51" s="608"/>
      <c r="E51" s="608"/>
      <c r="F51" s="640"/>
      <c r="G51" s="610" t="s">
        <v>350</v>
      </c>
    </row>
    <row r="52" spans="1:7" s="584" customFormat="1" ht="16.5" thickBot="1">
      <c r="A52" s="641" t="s">
        <v>351</v>
      </c>
      <c r="B52" s="642"/>
      <c r="C52" s="643">
        <f ca="1">C31+C51</f>
        <v>314959</v>
      </c>
      <c r="D52" s="642"/>
      <c r="E52" s="642"/>
      <c r="F52" s="642"/>
      <c r="G52" s="644"/>
    </row>
    <row r="55" spans="1:7" ht="15">
      <c r="B55" s="646" t="s">
        <v>352</v>
      </c>
      <c r="C55" s="647"/>
    </row>
    <row r="56" spans="1:7">
      <c r="B56" s="2871" t="s">
        <v>2693</v>
      </c>
      <c r="C56" s="651">
        <f ca="1">1-C57</f>
        <v>0.94299999999999995</v>
      </c>
    </row>
    <row r="57" spans="1:7">
      <c r="B57" s="2871" t="s">
        <v>2692</v>
      </c>
      <c r="C57" s="650">
        <f ca="1">ROUND(C51/C52,3)</f>
        <v>5.7000000000000002E-2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5" t="str">
        <f>项目基本情况!B1</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37" s="3365"/>
      <c r="D37" s="3365"/>
      <c r="E37" s="3365"/>
      <c r="F37" s="3365"/>
      <c r="G37" s="3365"/>
      <c r="H37" s="3365"/>
      <c r="I37" s="3365"/>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52806</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5575</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18945514</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18945514</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18945514</v>
      </c>
      <c r="D10" s="1906">
        <f ca="1">IF(B1="",'数据-汇总表'!E6,IF(INDIRECT("'数据-取费表'!c"&amp;$G$1)="住宅",INDIRECT("'数据-取费表'!s"&amp;$G$1),INDIRECT("'数据-取费表'!k"&amp;$G$1)+INDIRECT("'数据-取费表'!s"&amp;$G$1)))</f>
        <v>94727.57</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18945514</v>
      </c>
      <c r="D19" s="1910">
        <f ca="1">D9+D10</f>
        <v>94727.57</v>
      </c>
      <c r="E19" s="587">
        <f>'数据-取费表'!B31</f>
        <v>200</v>
      </c>
      <c r="F19" s="607"/>
      <c r="G19" s="84"/>
    </row>
    <row r="20" spans="1:7" s="590" customFormat="1" ht="13.5" customHeight="1">
      <c r="A20" s="1800" t="s">
        <v>1907</v>
      </c>
      <c r="B20" s="586" t="s">
        <v>832</v>
      </c>
      <c r="C20" s="608">
        <f ca="1">ROUND((C5+C19)*F20,0)</f>
        <v>757821</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5714639</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2830004</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2830004</v>
      </c>
      <c r="D24" s="614"/>
      <c r="E24" s="614"/>
      <c r="F24" s="615"/>
      <c r="G24" s="616" t="s">
        <v>837</v>
      </c>
    </row>
    <row r="25" spans="1:7" s="590" customFormat="1" ht="24">
      <c r="A25" s="1803" t="s">
        <v>1916</v>
      </c>
      <c r="B25" s="591" t="s">
        <v>2503</v>
      </c>
      <c r="C25" s="2751">
        <f ca="1">ROUND(IF('数据-取费表'!B22&lt;=1,C20*F22*'数据-取费表'!B22/2,C20*(POWER((1+F22),'数据-取费表'!B22/2)-1)),0)</f>
        <v>54631</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9275724</v>
      </c>
      <c r="D27" s="611">
        <f ca="1">C29</f>
        <v>4.7999999999999996E-3</v>
      </c>
      <c r="E27" s="612" t="s">
        <v>854</v>
      </c>
      <c r="F27" s="622">
        <f ca="1">IF(B1="",'数据-取费表'!Q16,INDIRECT("'数据-取费表'!q"&amp;$G$1))</f>
        <v>0.24</v>
      </c>
      <c r="G27" s="623" t="s">
        <v>2514</v>
      </c>
    </row>
    <row r="28" spans="1:7" s="590" customFormat="1" ht="13.5" customHeight="1">
      <c r="A28" s="1803" t="s">
        <v>1914</v>
      </c>
      <c r="B28" s="624" t="s">
        <v>2507</v>
      </c>
      <c r="C28" s="625">
        <f ca="1">ROUND((C5+C19+C20)*F27,0)</f>
        <v>9275724</v>
      </c>
      <c r="D28" s="611"/>
      <c r="E28" s="612"/>
      <c r="F28" s="622"/>
      <c r="G28" s="623"/>
    </row>
    <row r="29" spans="1:7" s="590" customFormat="1" ht="13.5" customHeight="1">
      <c r="A29" s="1803" t="s">
        <v>1915</v>
      </c>
      <c r="B29" s="624" t="s">
        <v>2508</v>
      </c>
      <c r="C29" s="614">
        <f ca="1">ROUND(C21*F27,4)</f>
        <v>4.7999999999999996E-3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58271822</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323115740</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291071986</v>
      </c>
      <c r="D34" s="593"/>
      <c r="E34" s="596"/>
      <c r="F34" s="633"/>
      <c r="G34" s="595"/>
    </row>
    <row r="35" spans="1:7" ht="13.5" customHeight="1">
      <c r="A35" s="1803" t="s">
        <v>1919</v>
      </c>
      <c r="B35" s="591" t="s">
        <v>346</v>
      </c>
      <c r="C35" s="596">
        <f ca="1">ROUND(C34*F35,0)</f>
        <v>8732160</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18945514</v>
      </c>
      <c r="D37" s="593">
        <f ca="1">D19</f>
        <v>94727.57</v>
      </c>
      <c r="E37" s="625">
        <f>'数据-取费表'!B35</f>
        <v>200</v>
      </c>
      <c r="F37" s="635"/>
      <c r="G37" s="637"/>
    </row>
    <row r="38" spans="1:7" ht="13.5" customHeight="1">
      <c r="A38" s="1803" t="s">
        <v>1922</v>
      </c>
      <c r="B38" s="591" t="s">
        <v>349</v>
      </c>
      <c r="C38" s="596">
        <f ca="1">ROUND(C34*F38,0)</f>
        <v>4366080</v>
      </c>
      <c r="D38" s="596"/>
      <c r="E38" s="596"/>
      <c r="F38" s="635">
        <f>'数据-取费表'!B36</f>
        <v>1.4999999999999999E-2</v>
      </c>
      <c r="G38" s="595" t="s">
        <v>845</v>
      </c>
    </row>
    <row r="39" spans="1:7" s="590" customFormat="1" ht="13.5" customHeight="1">
      <c r="A39" s="1800" t="s">
        <v>1906</v>
      </c>
      <c r="B39" s="586" t="s">
        <v>832</v>
      </c>
      <c r="C39" s="608">
        <f ca="1">ROUND(C33*F20,0)</f>
        <v>6462315</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23759121</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23293256</v>
      </c>
      <c r="D42" s="614"/>
      <c r="E42" s="614"/>
      <c r="F42" s="615"/>
      <c r="G42" s="3561" t="s">
        <v>2622</v>
      </c>
    </row>
    <row r="43" spans="1:7" ht="13.5" customHeight="1">
      <c r="A43" s="1803" t="s">
        <v>1915</v>
      </c>
      <c r="B43" s="591" t="s">
        <v>2501</v>
      </c>
      <c r="C43" s="614">
        <f ca="1">ROUND(IF('数据-取费表'!B22&lt;=1,C39*F22*'数据-取费表'!B20/2,C39*(POWER((1+F22),'数据-取费表'!B20/2)-1)),0)</f>
        <v>465865</v>
      </c>
      <c r="D43" s="614"/>
      <c r="E43" s="614"/>
      <c r="F43" s="615"/>
      <c r="G43" s="3559"/>
    </row>
    <row r="44" spans="1:7" ht="13.5" customHeight="1">
      <c r="A44" s="1803" t="s">
        <v>1916</v>
      </c>
      <c r="B44" s="591" t="s">
        <v>2503</v>
      </c>
      <c r="C44" s="614">
        <f ca="1">ROUND(IF('数据-取费表'!B22&lt;=1,C40*F22*'数据-取费表'!B20/2,C40*(POWER((1+F22),'数据-取费表'!B20/2)-1)),4)</f>
        <v>1.4E-3</v>
      </c>
      <c r="D44" s="614"/>
      <c r="E44" s="614"/>
      <c r="F44" s="615"/>
      <c r="G44" s="3560"/>
    </row>
    <row r="45" spans="1:7" s="590" customFormat="1" ht="13.5" customHeight="1">
      <c r="A45" s="1800" t="s">
        <v>1909</v>
      </c>
      <c r="B45" s="620" t="s">
        <v>840</v>
      </c>
      <c r="C45" s="621">
        <f ca="1">C46</f>
        <v>79098733</v>
      </c>
      <c r="D45" s="611">
        <f ca="1">C47</f>
        <v>4.7999999999999996E-3</v>
      </c>
      <c r="E45" s="612" t="s">
        <v>857</v>
      </c>
      <c r="F45" s="622"/>
      <c r="G45" s="623" t="s">
        <v>2517</v>
      </c>
    </row>
    <row r="46" spans="1:7" s="590" customFormat="1" ht="13.5" customHeight="1">
      <c r="A46" s="1803" t="s">
        <v>1914</v>
      </c>
      <c r="B46" s="624" t="s">
        <v>2510</v>
      </c>
      <c r="C46" s="625">
        <f ca="1">ROUND((C33+C39)*F27,0)</f>
        <v>79098733</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469783714</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469783714</v>
      </c>
      <c r="D51" s="608"/>
      <c r="E51" s="608"/>
      <c r="F51" s="640"/>
      <c r="G51" s="610" t="s">
        <v>350</v>
      </c>
    </row>
    <row r="52" spans="1:7" s="584" customFormat="1" ht="16.5" thickBot="1">
      <c r="A52" s="641" t="s">
        <v>351</v>
      </c>
      <c r="B52" s="642"/>
      <c r="C52" s="643">
        <f ca="1">C31+C51</f>
        <v>528055536</v>
      </c>
      <c r="D52" s="642"/>
      <c r="E52" s="642"/>
      <c r="F52" s="642"/>
      <c r="G52" s="644"/>
    </row>
    <row r="55" spans="1:7" ht="15">
      <c r="B55" s="646" t="s">
        <v>352</v>
      </c>
      <c r="C55" s="647"/>
    </row>
    <row r="56" spans="1:7">
      <c r="B56" s="2871" t="s">
        <v>2693</v>
      </c>
      <c r="C56" s="651">
        <f ca="1">1-C57</f>
        <v>0.10999999999999999</v>
      </c>
    </row>
    <row r="57" spans="1:7">
      <c r="B57" s="2871" t="s">
        <v>2692</v>
      </c>
      <c r="C57" s="650">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I46" sqref="I4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236463</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24962</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0" t="s">
        <v>387</v>
      </c>
      <c r="D4" s="3581"/>
      <c r="E4" s="3582" t="s">
        <v>388</v>
      </c>
      <c r="F4" s="3583"/>
      <c r="G4" s="3580" t="s">
        <v>389</v>
      </c>
      <c r="H4" s="3581"/>
      <c r="I4" s="3580" t="s">
        <v>390</v>
      </c>
      <c r="J4" s="3581"/>
      <c r="K4" s="950" t="s">
        <v>391</v>
      </c>
      <c r="L4" s="2344"/>
      <c r="M4" s="2345"/>
      <c r="N4" s="2345"/>
      <c r="O4" s="2345"/>
      <c r="P4" s="3584" t="s">
        <v>392</v>
      </c>
      <c r="Q4" s="3585"/>
      <c r="R4" s="3567" t="s">
        <v>388</v>
      </c>
      <c r="S4" s="3568"/>
      <c r="T4" s="3567" t="s">
        <v>389</v>
      </c>
      <c r="U4" s="3568"/>
      <c r="V4" s="3592" t="s">
        <v>390</v>
      </c>
      <c r="W4" s="3592"/>
      <c r="X4" s="1314"/>
      <c r="Y4" s="3567" t="s">
        <v>392</v>
      </c>
      <c r="Z4" s="3568"/>
      <c r="AA4" s="3562" t="s">
        <v>388</v>
      </c>
      <c r="AB4" s="3563" t="s">
        <v>389</v>
      </c>
      <c r="AC4" s="3562" t="s">
        <v>390</v>
      </c>
    </row>
    <row r="5" spans="1:30" ht="15">
      <c r="A5" s="747"/>
      <c r="B5" s="748"/>
      <c r="C5" s="3573" t="s">
        <v>1120</v>
      </c>
      <c r="D5" s="3574"/>
      <c r="E5" s="3571" t="s">
        <v>1121</v>
      </c>
      <c r="F5" s="3572"/>
      <c r="G5" s="3573" t="s">
        <v>1124</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30" ht="47.25" customHeight="1" thickBot="1">
      <c r="A6" s="749"/>
      <c r="B6" s="750"/>
      <c r="C6" s="3575" t="s">
        <v>1123</v>
      </c>
      <c r="D6" s="3576"/>
      <c r="E6" s="3577" t="str">
        <f>土地案例!A2</f>
        <v>丰台区丽泽金融商务区南区D-07、D-08地块</v>
      </c>
      <c r="F6" s="3578"/>
      <c r="G6" s="3575" t="str">
        <f>土地案例!A14</f>
        <v>大兴开发区北区1号地DX00-0301-0145地块</v>
      </c>
      <c r="H6" s="3576"/>
      <c r="I6" s="3575" t="str">
        <f>土地案例!A17</f>
        <v>大兴区黄村镇兴华大街DX00-0202-0307地块</v>
      </c>
      <c r="J6" s="3576"/>
      <c r="K6" s="950" t="s">
        <v>393</v>
      </c>
      <c r="L6" s="2344"/>
      <c r="M6" s="2345"/>
      <c r="N6" s="2345"/>
      <c r="O6" s="2345"/>
      <c r="P6" s="3588"/>
      <c r="Q6" s="3589"/>
      <c r="R6" s="3569"/>
      <c r="S6" s="3570"/>
      <c r="T6" s="3590"/>
      <c r="U6" s="3591"/>
      <c r="V6" s="3592"/>
      <c r="W6" s="3592"/>
      <c r="X6" s="1314"/>
      <c r="Y6" s="3590"/>
      <c r="Z6" s="3591"/>
      <c r="AA6" s="3564"/>
      <c r="AB6" s="3564"/>
      <c r="AC6" s="3564"/>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565" t="s">
        <v>395</v>
      </c>
      <c r="Q7" s="3593"/>
      <c r="R7" s="1315" t="s">
        <v>63</v>
      </c>
      <c r="S7" s="1316">
        <f t="shared" ref="S7:S15" si="0">F7</f>
        <v>98</v>
      </c>
      <c r="T7" s="1315" t="s">
        <v>63</v>
      </c>
      <c r="U7" s="1316">
        <f t="shared" ref="U7:U15" si="1">H7</f>
        <v>98</v>
      </c>
      <c r="V7" s="1315" t="s">
        <v>63</v>
      </c>
      <c r="W7" s="1316">
        <f t="shared" ref="W7:W15" si="2">J7</f>
        <v>90</v>
      </c>
      <c r="X7" s="1317"/>
      <c r="Y7" s="3565" t="s">
        <v>395</v>
      </c>
      <c r="Z7" s="3566"/>
      <c r="AA7" s="1318">
        <f>D7/F7</f>
        <v>1.0204081632653061</v>
      </c>
      <c r="AB7" s="1318">
        <f>D7/H7</f>
        <v>1.0204081632653061</v>
      </c>
      <c r="AC7" s="1318">
        <f>D7/J7</f>
        <v>1.1111111111111112</v>
      </c>
    </row>
    <row r="8" spans="1:30" s="407" customFormat="1" ht="15.75" thickBot="1">
      <c r="A8" s="751" t="s">
        <v>396</v>
      </c>
      <c r="B8" s="752"/>
      <c r="C8" s="1016" t="s">
        <v>153</v>
      </c>
      <c r="D8" s="754">
        <v>100</v>
      </c>
      <c r="E8" s="1016" t="s">
        <v>3183</v>
      </c>
      <c r="F8" s="756">
        <f>SUMIF(73:73,E8,74:74)-SUMIF(73:73,C8,74:74)+100</f>
        <v>100</v>
      </c>
      <c r="G8" s="1016" t="s">
        <v>3184</v>
      </c>
      <c r="H8" s="754">
        <f>SUMIF(73:73,G8,74:74)-SUMIF(73:73,C8,74:74)+100</f>
        <v>100</v>
      </c>
      <c r="I8" s="1016" t="s">
        <v>3184</v>
      </c>
      <c r="J8" s="754">
        <f>SUMIF(73:73,I8,74:74)-SUMIF(73:73,C8,74:74)+100</f>
        <v>100</v>
      </c>
      <c r="K8" s="951"/>
      <c r="L8" s="2346"/>
      <c r="M8" s="2347"/>
      <c r="N8" s="2347"/>
      <c r="O8" s="2347"/>
      <c r="P8" s="3565" t="s">
        <v>431</v>
      </c>
      <c r="Q8" s="3566"/>
      <c r="R8" s="1315" t="s">
        <v>63</v>
      </c>
      <c r="S8" s="1316">
        <f t="shared" si="0"/>
        <v>100</v>
      </c>
      <c r="T8" s="1315" t="s">
        <v>63</v>
      </c>
      <c r="U8" s="1316">
        <f t="shared" si="1"/>
        <v>100</v>
      </c>
      <c r="V8" s="1315" t="s">
        <v>63</v>
      </c>
      <c r="W8" s="1316">
        <f t="shared" si="2"/>
        <v>100</v>
      </c>
      <c r="X8" s="1317"/>
      <c r="Y8" s="3565" t="s">
        <v>431</v>
      </c>
      <c r="Z8" s="3566"/>
      <c r="AA8" s="1318">
        <f t="shared" ref="AA8:AA45" si="3">D8/F8</f>
        <v>1</v>
      </c>
      <c r="AB8" s="1318">
        <f t="shared" ref="AB8:AB45" si="4">D8/H8</f>
        <v>1</v>
      </c>
      <c r="AC8" s="1318">
        <f t="shared" ref="AC8:AC45" si="5">D8/J8</f>
        <v>1</v>
      </c>
    </row>
    <row r="9" spans="1:30" s="407" customFormat="1">
      <c r="A9" s="758" t="s">
        <v>397</v>
      </c>
      <c r="B9" s="361" t="s">
        <v>415</v>
      </c>
      <c r="C9" s="1018" t="s">
        <v>3185</v>
      </c>
      <c r="D9" s="425">
        <v>100</v>
      </c>
      <c r="E9" s="1018" t="s">
        <v>3185</v>
      </c>
      <c r="F9" s="425">
        <f>SUMIF(75:75,E9,76:76)-SUMIF(75:75,C9,76:76)+100</f>
        <v>100</v>
      </c>
      <c r="G9" s="1018" t="s">
        <v>3185</v>
      </c>
      <c r="H9" s="425">
        <f>SUMIF(75:75,G9,76:76)-SUMIF(75:75,C9,76:76)+100</f>
        <v>100</v>
      </c>
      <c r="I9" s="1018" t="s">
        <v>3185</v>
      </c>
      <c r="J9" s="425">
        <f>SUMIF(75:75,I9,76:76)-SUMIF(75:75,C9,76:76)+100</f>
        <v>100</v>
      </c>
      <c r="K9" s="951"/>
      <c r="L9" s="2346"/>
      <c r="M9" s="2347"/>
      <c r="N9" s="2347"/>
      <c r="O9" s="2348"/>
      <c r="P9" s="3579" t="s">
        <v>398</v>
      </c>
      <c r="Q9" s="296" t="str">
        <f t="shared" ref="Q9:Q15" si="6">B9</f>
        <v>用途</v>
      </c>
      <c r="R9" s="1315" t="s">
        <v>63</v>
      </c>
      <c r="S9" s="1316">
        <f t="shared" si="0"/>
        <v>100</v>
      </c>
      <c r="T9" s="1315" t="s">
        <v>63</v>
      </c>
      <c r="U9" s="1316">
        <f t="shared" si="1"/>
        <v>100</v>
      </c>
      <c r="V9" s="1315" t="s">
        <v>63</v>
      </c>
      <c r="W9" s="1316">
        <f t="shared" si="2"/>
        <v>100</v>
      </c>
      <c r="X9" s="1317"/>
      <c r="Y9" s="3536" t="s">
        <v>399</v>
      </c>
      <c r="Z9" s="344" t="str">
        <f t="shared" ref="Z9:Z15" si="7">Q9</f>
        <v>用途</v>
      </c>
      <c r="AA9" s="1318">
        <f t="shared" si="3"/>
        <v>1</v>
      </c>
      <c r="AB9" s="1318">
        <f t="shared" si="4"/>
        <v>1</v>
      </c>
      <c r="AC9" s="1318">
        <f t="shared" si="5"/>
        <v>1</v>
      </c>
    </row>
    <row r="10" spans="1:30" s="768" customFormat="1" ht="27">
      <c r="A10" s="762"/>
      <c r="B10" s="763" t="s">
        <v>400</v>
      </c>
      <c r="C10" s="773" t="s">
        <v>3188</v>
      </c>
      <c r="D10" s="426">
        <v>100</v>
      </c>
      <c r="E10" s="805" t="s">
        <v>3189</v>
      </c>
      <c r="F10" s="426">
        <f>ROUND(100/'数据-取费表'!G16,0)</f>
        <v>101</v>
      </c>
      <c r="G10" s="805" t="s">
        <v>3189</v>
      </c>
      <c r="H10" s="426">
        <f>ROUND(100/'数据-取费表'!G16,0)</f>
        <v>101</v>
      </c>
      <c r="I10" s="805" t="s">
        <v>3189</v>
      </c>
      <c r="J10" s="426">
        <f>ROUND(100/'数据-取费表'!G16,0)</f>
        <v>101</v>
      </c>
      <c r="K10" s="1077"/>
      <c r="L10" s="2349"/>
      <c r="M10" s="2350"/>
      <c r="N10" s="2350"/>
      <c r="O10" s="2351"/>
      <c r="P10" s="3579"/>
      <c r="Q10" s="296" t="str">
        <f t="shared" si="6"/>
        <v>土地使用年限（年）</v>
      </c>
      <c r="R10" s="1315" t="s">
        <v>63</v>
      </c>
      <c r="S10" s="1316">
        <f t="shared" si="0"/>
        <v>101</v>
      </c>
      <c r="T10" s="1315" t="s">
        <v>63</v>
      </c>
      <c r="U10" s="1316">
        <f t="shared" si="1"/>
        <v>101</v>
      </c>
      <c r="V10" s="1315" t="s">
        <v>63</v>
      </c>
      <c r="W10" s="1316">
        <f t="shared" si="2"/>
        <v>101</v>
      </c>
      <c r="X10" s="1317"/>
      <c r="Y10" s="3536"/>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79"/>
      <c r="Q11" s="296" t="str">
        <f t="shared" si="6"/>
        <v>容积率</v>
      </c>
      <c r="R11" s="1315" t="s">
        <v>63</v>
      </c>
      <c r="S11" s="1316">
        <f t="shared" si="0"/>
        <v>96</v>
      </c>
      <c r="T11" s="1315" t="s">
        <v>63</v>
      </c>
      <c r="U11" s="1316">
        <f t="shared" si="1"/>
        <v>100</v>
      </c>
      <c r="V11" s="1315" t="s">
        <v>63</v>
      </c>
      <c r="W11" s="1316">
        <f t="shared" si="2"/>
        <v>98</v>
      </c>
      <c r="X11" s="1317"/>
      <c r="Y11" s="3536"/>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79"/>
      <c r="Q12" s="296" t="str">
        <f t="shared" si="6"/>
        <v>配建</v>
      </c>
      <c r="R12" s="1315" t="s">
        <v>63</v>
      </c>
      <c r="S12" s="1316">
        <f t="shared" si="0"/>
        <v>100</v>
      </c>
      <c r="T12" s="1315" t="s">
        <v>63</v>
      </c>
      <c r="U12" s="1316">
        <f t="shared" si="1"/>
        <v>100</v>
      </c>
      <c r="V12" s="1315" t="s">
        <v>63</v>
      </c>
      <c r="W12" s="1316">
        <f t="shared" si="2"/>
        <v>100</v>
      </c>
      <c r="X12" s="1317"/>
      <c r="Y12" s="3536"/>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79"/>
      <c r="Q14" s="296">
        <f t="shared" si="6"/>
        <v>111</v>
      </c>
      <c r="R14" s="1315" t="s">
        <v>63</v>
      </c>
      <c r="S14" s="1316">
        <f t="shared" si="0"/>
        <v>100</v>
      </c>
      <c r="T14" s="1315" t="s">
        <v>63</v>
      </c>
      <c r="U14" s="1316">
        <f t="shared" si="1"/>
        <v>100</v>
      </c>
      <c r="V14" s="1315" t="s">
        <v>63</v>
      </c>
      <c r="W14" s="1316">
        <f t="shared" si="2"/>
        <v>100</v>
      </c>
      <c r="X14" s="1317"/>
      <c r="Y14" s="3536"/>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94" t="s">
        <v>403</v>
      </c>
      <c r="Q15" s="1319" t="str">
        <f t="shared" si="6"/>
        <v>居住社区成熟度</v>
      </c>
      <c r="R15" s="1320" t="s">
        <v>63</v>
      </c>
      <c r="S15" s="1321">
        <f t="shared" si="0"/>
        <v>100</v>
      </c>
      <c r="T15" s="1320" t="s">
        <v>63</v>
      </c>
      <c r="U15" s="1321">
        <f t="shared" si="1"/>
        <v>100</v>
      </c>
      <c r="V15" s="1320" t="s">
        <v>63</v>
      </c>
      <c r="W15" s="1321">
        <f t="shared" si="2"/>
        <v>100</v>
      </c>
      <c r="X15" s="1314"/>
      <c r="Y15" s="3594"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95"/>
      <c r="Q16" s="1319"/>
      <c r="R16" s="1320"/>
      <c r="S16" s="1321"/>
      <c r="T16" s="1320"/>
      <c r="U16" s="1321"/>
      <c r="V16" s="1320"/>
      <c r="W16" s="1321"/>
      <c r="X16" s="1314"/>
      <c r="Y16" s="3595"/>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95"/>
      <c r="Q17" s="1319" t="str">
        <f>B17</f>
        <v>商业繁华度</v>
      </c>
      <c r="R17" s="1320" t="s">
        <v>63</v>
      </c>
      <c r="S17" s="1321">
        <f>F17</f>
        <v>100</v>
      </c>
      <c r="T17" s="1320" t="s">
        <v>63</v>
      </c>
      <c r="U17" s="1321">
        <f>H17</f>
        <v>100</v>
      </c>
      <c r="V17" s="1320" t="s">
        <v>63</v>
      </c>
      <c r="W17" s="1321">
        <f>J17</f>
        <v>100</v>
      </c>
      <c r="X17" s="1314"/>
      <c r="Y17" s="3595"/>
      <c r="Z17" s="1322" t="str">
        <f>Q17</f>
        <v>商业繁华度</v>
      </c>
      <c r="AA17" s="1323">
        <f t="shared" si="3"/>
        <v>1</v>
      </c>
      <c r="AB17" s="1323">
        <f t="shared" si="4"/>
        <v>1</v>
      </c>
      <c r="AC17" s="1323">
        <f t="shared" si="5"/>
        <v>1</v>
      </c>
    </row>
    <row r="18" spans="1:29" ht="15">
      <c r="A18" s="769"/>
      <c r="B18" s="797"/>
      <c r="C18" s="102" t="s">
        <v>3199</v>
      </c>
      <c r="D18" s="791"/>
      <c r="E18" s="103" t="s">
        <v>3199</v>
      </c>
      <c r="F18" s="791"/>
      <c r="G18" s="103" t="s">
        <v>3217</v>
      </c>
      <c r="H18" s="789"/>
      <c r="I18" s="104" t="s">
        <v>3199</v>
      </c>
      <c r="J18" s="789"/>
      <c r="K18" s="1077"/>
      <c r="L18" s="2354"/>
      <c r="M18" s="2345"/>
      <c r="N18" s="2345"/>
      <c r="O18" s="2353"/>
      <c r="P18" s="3595"/>
      <c r="Q18" s="1319"/>
      <c r="R18" s="1320"/>
      <c r="S18" s="1321"/>
      <c r="T18" s="1320"/>
      <c r="U18" s="1321"/>
      <c r="V18" s="1320"/>
      <c r="W18" s="1321"/>
      <c r="X18" s="1314"/>
      <c r="Y18" s="3595"/>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95"/>
      <c r="Q19" s="1319" t="str">
        <f>B19</f>
        <v>办公集聚程度</v>
      </c>
      <c r="R19" s="1320" t="s">
        <v>63</v>
      </c>
      <c r="S19" s="1321">
        <f>F19</f>
        <v>100</v>
      </c>
      <c r="T19" s="1320" t="s">
        <v>63</v>
      </c>
      <c r="U19" s="1321">
        <f>H19</f>
        <v>97</v>
      </c>
      <c r="V19" s="1320" t="s">
        <v>63</v>
      </c>
      <c r="W19" s="1321">
        <f>J19</f>
        <v>97</v>
      </c>
      <c r="X19" s="1314"/>
      <c r="Y19" s="3595"/>
      <c r="Z19" s="1322" t="str">
        <f>Q19</f>
        <v>办公集聚程度</v>
      </c>
      <c r="AA19" s="1323">
        <f t="shared" si="3"/>
        <v>1</v>
      </c>
      <c r="AB19" s="1323">
        <f t="shared" si="4"/>
        <v>1.0309278350515463</v>
      </c>
      <c r="AC19" s="1323">
        <f t="shared" si="5"/>
        <v>1.0309278350515463</v>
      </c>
    </row>
    <row r="20" spans="1:29" ht="15">
      <c r="A20" s="769"/>
      <c r="B20" s="797"/>
      <c r="C20" s="97" t="s">
        <v>3200</v>
      </c>
      <c r="D20" s="789"/>
      <c r="E20" s="98" t="s">
        <v>3200</v>
      </c>
      <c r="F20" s="789"/>
      <c r="G20" s="98" t="s">
        <v>3199</v>
      </c>
      <c r="H20" s="789"/>
      <c r="I20" s="99" t="s">
        <v>3199</v>
      </c>
      <c r="J20" s="789"/>
      <c r="K20" s="1077"/>
      <c r="L20" s="2354"/>
      <c r="M20" s="2345"/>
      <c r="N20" s="2345"/>
      <c r="O20" s="2353"/>
      <c r="P20" s="3595"/>
      <c r="Q20" s="1319"/>
      <c r="R20" s="1320"/>
      <c r="S20" s="1321"/>
      <c r="T20" s="1320"/>
      <c r="U20" s="1321"/>
      <c r="V20" s="1320"/>
      <c r="W20" s="1321"/>
      <c r="X20" s="1314"/>
      <c r="Y20" s="3595"/>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95"/>
      <c r="Q21" s="1319" t="str">
        <f>B21</f>
        <v>交通便捷度</v>
      </c>
      <c r="R21" s="1320" t="s">
        <v>63</v>
      </c>
      <c r="S21" s="1321">
        <f>F21</f>
        <v>98</v>
      </c>
      <c r="T21" s="1320" t="s">
        <v>63</v>
      </c>
      <c r="U21" s="1321">
        <f>H21</f>
        <v>98</v>
      </c>
      <c r="V21" s="1320" t="s">
        <v>63</v>
      </c>
      <c r="W21" s="1321">
        <f>J21</f>
        <v>100</v>
      </c>
      <c r="X21" s="1314"/>
      <c r="Y21" s="3595"/>
      <c r="Z21" s="1322" t="str">
        <f>Q21</f>
        <v>交通便捷度</v>
      </c>
      <c r="AA21" s="1323">
        <f t="shared" si="3"/>
        <v>1.0204081632653061</v>
      </c>
      <c r="AB21" s="1323">
        <f t="shared" si="4"/>
        <v>1.0204081632653061</v>
      </c>
      <c r="AC21" s="1323">
        <f t="shared" si="5"/>
        <v>1</v>
      </c>
    </row>
    <row r="22" spans="1:29" ht="15">
      <c r="A22" s="769"/>
      <c r="B22" s="2765"/>
      <c r="C22" s="97" t="s">
        <v>3201</v>
      </c>
      <c r="D22" s="791"/>
      <c r="E22" s="98" t="s">
        <v>3200</v>
      </c>
      <c r="F22" s="789"/>
      <c r="G22" s="98" t="s">
        <v>3200</v>
      </c>
      <c r="H22" s="789"/>
      <c r="I22" s="99" t="s">
        <v>3201</v>
      </c>
      <c r="J22" s="789"/>
      <c r="K22" s="1077"/>
      <c r="L22" s="2354"/>
      <c r="M22" s="2345"/>
      <c r="N22" s="2345"/>
      <c r="O22" s="2353"/>
      <c r="P22" s="3595"/>
      <c r="Q22" s="1319"/>
      <c r="R22" s="1320"/>
      <c r="S22" s="1321"/>
      <c r="T22" s="1320"/>
      <c r="U22" s="1321"/>
      <c r="V22" s="1320"/>
      <c r="W22" s="1321"/>
      <c r="X22" s="1314"/>
      <c r="Y22" s="3595"/>
      <c r="Z22" s="1322"/>
      <c r="AA22" s="1323">
        <v>1</v>
      </c>
      <c r="AB22" s="1323">
        <v>1</v>
      </c>
      <c r="AC22" s="1323">
        <v>1</v>
      </c>
    </row>
    <row r="23" spans="1:29" ht="27">
      <c r="A23" s="747"/>
      <c r="B23" s="792" t="s">
        <v>479</v>
      </c>
      <c r="C23" s="2770" t="str">
        <f>估价对象房地状况!C19</f>
        <v>一致</v>
      </c>
      <c r="D23" s="796">
        <v>100</v>
      </c>
      <c r="E23" s="3344" t="s">
        <v>3230</v>
      </c>
      <c r="F23" s="796">
        <f>SUMIF(96:96,E24,97:97)-SUMIF(96:96,C24,97:97)+100</f>
        <v>98</v>
      </c>
      <c r="G23" s="3341" t="s">
        <v>3239</v>
      </c>
      <c r="H23" s="796">
        <f>SUMIF(96:96,G24,97:97)-SUMIF(96:96,C24,97:97)+100</f>
        <v>94</v>
      </c>
      <c r="I23" s="3341" t="s">
        <v>3239</v>
      </c>
      <c r="J23" s="796">
        <f>SUMIF(96:96,I24,97:97)-SUMIF(96:96,C24,97:97)+100</f>
        <v>94</v>
      </c>
      <c r="K23" s="1078">
        <v>2</v>
      </c>
      <c r="L23" s="2354"/>
      <c r="M23" s="2345"/>
      <c r="N23" s="2345"/>
      <c r="O23" s="2353"/>
      <c r="P23" s="3595"/>
      <c r="Q23" s="1319" t="str">
        <f t="shared" ref="Q23:Q37" si="8">B23</f>
        <v>区域土地利用方向</v>
      </c>
      <c r="R23" s="1320" t="s">
        <v>63</v>
      </c>
      <c r="S23" s="1321">
        <f>F23</f>
        <v>98</v>
      </c>
      <c r="T23" s="1320" t="s">
        <v>63</v>
      </c>
      <c r="U23" s="1321">
        <f>H23</f>
        <v>94</v>
      </c>
      <c r="V23" s="1320" t="s">
        <v>63</v>
      </c>
      <c r="W23" s="1321">
        <f>J23</f>
        <v>94</v>
      </c>
      <c r="X23" s="1314"/>
      <c r="Y23" s="3595"/>
      <c r="Z23" s="1322" t="str">
        <f>Q23</f>
        <v>区域土地利用方向</v>
      </c>
      <c r="AA23" s="1323">
        <f t="shared" si="3"/>
        <v>1.0204081632653061</v>
      </c>
      <c r="AB23" s="1323">
        <f t="shared" si="4"/>
        <v>1.0638297872340425</v>
      </c>
      <c r="AC23" s="1323">
        <f t="shared" si="5"/>
        <v>1.0638297872340425</v>
      </c>
    </row>
    <row r="24" spans="1:29" ht="15">
      <c r="A24" s="747"/>
      <c r="B24" s="797"/>
      <c r="C24" s="182" t="s">
        <v>3201</v>
      </c>
      <c r="D24" s="789"/>
      <c r="E24" s="98" t="s">
        <v>3200</v>
      </c>
      <c r="F24" s="789"/>
      <c r="G24" s="99" t="s">
        <v>3224</v>
      </c>
      <c r="H24" s="789"/>
      <c r="I24" s="99" t="s">
        <v>3224</v>
      </c>
      <c r="J24" s="789"/>
      <c r="K24" s="1482"/>
      <c r="L24" s="2354"/>
      <c r="M24" s="2345"/>
      <c r="N24" s="2345"/>
      <c r="O24" s="2353"/>
      <c r="P24" s="3595"/>
      <c r="Q24" s="1466"/>
      <c r="R24" s="1320"/>
      <c r="S24" s="1321"/>
      <c r="T24" s="1320"/>
      <c r="U24" s="1321"/>
      <c r="V24" s="1320"/>
      <c r="W24" s="1321"/>
      <c r="X24" s="1465"/>
      <c r="Y24" s="3595"/>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4" t="s">
        <v>3231</v>
      </c>
      <c r="F25" s="791">
        <f>SUMIF(98:98,E26,99:99)-SUMIF(98:98,C26,99:99)+100</f>
        <v>100</v>
      </c>
      <c r="G25" s="3344" t="s">
        <v>3235</v>
      </c>
      <c r="H25" s="791">
        <f>SUMIF(98:98,G26,99:99)-SUMIF(98:98,C26,99:99)+100</f>
        <v>100</v>
      </c>
      <c r="I25" s="3341" t="s">
        <v>3240</v>
      </c>
      <c r="J25" s="791">
        <f>SUMIF(98:98,I26,99:99)-SUMIF(98:98,C26,99:99)+100</f>
        <v>102</v>
      </c>
      <c r="K25" s="1078">
        <v>2</v>
      </c>
      <c r="L25" s="2354"/>
      <c r="M25" s="2345"/>
      <c r="N25" s="2345"/>
      <c r="O25" s="2353"/>
      <c r="P25" s="3595"/>
      <c r="Q25" s="1319" t="str">
        <f t="shared" si="8"/>
        <v>自然及人文环境状况</v>
      </c>
      <c r="R25" s="1320" t="s">
        <v>63</v>
      </c>
      <c r="S25" s="1321">
        <f>F25</f>
        <v>100</v>
      </c>
      <c r="T25" s="1320" t="s">
        <v>63</v>
      </c>
      <c r="U25" s="1321">
        <f>H25</f>
        <v>100</v>
      </c>
      <c r="V25" s="1320" t="s">
        <v>63</v>
      </c>
      <c r="W25" s="1321">
        <f>J25</f>
        <v>102</v>
      </c>
      <c r="X25" s="1314"/>
      <c r="Y25" s="3595"/>
      <c r="Z25" s="1322" t="str">
        <f>Q25</f>
        <v>自然及人文环境状况</v>
      </c>
      <c r="AA25" s="1323">
        <f t="shared" si="3"/>
        <v>1</v>
      </c>
      <c r="AB25" s="1323">
        <f t="shared" si="4"/>
        <v>1</v>
      </c>
      <c r="AC25" s="1323">
        <f t="shared" si="5"/>
        <v>0.98039215686274506</v>
      </c>
    </row>
    <row r="26" spans="1:29" ht="15">
      <c r="A26" s="747"/>
      <c r="B26" s="797"/>
      <c r="C26" s="97" t="s">
        <v>3200</v>
      </c>
      <c r="D26" s="789"/>
      <c r="E26" s="192" t="s">
        <v>3200</v>
      </c>
      <c r="F26" s="789"/>
      <c r="G26" s="192" t="s">
        <v>3200</v>
      </c>
      <c r="H26" s="789"/>
      <c r="I26" s="97" t="s">
        <v>3201</v>
      </c>
      <c r="J26" s="789"/>
      <c r="K26" s="1077"/>
      <c r="L26" s="2354"/>
      <c r="M26" s="2345"/>
      <c r="N26" s="2345"/>
      <c r="O26" s="2353"/>
      <c r="P26" s="3595"/>
      <c r="Q26" s="1319"/>
      <c r="R26" s="1320"/>
      <c r="S26" s="1321"/>
      <c r="T26" s="1320"/>
      <c r="U26" s="1321"/>
      <c r="V26" s="1320"/>
      <c r="W26" s="1321"/>
      <c r="X26" s="1314"/>
      <c r="Y26" s="3595"/>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1" t="s">
        <v>3241</v>
      </c>
      <c r="J27" s="791">
        <f>SUMIF(100:100,I28,101:101)-SUMIF(100:100,C28,101:101)+100</f>
        <v>100</v>
      </c>
      <c r="K27" s="1078">
        <v>2</v>
      </c>
      <c r="L27" s="2346"/>
      <c r="M27" s="2347"/>
      <c r="N27" s="2347"/>
      <c r="O27" s="2348"/>
      <c r="P27" s="3595"/>
      <c r="Q27" s="296" t="str">
        <f t="shared" si="8"/>
        <v>公共配套设施</v>
      </c>
      <c r="R27" s="1315" t="s">
        <v>63</v>
      </c>
      <c r="S27" s="1316">
        <f>F27</f>
        <v>102</v>
      </c>
      <c r="T27" s="1315" t="s">
        <v>63</v>
      </c>
      <c r="U27" s="1316">
        <f>H27</f>
        <v>98</v>
      </c>
      <c r="V27" s="1315" t="s">
        <v>63</v>
      </c>
      <c r="W27" s="1316">
        <f>J27</f>
        <v>100</v>
      </c>
      <c r="X27" s="1317"/>
      <c r="Y27" s="3595"/>
      <c r="Z27" s="344" t="str">
        <f>Q27</f>
        <v>公共配套设施</v>
      </c>
      <c r="AA27" s="1323">
        <f>D27/F27</f>
        <v>0.98039215686274506</v>
      </c>
      <c r="AB27" s="1323">
        <f>D27/H27</f>
        <v>1.0204081632653061</v>
      </c>
      <c r="AC27" s="1323">
        <f>D27/J27</f>
        <v>1</v>
      </c>
    </row>
    <row r="28" spans="1:29" s="407" customFormat="1" ht="15">
      <c r="A28" s="989"/>
      <c r="B28" s="797"/>
      <c r="C28" s="2771" t="s">
        <v>3200</v>
      </c>
      <c r="D28" s="789"/>
      <c r="E28" s="192" t="s">
        <v>3201</v>
      </c>
      <c r="F28" s="789"/>
      <c r="G28" s="192" t="s">
        <v>3199</v>
      </c>
      <c r="H28" s="789"/>
      <c r="I28" s="97" t="s">
        <v>3200</v>
      </c>
      <c r="J28" s="789"/>
      <c r="K28" s="1077"/>
      <c r="L28" s="2346"/>
      <c r="M28" s="2347"/>
      <c r="N28" s="2347"/>
      <c r="O28" s="2348"/>
      <c r="P28" s="3595"/>
      <c r="Q28" s="296"/>
      <c r="R28" s="1315"/>
      <c r="S28" s="1316"/>
      <c r="T28" s="1315"/>
      <c r="U28" s="1316"/>
      <c r="V28" s="1315"/>
      <c r="W28" s="1316"/>
      <c r="X28" s="1317"/>
      <c r="Y28" s="3595"/>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95"/>
      <c r="Q29" s="2740" t="str">
        <f t="shared" ref="Q29" si="9">B29</f>
        <v>基础设施水平</v>
      </c>
      <c r="R29" s="1315" t="s">
        <v>63</v>
      </c>
      <c r="S29" s="1316">
        <f>F29</f>
        <v>100</v>
      </c>
      <c r="T29" s="1315" t="s">
        <v>63</v>
      </c>
      <c r="U29" s="1316">
        <f>H29</f>
        <v>100</v>
      </c>
      <c r="V29" s="1315" t="s">
        <v>63</v>
      </c>
      <c r="W29" s="1316">
        <f>J29</f>
        <v>100</v>
      </c>
      <c r="X29" s="1317"/>
      <c r="Y29" s="3595"/>
      <c r="Z29" s="344" t="str">
        <f>Q29</f>
        <v>基础设施水平</v>
      </c>
      <c r="AA29" s="1323">
        <f>D29/F29</f>
        <v>1</v>
      </c>
      <c r="AB29" s="1323">
        <f>D29/H29</f>
        <v>1</v>
      </c>
      <c r="AC29" s="1323">
        <f>D29/J29</f>
        <v>1</v>
      </c>
    </row>
    <row r="30" spans="1:29" s="407" customFormat="1" ht="15">
      <c r="A30" s="989"/>
      <c r="B30" s="797"/>
      <c r="C30" s="2771" t="s">
        <v>3202</v>
      </c>
      <c r="D30" s="789"/>
      <c r="E30" s="1033" t="s">
        <v>3202</v>
      </c>
      <c r="F30" s="789"/>
      <c r="G30" s="1033" t="s">
        <v>3219</v>
      </c>
      <c r="H30" s="789"/>
      <c r="I30" s="1033" t="s">
        <v>3202</v>
      </c>
      <c r="J30" s="789"/>
      <c r="K30" s="1077"/>
      <c r="L30" s="2346"/>
      <c r="M30" s="2347"/>
      <c r="N30" s="2347"/>
      <c r="O30" s="2348"/>
      <c r="P30" s="3595"/>
      <c r="Q30" s="2740"/>
      <c r="R30" s="1315"/>
      <c r="S30" s="1316"/>
      <c r="T30" s="1315"/>
      <c r="U30" s="1316"/>
      <c r="V30" s="1315"/>
      <c r="W30" s="1316"/>
      <c r="X30" s="1317"/>
      <c r="Y30" s="3595"/>
      <c r="Z30" s="344"/>
      <c r="AA30" s="1323">
        <v>1</v>
      </c>
      <c r="AB30" s="1323">
        <v>1</v>
      </c>
      <c r="AC30" s="1323">
        <v>1</v>
      </c>
    </row>
    <row r="31" spans="1:29" ht="15">
      <c r="A31" s="769"/>
      <c r="B31" s="797" t="s">
        <v>433</v>
      </c>
      <c r="C31" s="182" t="s">
        <v>3198</v>
      </c>
      <c r="D31" s="776">
        <v>100</v>
      </c>
      <c r="E31" s="195" t="s">
        <v>3198</v>
      </c>
      <c r="F31" s="776">
        <f>SUMIF(104:104,E31,105:105)-SUMIF(104:104,C31,105:105)+100</f>
        <v>100</v>
      </c>
      <c r="G31" s="195" t="s">
        <v>3220</v>
      </c>
      <c r="H31" s="776">
        <f>SUMIF(104:104,G31,105:105)-SUMIF(104:104,C31,105:105)+100</f>
        <v>96</v>
      </c>
      <c r="I31" s="195" t="s">
        <v>3220</v>
      </c>
      <c r="J31" s="776">
        <f>SUMIF(104:104,I31,105:105)-SUMIF(104:104,C31,105:105)+100</f>
        <v>96</v>
      </c>
      <c r="K31" s="1078">
        <v>2</v>
      </c>
      <c r="L31" s="2354"/>
      <c r="M31" s="2345"/>
      <c r="N31" s="2345"/>
      <c r="O31" s="2353"/>
      <c r="P31" s="3595"/>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95"/>
      <c r="Z31" s="1322" t="str">
        <f t="shared" ref="Z31:Z45" si="13">Q31</f>
        <v>临街状况</v>
      </c>
      <c r="AA31" s="1323">
        <f t="shared" si="3"/>
        <v>1</v>
      </c>
      <c r="AB31" s="1323">
        <f t="shared" si="4"/>
        <v>1.0416666666666667</v>
      </c>
      <c r="AC31" s="1323">
        <f t="shared" si="5"/>
        <v>1.0416666666666667</v>
      </c>
    </row>
    <row r="32" spans="1:29" ht="27">
      <c r="A32" s="769"/>
      <c r="B32" s="2765" t="s">
        <v>438</v>
      </c>
      <c r="C32" s="3341" t="s">
        <v>3203</v>
      </c>
      <c r="D32" s="791">
        <v>100</v>
      </c>
      <c r="E32" s="3344" t="s">
        <v>3232</v>
      </c>
      <c r="F32" s="791">
        <f>SUMIF(106:106,E33,107:107)-SUMIF(106:106,C33,107:107)+100</f>
        <v>98</v>
      </c>
      <c r="G32" s="3341" t="s">
        <v>3210</v>
      </c>
      <c r="H32" s="791">
        <f>SUMIF(106:106,G33,107:107)-SUMIF(106:106,C33,107:107)+100</f>
        <v>98</v>
      </c>
      <c r="I32" s="3341" t="s">
        <v>3210</v>
      </c>
      <c r="J32" s="791">
        <f>SUMIF(106:106,I33,107:107)-SUMIF(106:106,C33,107:107)+100</f>
        <v>98</v>
      </c>
      <c r="K32" s="1078">
        <v>2</v>
      </c>
      <c r="L32" s="2354"/>
      <c r="M32" s="2345"/>
      <c r="N32" s="2345"/>
      <c r="O32" s="2353"/>
      <c r="P32" s="3595"/>
      <c r="Q32" s="1319" t="str">
        <f t="shared" si="8"/>
        <v>毗邻道路的类型与等级</v>
      </c>
      <c r="R32" s="1320" t="s">
        <v>63</v>
      </c>
      <c r="S32" s="1321">
        <f t="shared" si="10"/>
        <v>98</v>
      </c>
      <c r="T32" s="1320" t="s">
        <v>63</v>
      </c>
      <c r="U32" s="1321">
        <f t="shared" si="11"/>
        <v>98</v>
      </c>
      <c r="V32" s="1320" t="s">
        <v>63</v>
      </c>
      <c r="W32" s="1321">
        <f t="shared" si="12"/>
        <v>98</v>
      </c>
      <c r="X32" s="1314"/>
      <c r="Y32" s="3595"/>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3207</v>
      </c>
      <c r="D33" s="789"/>
      <c r="E33" s="192" t="s">
        <v>3209</v>
      </c>
      <c r="F33" s="789"/>
      <c r="G33" s="192" t="s">
        <v>3236</v>
      </c>
      <c r="H33" s="789"/>
      <c r="I33" s="97" t="s">
        <v>3209</v>
      </c>
      <c r="J33" s="789"/>
      <c r="K33" s="953"/>
      <c r="L33" s="2354"/>
      <c r="M33" s="2345"/>
      <c r="N33" s="2345"/>
      <c r="O33" s="2353"/>
      <c r="P33" s="3595"/>
      <c r="Q33" s="1319"/>
      <c r="R33" s="1320"/>
      <c r="S33" s="1321"/>
      <c r="T33" s="1320"/>
      <c r="U33" s="1321"/>
      <c r="V33" s="1320"/>
      <c r="W33" s="1321"/>
      <c r="X33" s="1314"/>
      <c r="Y33" s="3595"/>
      <c r="Z33" s="1322"/>
      <c r="AA33" s="1323">
        <v>1</v>
      </c>
      <c r="AB33" s="1323">
        <v>1</v>
      </c>
      <c r="AC33" s="1323">
        <v>1</v>
      </c>
    </row>
    <row r="34" spans="1:29" ht="15">
      <c r="A34" s="769"/>
      <c r="B34" s="763" t="s">
        <v>481</v>
      </c>
      <c r="C34" s="182" t="s">
        <v>3211</v>
      </c>
      <c r="D34" s="776">
        <v>100</v>
      </c>
      <c r="E34" s="195" t="s">
        <v>3211</v>
      </c>
      <c r="F34" s="776">
        <f>SUMIF(108:108,E34,109:109)-SUMIF(108:108,C34,109:109)+100</f>
        <v>100</v>
      </c>
      <c r="G34" s="195" t="s">
        <v>3237</v>
      </c>
      <c r="H34" s="776">
        <f>SUMIF(108:108,G34,109:109)-SUMIF(108:108,C34,109:109)+100</f>
        <v>97</v>
      </c>
      <c r="I34" s="182" t="s">
        <v>3242</v>
      </c>
      <c r="J34" s="776">
        <f>SUMIF(108:108,I34,109:109)-SUMIF(108:108,C34,109:109)+100</f>
        <v>98</v>
      </c>
      <c r="K34" s="952">
        <v>1</v>
      </c>
      <c r="L34" s="2354"/>
      <c r="M34" s="2345"/>
      <c r="N34" s="2345"/>
      <c r="O34" s="2353"/>
      <c r="P34" s="3595"/>
      <c r="Q34" s="1319" t="str">
        <f t="shared" si="8"/>
        <v>土地级别</v>
      </c>
      <c r="R34" s="1320" t="s">
        <v>63</v>
      </c>
      <c r="S34" s="1321">
        <f t="shared" si="10"/>
        <v>100</v>
      </c>
      <c r="T34" s="1320" t="s">
        <v>63</v>
      </c>
      <c r="U34" s="1321">
        <f t="shared" si="11"/>
        <v>97</v>
      </c>
      <c r="V34" s="1320" t="s">
        <v>63</v>
      </c>
      <c r="W34" s="1321">
        <f t="shared" si="12"/>
        <v>98</v>
      </c>
      <c r="X34" s="1314"/>
      <c r="Y34" s="3595"/>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95"/>
      <c r="Q35" s="1319">
        <f t="shared" si="8"/>
        <v>111</v>
      </c>
      <c r="R35" s="1320" t="s">
        <v>63</v>
      </c>
      <c r="S35" s="1321">
        <f t="shared" si="10"/>
        <v>100</v>
      </c>
      <c r="T35" s="1320" t="s">
        <v>63</v>
      </c>
      <c r="U35" s="1321">
        <f t="shared" si="11"/>
        <v>100</v>
      </c>
      <c r="V35" s="1320" t="s">
        <v>63</v>
      </c>
      <c r="W35" s="1321">
        <f t="shared" si="12"/>
        <v>100</v>
      </c>
      <c r="X35" s="1314"/>
      <c r="Y35" s="3595"/>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96" t="s">
        <v>405</v>
      </c>
      <c r="Q36" s="1319">
        <f t="shared" si="8"/>
        <v>111</v>
      </c>
      <c r="R36" s="1320" t="s">
        <v>63</v>
      </c>
      <c r="S36" s="1321">
        <f t="shared" si="10"/>
        <v>100</v>
      </c>
      <c r="T36" s="1320" t="s">
        <v>63</v>
      </c>
      <c r="U36" s="1321">
        <f t="shared" si="11"/>
        <v>100</v>
      </c>
      <c r="V36" s="1320" t="s">
        <v>63</v>
      </c>
      <c r="W36" s="1321">
        <f t="shared" si="12"/>
        <v>100</v>
      </c>
      <c r="X36" s="1314"/>
      <c r="Y36" s="3597"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97"/>
      <c r="Q37" s="1319">
        <f t="shared" si="8"/>
        <v>111</v>
      </c>
      <c r="R37" s="1325" t="s">
        <v>63</v>
      </c>
      <c r="S37" s="1326">
        <f t="shared" si="10"/>
        <v>100</v>
      </c>
      <c r="T37" s="1325" t="s">
        <v>63</v>
      </c>
      <c r="U37" s="1326">
        <f t="shared" si="11"/>
        <v>100</v>
      </c>
      <c r="V37" s="1325" t="s">
        <v>63</v>
      </c>
      <c r="W37" s="1326">
        <f t="shared" si="12"/>
        <v>100</v>
      </c>
      <c r="X37" s="1327"/>
      <c r="Y37" s="3597"/>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97"/>
      <c r="Q38" s="1319" t="str">
        <f>B38</f>
        <v>宗地面积</v>
      </c>
      <c r="R38" s="1320" t="s">
        <v>63</v>
      </c>
      <c r="S38" s="1321">
        <f t="shared" si="10"/>
        <v>100</v>
      </c>
      <c r="T38" s="1320" t="s">
        <v>63</v>
      </c>
      <c r="U38" s="1321">
        <f t="shared" si="11"/>
        <v>98</v>
      </c>
      <c r="V38" s="1320" t="s">
        <v>63</v>
      </c>
      <c r="W38" s="1321">
        <f t="shared" si="12"/>
        <v>102</v>
      </c>
      <c r="X38" s="1314"/>
      <c r="Y38" s="3597"/>
      <c r="Z38" s="1322" t="str">
        <f t="shared" si="13"/>
        <v>宗地面积</v>
      </c>
      <c r="AA38" s="1323">
        <f t="shared" si="3"/>
        <v>1</v>
      </c>
      <c r="AB38" s="1323">
        <f t="shared" si="4"/>
        <v>1.0204081632653061</v>
      </c>
      <c r="AC38" s="1323">
        <f t="shared" si="5"/>
        <v>0.98039215686274506</v>
      </c>
    </row>
    <row r="39" spans="1:29" ht="15">
      <c r="A39" s="812"/>
      <c r="B39" s="763" t="s">
        <v>483</v>
      </c>
      <c r="C39" s="109" t="s">
        <v>3214</v>
      </c>
      <c r="D39" s="776">
        <v>100</v>
      </c>
      <c r="E39" s="109" t="s">
        <v>3213</v>
      </c>
      <c r="F39" s="776">
        <f>SUMIF(119:119,E39,120:120)-SUMIF(119:119,C39,120:120)+100</f>
        <v>100</v>
      </c>
      <c r="G39" s="109" t="s">
        <v>3212</v>
      </c>
      <c r="H39" s="776">
        <f>SUMIF(119:119,G39,120:120)-SUMIF(119:119,C39,120:120)+100</f>
        <v>102</v>
      </c>
      <c r="I39" s="109" t="s">
        <v>3212</v>
      </c>
      <c r="J39" s="776">
        <f>SUMIF(119:119,I39,120:120)-SUMIF(119:119,C39,120:120)+100</f>
        <v>102</v>
      </c>
      <c r="K39" s="952">
        <v>2</v>
      </c>
      <c r="L39" s="2354"/>
      <c r="M39" s="2345"/>
      <c r="N39" s="2345"/>
      <c r="O39" s="2353"/>
      <c r="P39" s="3597"/>
      <c r="Q39" s="1319" t="str">
        <f t="shared" ref="Q39:Q45" si="14">B39</f>
        <v>宗地形状</v>
      </c>
      <c r="R39" s="1320" t="s">
        <v>63</v>
      </c>
      <c r="S39" s="1321">
        <f t="shared" si="10"/>
        <v>100</v>
      </c>
      <c r="T39" s="1320" t="s">
        <v>63</v>
      </c>
      <c r="U39" s="1321">
        <f t="shared" si="11"/>
        <v>102</v>
      </c>
      <c r="V39" s="1320" t="s">
        <v>63</v>
      </c>
      <c r="W39" s="1321">
        <f t="shared" si="12"/>
        <v>102</v>
      </c>
      <c r="X39" s="1314"/>
      <c r="Y39" s="3597"/>
      <c r="Z39" s="1322" t="str">
        <f t="shared" si="13"/>
        <v>宗地形状</v>
      </c>
      <c r="AA39" s="1323">
        <f t="shared" si="3"/>
        <v>1</v>
      </c>
      <c r="AB39" s="1323">
        <f t="shared" si="4"/>
        <v>0.98039215686274506</v>
      </c>
      <c r="AC39" s="1323">
        <f t="shared" si="5"/>
        <v>0.98039215686274506</v>
      </c>
    </row>
    <row r="40" spans="1:29" ht="15">
      <c r="A40" s="812"/>
      <c r="B40" s="763" t="s">
        <v>484</v>
      </c>
      <c r="C40" s="109" t="s">
        <v>3215</v>
      </c>
      <c r="D40" s="776">
        <v>100</v>
      </c>
      <c r="E40" s="109" t="s">
        <v>3215</v>
      </c>
      <c r="F40" s="776">
        <f>SUMIF(121:121,E40,122:122)-SUMIF(121:121,C40,122:122)+100</f>
        <v>100</v>
      </c>
      <c r="G40" s="109" t="s">
        <v>3215</v>
      </c>
      <c r="H40" s="776">
        <f>SUMIF(121:121,G40,122:122)-SUMIF(121:121,C40,122:122)+100</f>
        <v>100</v>
      </c>
      <c r="I40" s="109" t="s">
        <v>3215</v>
      </c>
      <c r="J40" s="776">
        <f>SUMIF(121:121,I40,122:122)-SUMIF(121:121,C40,122:122)+100</f>
        <v>100</v>
      </c>
      <c r="K40" s="952">
        <v>2</v>
      </c>
      <c r="L40" s="2354"/>
      <c r="M40" s="2345"/>
      <c r="N40" s="2345"/>
      <c r="O40" s="2353"/>
      <c r="P40" s="3597"/>
      <c r="Q40" s="1319" t="str">
        <f t="shared" si="14"/>
        <v>临街宽度及深度</v>
      </c>
      <c r="R40" s="1320" t="s">
        <v>63</v>
      </c>
      <c r="S40" s="1321">
        <f t="shared" si="10"/>
        <v>100</v>
      </c>
      <c r="T40" s="1320" t="s">
        <v>63</v>
      </c>
      <c r="U40" s="1321">
        <f t="shared" si="11"/>
        <v>100</v>
      </c>
      <c r="V40" s="1320" t="s">
        <v>63</v>
      </c>
      <c r="W40" s="1321">
        <f t="shared" si="12"/>
        <v>100</v>
      </c>
      <c r="X40" s="1314"/>
      <c r="Y40" s="3597"/>
      <c r="Z40" s="1322" t="str">
        <f t="shared" si="13"/>
        <v>临街宽度及深度</v>
      </c>
      <c r="AA40" s="1323">
        <f t="shared" si="3"/>
        <v>1</v>
      </c>
      <c r="AB40" s="1323">
        <f t="shared" si="4"/>
        <v>1</v>
      </c>
      <c r="AC40" s="1323">
        <f t="shared" si="5"/>
        <v>1</v>
      </c>
    </row>
    <row r="41" spans="1:29" s="407" customFormat="1" ht="15">
      <c r="A41" s="813"/>
      <c r="B41" s="2606" t="s">
        <v>2493</v>
      </c>
      <c r="C41" s="1038" t="s">
        <v>3202</v>
      </c>
      <c r="D41" s="426">
        <v>100</v>
      </c>
      <c r="E41" s="1038" t="s">
        <v>3229</v>
      </c>
      <c r="F41" s="776">
        <f>SUMIF(123:123,E41,124:124)-SUMIF(123:123,C41,124:124)+100</f>
        <v>96</v>
      </c>
      <c r="G41" s="1038" t="s">
        <v>3229</v>
      </c>
      <c r="H41" s="776">
        <f>SUMIF(123:123,G41,124:124)-SUMIF(123:123,C41,124:124)+100</f>
        <v>96</v>
      </c>
      <c r="I41" s="1038" t="s">
        <v>3227</v>
      </c>
      <c r="J41" s="776">
        <f>SUMIF(123:123,I41,124:124)-SUMIF(123:123,C41,124:124)+100</f>
        <v>99</v>
      </c>
      <c r="K41" s="952">
        <v>1</v>
      </c>
      <c r="L41" s="2346"/>
      <c r="M41" s="2347"/>
      <c r="N41" s="2347"/>
      <c r="O41" s="2348"/>
      <c r="P41" s="3597"/>
      <c r="Q41" s="1319" t="str">
        <f t="shared" si="14"/>
        <v>宗地开发程度</v>
      </c>
      <c r="R41" s="1315" t="s">
        <v>63</v>
      </c>
      <c r="S41" s="1316">
        <f t="shared" si="10"/>
        <v>96</v>
      </c>
      <c r="T41" s="1315" t="s">
        <v>63</v>
      </c>
      <c r="U41" s="1316">
        <f t="shared" si="11"/>
        <v>96</v>
      </c>
      <c r="V41" s="1315" t="s">
        <v>63</v>
      </c>
      <c r="W41" s="1316">
        <f t="shared" si="12"/>
        <v>99</v>
      </c>
      <c r="X41" s="1317"/>
      <c r="Y41" s="3597"/>
      <c r="Z41" s="344" t="str">
        <f t="shared" si="13"/>
        <v>宗地开发程度</v>
      </c>
      <c r="AA41" s="1318">
        <f t="shared" si="3"/>
        <v>1.0416666666666667</v>
      </c>
      <c r="AB41" s="1318">
        <f t="shared" si="4"/>
        <v>1.0416666666666667</v>
      </c>
      <c r="AC41" s="1318">
        <f t="shared" si="5"/>
        <v>1.0101010101010102</v>
      </c>
    </row>
    <row r="42" spans="1:29" ht="15">
      <c r="A42" s="812"/>
      <c r="B42" s="763" t="s">
        <v>485</v>
      </c>
      <c r="C42" s="109" t="s">
        <v>3215</v>
      </c>
      <c r="D42" s="776">
        <v>100</v>
      </c>
      <c r="E42" s="109" t="s">
        <v>3215</v>
      </c>
      <c r="F42" s="776">
        <f>SUMIF(125:125,E42,126:126)-SUMIF(125:125,C42,126:126)+100</f>
        <v>100</v>
      </c>
      <c r="G42" s="109" t="s">
        <v>3215</v>
      </c>
      <c r="H42" s="776">
        <f>SUMIF(125:125,G42,126:126)-SUMIF(125:125,C42,126:126)+100</f>
        <v>100</v>
      </c>
      <c r="I42" s="109" t="s">
        <v>3215</v>
      </c>
      <c r="J42" s="776">
        <f>SUMIF(125:125,I42,126:126)-SUMIF(125:125,C42,126:126)+100</f>
        <v>100</v>
      </c>
      <c r="K42" s="952">
        <v>1</v>
      </c>
      <c r="L42" s="2354"/>
      <c r="M42" s="2345"/>
      <c r="N42" s="2345"/>
      <c r="O42" s="2353"/>
      <c r="P42" s="3597" t="s">
        <v>405</v>
      </c>
      <c r="Q42" s="1319" t="str">
        <f t="shared" si="14"/>
        <v>工程地质条件</v>
      </c>
      <c r="R42" s="1320" t="s">
        <v>63</v>
      </c>
      <c r="S42" s="1321">
        <f t="shared" si="10"/>
        <v>100</v>
      </c>
      <c r="T42" s="1320" t="s">
        <v>63</v>
      </c>
      <c r="U42" s="1321">
        <f t="shared" si="11"/>
        <v>100</v>
      </c>
      <c r="V42" s="1320" t="s">
        <v>63</v>
      </c>
      <c r="W42" s="1321">
        <f t="shared" si="12"/>
        <v>100</v>
      </c>
      <c r="X42" s="1314"/>
      <c r="Y42" s="3597"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97"/>
      <c r="Q43" s="1319">
        <f t="shared" si="14"/>
        <v>111</v>
      </c>
      <c r="R43" s="1320" t="s">
        <v>63</v>
      </c>
      <c r="S43" s="1321">
        <f t="shared" si="10"/>
        <v>100</v>
      </c>
      <c r="T43" s="1320" t="s">
        <v>63</v>
      </c>
      <c r="U43" s="1321">
        <f t="shared" si="11"/>
        <v>100</v>
      </c>
      <c r="V43" s="1320" t="s">
        <v>63</v>
      </c>
      <c r="W43" s="1321">
        <f t="shared" si="12"/>
        <v>100</v>
      </c>
      <c r="X43" s="1314"/>
      <c r="Y43" s="3597"/>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97"/>
      <c r="Q44" s="1319">
        <f t="shared" si="14"/>
        <v>111</v>
      </c>
      <c r="R44" s="1320" t="s">
        <v>63</v>
      </c>
      <c r="S44" s="1321">
        <f t="shared" si="10"/>
        <v>100</v>
      </c>
      <c r="T44" s="1320" t="s">
        <v>63</v>
      </c>
      <c r="U44" s="1321">
        <f t="shared" si="11"/>
        <v>100</v>
      </c>
      <c r="V44" s="1320" t="s">
        <v>63</v>
      </c>
      <c r="W44" s="1321">
        <f t="shared" si="12"/>
        <v>100</v>
      </c>
      <c r="X44" s="1314"/>
      <c r="Y44" s="3597"/>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97"/>
      <c r="Q45" s="1319">
        <f t="shared" si="14"/>
        <v>111</v>
      </c>
      <c r="R45" s="1325" t="s">
        <v>63</v>
      </c>
      <c r="S45" s="1326">
        <f t="shared" si="10"/>
        <v>100</v>
      </c>
      <c r="T45" s="1325" t="s">
        <v>63</v>
      </c>
      <c r="U45" s="1326">
        <f t="shared" si="11"/>
        <v>100</v>
      </c>
      <c r="V45" s="1325" t="s">
        <v>63</v>
      </c>
      <c r="W45" s="1326">
        <f t="shared" si="12"/>
        <v>100</v>
      </c>
      <c r="X45" s="1327"/>
      <c r="Y45" s="3597"/>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79" t="str">
        <f>A46</f>
        <v>成交单价</v>
      </c>
      <c r="Q46" s="3579"/>
      <c r="R46" s="3592">
        <f>E46</f>
        <v>27125</v>
      </c>
      <c r="S46" s="3592"/>
      <c r="T46" s="3592">
        <f>G46</f>
        <v>22025</v>
      </c>
      <c r="U46" s="3592"/>
      <c r="V46" s="3592">
        <f>I46</f>
        <v>24837</v>
      </c>
      <c r="W46" s="3592"/>
      <c r="X46" s="1303"/>
      <c r="Y46" s="1329"/>
      <c r="Z46" s="1303"/>
      <c r="AA46" s="1303"/>
      <c r="AB46" s="1303"/>
      <c r="AC46" s="1303"/>
    </row>
    <row r="47" spans="1:29" ht="15.75" thickBot="1">
      <c r="A47" s="826" t="s">
        <v>407</v>
      </c>
      <c r="B47" s="1088"/>
      <c r="C47" s="830">
        <f>R48</f>
        <v>30520</v>
      </c>
      <c r="D47" s="829"/>
      <c r="E47" s="830">
        <f>R47</f>
        <v>30974</v>
      </c>
      <c r="F47" s="831"/>
      <c r="G47" s="828">
        <f>T47</f>
        <v>29017</v>
      </c>
      <c r="H47" s="829"/>
      <c r="I47" s="830">
        <f>V47</f>
        <v>31568</v>
      </c>
      <c r="J47" s="829"/>
      <c r="K47" s="1397"/>
      <c r="L47" s="2357"/>
      <c r="M47" s="2358"/>
      <c r="N47" s="2358"/>
      <c r="O47" s="2358"/>
      <c r="P47" s="3579" t="str">
        <f>A47</f>
        <v>比较价值（元/平方米）</v>
      </c>
      <c r="Q47" s="3579"/>
      <c r="R47" s="3598">
        <f>ROUND(PRODUCT(R46,AA7:AA45),0)</f>
        <v>30974</v>
      </c>
      <c r="S47" s="3598"/>
      <c r="T47" s="3598">
        <f>ROUND(PRODUCT(T46,AB7:AB45),0)</f>
        <v>29017</v>
      </c>
      <c r="U47" s="3598"/>
      <c r="V47" s="3598">
        <f>ROUND(PRODUCT(V46,AC7:AC45),0)</f>
        <v>31568</v>
      </c>
      <c r="W47" s="3598"/>
      <c r="X47" s="1303"/>
      <c r="Y47" s="1303"/>
      <c r="Z47" s="1303"/>
      <c r="AA47" s="1303"/>
      <c r="AB47" s="1303"/>
      <c r="AC47" s="1303"/>
    </row>
    <row r="48" spans="1:29" ht="15.75" thickBot="1">
      <c r="A48" s="115" t="s">
        <v>512</v>
      </c>
      <c r="B48" s="833"/>
      <c r="C48" s="834">
        <f>R48</f>
        <v>30520</v>
      </c>
      <c r="D48" s="834"/>
      <c r="E48" s="834"/>
      <c r="F48" s="834"/>
      <c r="G48" s="834"/>
      <c r="H48" s="834"/>
      <c r="I48" s="834"/>
      <c r="J48" s="834"/>
      <c r="K48" s="1398"/>
      <c r="L48" s="2357"/>
      <c r="M48" s="2358"/>
      <c r="N48" s="2358"/>
      <c r="O48" s="2358"/>
      <c r="P48" s="3599" t="str">
        <f>A48</f>
        <v>估价对象XX用房的比较价值（楼面单价，元/平方米）</v>
      </c>
      <c r="Q48" s="3600"/>
      <c r="R48" s="3601">
        <f>ROUND(AVERAGE(R47:V47),0)</f>
        <v>30520</v>
      </c>
      <c r="S48" s="3601"/>
      <c r="T48" s="3601"/>
      <c r="U48" s="3601"/>
      <c r="V48" s="3601"/>
      <c r="W48" s="3601"/>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0.14189861751152066</v>
      </c>
      <c r="F51" s="840" t="str">
        <f>IF(OR(E51&gt;=0.3,E51&lt;=-0.3),"超过30%","")</f>
        <v/>
      </c>
      <c r="G51" s="839">
        <f>IF(G46&lt;G47,G47/G46-1,G46/G47-1)</f>
        <v>0.31745743473325772</v>
      </c>
      <c r="H51" s="840" t="str">
        <f>IF(OR(G51&gt;=0.3,G51&lt;=-0.3),"超过30%","")</f>
        <v>超过30%</v>
      </c>
      <c r="I51" s="839">
        <f>IF(I46&lt;I47,I47/I46-1,I46/I47-1)</f>
        <v>0.27100696541450264</v>
      </c>
      <c r="J51" s="840" t="str">
        <f>IF(OR(I51&gt;=0.3,I51&lt;=-0.3),"超过30%","")</f>
        <v/>
      </c>
      <c r="K51" s="2184"/>
      <c r="L51" s="2185"/>
      <c r="M51" s="2358"/>
      <c r="N51" s="2358"/>
      <c r="O51" s="2358"/>
    </row>
    <row r="52" spans="1:15" ht="13.5" customHeight="1">
      <c r="A52" s="2358"/>
      <c r="B52" s="2358"/>
      <c r="C52" s="837" t="s">
        <v>409</v>
      </c>
      <c r="D52" s="841"/>
      <c r="E52" s="839">
        <f>IF(E47&lt;G47,G47/E47-1,E47/G47-1)</f>
        <v>6.7443222938277536E-2</v>
      </c>
      <c r="F52" s="840" t="str">
        <f>IF(OR(E52&gt;=0.2,E52&lt;=-0.2),"超过20%","")</f>
        <v/>
      </c>
      <c r="G52" s="839">
        <f>IF(G47&lt;I47,I47/G47-1,G47/I47-1)</f>
        <v>8.791398145914453E-2</v>
      </c>
      <c r="H52" s="840" t="str">
        <f>IF(OR(G52&gt;=0.2,G52&lt;=-0.2),"超过20%","")</f>
        <v/>
      </c>
      <c r="I52" s="839">
        <f>IF(I47&lt;E47,E47/I47-1,I47/E47-1)</f>
        <v>1.9177374572221906E-2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602" t="s">
        <v>2311</v>
      </c>
      <c r="H55" s="3603"/>
      <c r="I55" s="2187" t="s">
        <v>1880</v>
      </c>
      <c r="J55" s="2191">
        <f>项目基本情况!F35</f>
        <v>0</v>
      </c>
      <c r="K55" s="2372" t="s">
        <v>1882</v>
      </c>
      <c r="L55" s="2185"/>
      <c r="M55" s="2358"/>
      <c r="N55" s="2358"/>
      <c r="O55" s="2358"/>
    </row>
    <row r="56" spans="1:15" s="1097" customFormat="1">
      <c r="A56" s="1093" t="s">
        <v>491</v>
      </c>
      <c r="B56" s="1094">
        <f>C48</f>
        <v>30520</v>
      </c>
      <c r="C56" s="1095">
        <v>1</v>
      </c>
      <c r="D56" s="2390">
        <v>1</v>
      </c>
      <c r="E56" s="1095">
        <f>'数据-汇总表'!E8+'数据-汇总表'!E9</f>
        <v>76256.08</v>
      </c>
      <c r="F56" s="2182">
        <f t="shared" ref="F56:F65" si="15">ROUND(B56*E56/10000,0)</f>
        <v>232734</v>
      </c>
      <c r="G56" s="3604"/>
      <c r="H56" s="3605"/>
      <c r="I56" s="2188">
        <v>1</v>
      </c>
      <c r="J56" s="2192">
        <v>1</v>
      </c>
      <c r="K56" s="2359"/>
      <c r="L56" s="1771"/>
      <c r="M56" s="1771"/>
      <c r="N56" s="1771"/>
      <c r="O56" s="1771"/>
    </row>
    <row r="57" spans="1:15" s="1097" customFormat="1">
      <c r="A57" s="1098" t="s">
        <v>492</v>
      </c>
      <c r="B57" s="594">
        <f>ROUND($C$48*C57*D57,0)</f>
        <v>5341</v>
      </c>
      <c r="C57" s="532">
        <f t="shared" ref="C57:C65" si="16">IF($C$55="北京市系数",I57,J57)</f>
        <v>0.7</v>
      </c>
      <c r="D57" s="2391">
        <v>0.25</v>
      </c>
      <c r="E57" s="1099">
        <f>'数据-汇总表'!G20</f>
        <v>5075.67</v>
      </c>
      <c r="F57" s="2182">
        <f t="shared" si="15"/>
        <v>2711</v>
      </c>
      <c r="G57" s="3606"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3052</v>
      </c>
      <c r="C58" s="532">
        <f t="shared" si="16"/>
        <v>0.4</v>
      </c>
      <c r="D58" s="2391">
        <v>0.25</v>
      </c>
      <c r="E58" s="1099"/>
      <c r="F58" s="2182">
        <f t="shared" si="15"/>
        <v>0</v>
      </c>
      <c r="G58" s="3606"/>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2136</v>
      </c>
      <c r="C59" s="532">
        <f t="shared" si="16"/>
        <v>0.28000000000000003</v>
      </c>
      <c r="D59" s="2391">
        <v>0.25</v>
      </c>
      <c r="E59" s="1099"/>
      <c r="F59" s="2182">
        <f t="shared" si="15"/>
        <v>0</v>
      </c>
      <c r="G59" s="3606"/>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1908</v>
      </c>
      <c r="C60" s="532">
        <f t="shared" si="16"/>
        <v>0.25</v>
      </c>
      <c r="D60" s="2391">
        <v>0.25</v>
      </c>
      <c r="E60" s="1099"/>
      <c r="F60" s="2182">
        <f t="shared" si="15"/>
        <v>0</v>
      </c>
      <c r="G60" s="3606"/>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1908</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1908</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1526</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1526</v>
      </c>
      <c r="C65" s="532">
        <f t="shared" si="16"/>
        <v>0.2</v>
      </c>
      <c r="D65" s="2391">
        <v>0.25</v>
      </c>
      <c r="E65" s="593">
        <f>'数据-汇总表'!E15</f>
        <v>6669.35</v>
      </c>
      <c r="F65" s="2182">
        <f t="shared" si="15"/>
        <v>1018</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88001.1</v>
      </c>
      <c r="F66" s="1102">
        <f>IF(B46="楼面地价",SUM(F56:F65),ROUND(C48*E66/10000,0))</f>
        <v>236463</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3186</v>
      </c>
      <c r="D75" s="122" t="s">
        <v>3187</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3205</v>
      </c>
      <c r="D106" s="139" t="s">
        <v>3204</v>
      </c>
      <c r="E106" s="139" t="s">
        <v>3206</v>
      </c>
      <c r="F106" s="139" t="s">
        <v>3208</v>
      </c>
      <c r="G106" s="139" t="s">
        <v>3210</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3233</v>
      </c>
      <c r="D108" s="131" t="s">
        <v>3211</v>
      </c>
      <c r="E108" s="131" t="s">
        <v>3234</v>
      </c>
      <c r="F108" s="131" t="s">
        <v>3238</v>
      </c>
      <c r="G108" s="131" t="s">
        <v>3237</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2" t="str">
        <f>C117&amp;"（含）"&amp;"-"&amp;D117</f>
        <v>0（含）-10000</v>
      </c>
      <c r="D116" s="3342" t="str">
        <f t="shared" ref="D116" si="26">D117&amp;"（含）"&amp;"-"&amp;E117</f>
        <v>10000（含）-20000</v>
      </c>
      <c r="E116" s="3342" t="str">
        <f t="shared" ref="E116" si="27">E117&amp;"（含）"&amp;"-"&amp;F117</f>
        <v>20000（含）-30000</v>
      </c>
      <c r="F116" s="3342" t="str">
        <f t="shared" ref="F116" si="28">F117&amp;"（含）"&amp;"-"&amp;G117</f>
        <v>30000（含）-40000</v>
      </c>
      <c r="G116" s="3342" t="str">
        <f t="shared" ref="G116" si="29">G117&amp;"（含）"&amp;"-"&amp;H117</f>
        <v>40000（含）-50000</v>
      </c>
      <c r="H116" s="3342" t="str">
        <f t="shared" ref="H116" si="30">H117&amp;"（含）"&amp;"-"&amp;I117</f>
        <v>50000（含）-60000</v>
      </c>
      <c r="I116" s="3342" t="str">
        <f t="shared" ref="I116" si="31">I117&amp;"（含）"&amp;"-"&amp;J117</f>
        <v>60000（含）-</v>
      </c>
      <c r="J116" s="3342" t="str">
        <f t="shared" ref="J116" si="32">J117&amp;"（含）"&amp;"-"&amp;K117</f>
        <v>（含）-</v>
      </c>
      <c r="K116" s="3342" t="str">
        <f t="shared" ref="K116" si="33">K117&amp;"（含）"&amp;"-"&amp;L117</f>
        <v>（含）-</v>
      </c>
      <c r="L116" s="3342" t="str">
        <f t="shared" ref="L116" si="34">L117&amp;"（含）"&amp;"-"&amp;M117</f>
        <v>（含）-</v>
      </c>
      <c r="M116" s="3343"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3221</v>
      </c>
      <c r="D119" s="131" t="s">
        <v>3214</v>
      </c>
      <c r="E119" s="131" t="s">
        <v>3217</v>
      </c>
      <c r="F119" s="131" t="s">
        <v>3222</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3218</v>
      </c>
      <c r="D121" s="139" t="s">
        <v>3215</v>
      </c>
      <c r="E121" s="139" t="s">
        <v>3217</v>
      </c>
      <c r="F121" s="131" t="s">
        <v>3223</v>
      </c>
      <c r="G121" s="131" t="s">
        <v>3225</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3219</v>
      </c>
      <c r="D123" s="139" t="s">
        <v>3227</v>
      </c>
      <c r="E123" s="139" t="s">
        <v>3216</v>
      </c>
      <c r="F123" s="139" t="s">
        <v>3228</v>
      </c>
      <c r="G123" s="139" t="s">
        <v>3229</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3218</v>
      </c>
      <c r="D125" s="139" t="s">
        <v>3215</v>
      </c>
      <c r="E125" s="139" t="s">
        <v>3217</v>
      </c>
      <c r="F125" s="131" t="s">
        <v>3223</v>
      </c>
      <c r="G125" s="131" t="s">
        <v>3225</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315980</v>
      </c>
      <c r="C2" s="88" t="s">
        <v>1092</v>
      </c>
      <c r="D2" s="652"/>
      <c r="E2" s="652"/>
      <c r="F2" s="652"/>
      <c r="G2" s="652"/>
      <c r="H2" s="652"/>
      <c r="I2" s="652"/>
      <c r="J2" s="652"/>
      <c r="K2" s="652"/>
    </row>
    <row r="3" spans="1:33" ht="18" customHeight="1" thickBot="1">
      <c r="A3" s="579" t="s">
        <v>813</v>
      </c>
      <c r="B3" s="580">
        <f ca="1">ROUND(B2*10000/IF(C1="",'数据-汇总表'!E3,INDIRECT("'数据-取费表'!K"&amp;$K$1)),0)</f>
        <v>33357</v>
      </c>
      <c r="C3" s="88" t="s">
        <v>862</v>
      </c>
      <c r="D3" s="652"/>
      <c r="E3" s="652"/>
      <c r="F3" s="652"/>
      <c r="G3" s="652"/>
      <c r="H3" s="652"/>
      <c r="I3" s="652"/>
      <c r="J3" s="652"/>
      <c r="K3" s="652"/>
    </row>
    <row r="4" spans="1:33" s="1808" customFormat="1" ht="16.5" customHeight="1">
      <c r="A4" s="1805" t="s">
        <v>864</v>
      </c>
      <c r="B4" s="1806"/>
      <c r="C4" s="1849">
        <f>SUM(C8:K8)</f>
        <v>480262</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46376</v>
      </c>
      <c r="D6" s="1814">
        <f>典型户型修正!R22</f>
        <v>36019</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71485.3</v>
      </c>
      <c r="D7" s="653">
        <f>SUMIF('数据-汇总表'!$C19:$C33,假设开发法!D5,'数据-汇总表'!$E19:$E33)</f>
        <v>9846.4500000000007</v>
      </c>
      <c r="E7" s="653">
        <f>SUMIF('数据-汇总表'!$C19:$C33,假设开发法!E5,'数据-汇总表'!$E19:$E33)</f>
        <v>6669.35</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439309</v>
      </c>
      <c r="D8" s="1851">
        <f>典型户型修正!S22</f>
        <v>35466</v>
      </c>
      <c r="E8" s="1851">
        <f>'比较法-车位'!B2</f>
        <v>5487</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17464</v>
      </c>
      <c r="D11" s="1826"/>
      <c r="E11" s="715"/>
      <c r="F11" s="1827">
        <f ca="1">1-IF('数据-取费表'!B24=0,1,IF(C1="",'数据-取费表'!N16,INDIRECT("'数据-取费表'!n"&amp;$K$1)))</f>
        <v>0.6</v>
      </c>
      <c r="G11" s="295"/>
      <c r="H11" s="1821"/>
      <c r="I11" s="1821"/>
      <c r="J11" s="1821"/>
      <c r="K11" s="1822"/>
    </row>
    <row r="12" spans="1:33" s="1828" customFormat="1" ht="13.5" customHeight="1">
      <c r="A12" s="1824" t="s">
        <v>2944</v>
      </c>
      <c r="B12" s="1825" t="s">
        <v>876</v>
      </c>
      <c r="C12" s="313">
        <f ca="1">ROUND(C11*F12,0)</f>
        <v>524</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1137</v>
      </c>
      <c r="D14" s="1907">
        <f ca="1">IF(C1="",'数据-汇总表'!E3,INDIRECT("'数据-取费表'!K"&amp;$K$1)+INDIRECT("'数据-取费表'!S"&amp;$K$1))</f>
        <v>94727.57</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262</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19387</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0</v>
      </c>
      <c r="D17" s="1907">
        <f ca="1">D14</f>
        <v>94727.57</v>
      </c>
      <c r="E17" s="313">
        <f>'数据-取费表'!B32</f>
        <v>0</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0</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1895</v>
      </c>
      <c r="D20" s="1907">
        <f ca="1">IF(C1="",'数据-汇总表'!E6,IF(INDIRECT("'数据-取费表'!c"&amp;$K$1)="住宅",INDIRECT("'数据-取费表'!s"&amp;$K$1),INDIRECT("'数据-取费表'!k"&amp;$K$1)+INDIRECT("'数据-取费表'!s"&amp;$K$1)))</f>
        <v>94727.57</v>
      </c>
      <c r="E20" s="313">
        <f>'数据-取费表'!B28</f>
        <v>200</v>
      </c>
      <c r="F20" s="1829"/>
      <c r="G20" s="303"/>
      <c r="H20" s="1834"/>
      <c r="I20" s="1834"/>
      <c r="J20" s="1834"/>
      <c r="K20" s="1835"/>
    </row>
    <row r="21" spans="1:33" s="1828" customFormat="1" ht="13.5" customHeight="1">
      <c r="A21" s="1813" t="s">
        <v>1925</v>
      </c>
      <c r="B21" s="1838" t="s">
        <v>889</v>
      </c>
      <c r="C21" s="1839">
        <f ca="1">C16+C17+C18</f>
        <v>19387</v>
      </c>
      <c r="D21" s="1840"/>
      <c r="E21" s="657"/>
      <c r="F21" s="657"/>
      <c r="G21" s="471" t="s">
        <v>2519</v>
      </c>
      <c r="H21" s="1832"/>
      <c r="I21" s="1832"/>
      <c r="J21" s="1832"/>
      <c r="K21" s="1833"/>
    </row>
    <row r="22" spans="1:33" s="1828" customFormat="1" ht="13.5" customHeight="1">
      <c r="A22" s="1818" t="s">
        <v>1906</v>
      </c>
      <c r="B22" s="1838" t="s">
        <v>890</v>
      </c>
      <c r="C22" s="1839">
        <f ca="1">ROUND(C21*F22,0)</f>
        <v>388</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5763</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1400</v>
      </c>
      <c r="D25" s="656">
        <f ca="1">C26</f>
        <v>0.1159</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0.1159</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1400</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6129</v>
      </c>
      <c r="D28" s="656">
        <f ca="1">C29</f>
        <v>0.1893</v>
      </c>
      <c r="E28" s="658" t="s">
        <v>50</v>
      </c>
      <c r="F28" s="664">
        <f ca="1">IF(C1="",'数据-取费表'!Q16,INDIRECT("'数据-取费表'!q"&amp;$K$1))</f>
        <v>0.24</v>
      </c>
      <c r="G28" s="1842"/>
      <c r="H28" s="1843"/>
      <c r="I28" s="1843"/>
      <c r="J28" s="1843"/>
      <c r="K28" s="1844"/>
    </row>
    <row r="29" spans="1:33" s="667" customFormat="1" ht="13.5" customHeight="1">
      <c r="A29" s="1824" t="s">
        <v>1926</v>
      </c>
      <c r="B29" s="1847" t="s">
        <v>897</v>
      </c>
      <c r="C29" s="660">
        <f ca="1">ROUND((1+C24)*F28*'数据-取费表'!B24/'数据-取费表'!B20,4)</f>
        <v>0.1893</v>
      </c>
      <c r="D29" s="660"/>
      <c r="E29" s="661"/>
      <c r="F29" s="666"/>
      <c r="G29" s="471" t="s">
        <v>898</v>
      </c>
      <c r="H29" s="1832"/>
      <c r="I29" s="1832"/>
      <c r="J29" s="1832"/>
      <c r="K29" s="1833"/>
    </row>
    <row r="30" spans="1:33" s="667" customFormat="1" ht="13.5" customHeight="1">
      <c r="A30" s="1824" t="s">
        <v>1927</v>
      </c>
      <c r="B30" s="2705" t="s">
        <v>2610</v>
      </c>
      <c r="C30" s="668">
        <f ca="1">ROUND((C21+C22+C23)*F28,0)</f>
        <v>6129</v>
      </c>
      <c r="D30" s="660"/>
      <c r="E30" s="661"/>
      <c r="F30" s="666"/>
      <c r="G30" s="471"/>
      <c r="H30" s="1832"/>
      <c r="I30" s="1832"/>
      <c r="J30" s="1832"/>
      <c r="K30" s="1833"/>
    </row>
    <row r="31" spans="1:33" s="1828" customFormat="1" ht="13.5" customHeight="1" thickBot="1">
      <c r="A31" s="1859" t="s">
        <v>1911</v>
      </c>
      <c r="B31" s="1860" t="s">
        <v>899</v>
      </c>
      <c r="C31" s="1861">
        <f>ROUND(C4*F31/(1+'数据-取费表'!C42),0)</f>
        <v>25614</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315980</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09" t="s">
        <v>2528</v>
      </c>
      <c r="C6" s="2627">
        <f ca="1">ROUND(F6*F8*F7*(1-F9)/10000,0)</f>
        <v>0</v>
      </c>
      <c r="D6" s="2621" t="s">
        <v>2530</v>
      </c>
      <c r="E6" s="684" t="s">
        <v>909</v>
      </c>
      <c r="F6" s="685">
        <f ca="1">INDIRECT("'数据-取费表'!u"&amp;$G$1)</f>
        <v>0</v>
      </c>
      <c r="G6" s="2284"/>
      <c r="H6" s="2618" t="s">
        <v>2537</v>
      </c>
      <c r="I6" s="3609" t="s">
        <v>2528</v>
      </c>
      <c r="J6" s="683">
        <f ca="1">ROUND(M6*M8*M7*(1-M9)/10000,0)</f>
        <v>0</v>
      </c>
      <c r="K6" s="2621" t="s">
        <v>2530</v>
      </c>
      <c r="L6" s="684" t="s">
        <v>909</v>
      </c>
      <c r="M6" s="685">
        <f ca="1">INDIRECT("'数据-取费表'!z"&amp;$G$1)</f>
        <v>0</v>
      </c>
    </row>
    <row r="7" spans="1:37" ht="18" customHeight="1">
      <c r="A7" s="2626"/>
      <c r="B7" s="3610"/>
      <c r="C7" s="2628"/>
      <c r="D7" s="2058"/>
      <c r="E7" s="2629" t="s">
        <v>910</v>
      </c>
      <c r="F7" s="685">
        <f ca="1">IF(INDIRECT("'数据-取费表'!ah"&amp;$G$1)="",INDIRECT("'数据-取费表'!k"&amp;$G$1),INDIRECT("'数据-取费表'!ah"&amp;$G$1))</f>
        <v>0</v>
      </c>
      <c r="G7" s="2284"/>
      <c r="H7" s="686"/>
      <c r="I7" s="3610"/>
      <c r="J7" s="688"/>
      <c r="K7" s="689"/>
      <c r="L7" s="684" t="s">
        <v>910</v>
      </c>
      <c r="M7" s="685">
        <f ca="1">F7</f>
        <v>0</v>
      </c>
    </row>
    <row r="8" spans="1:37" ht="18" customHeight="1">
      <c r="A8" s="686"/>
      <c r="B8" s="3610"/>
      <c r="C8" s="688"/>
      <c r="D8" s="689"/>
      <c r="E8" s="684" t="s">
        <v>911</v>
      </c>
      <c r="F8" s="685">
        <f ca="1">INDIRECT("'数据-取费表'!ai"&amp;$G$1)</f>
        <v>0</v>
      </c>
      <c r="G8" s="2284"/>
      <c r="H8" s="686"/>
      <c r="I8" s="3610"/>
      <c r="J8" s="688"/>
      <c r="K8" s="689"/>
      <c r="L8" s="684" t="s">
        <v>911</v>
      </c>
      <c r="M8" s="685">
        <f ca="1">INDIRECT("'数据-取费表'!ai"&amp;$G$1)</f>
        <v>0</v>
      </c>
    </row>
    <row r="9" spans="1:37" ht="18" customHeight="1">
      <c r="A9" s="686"/>
      <c r="B9" s="3611"/>
      <c r="C9" s="688"/>
      <c r="D9" s="689"/>
      <c r="E9" s="684" t="s">
        <v>912</v>
      </c>
      <c r="F9" s="694">
        <f ca="1">INDIRECT("'数据-取费表'!w"&amp;$G$1)</f>
        <v>0</v>
      </c>
      <c r="G9" s="2284"/>
      <c r="H9" s="686"/>
      <c r="I9" s="3611"/>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7"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09" t="s">
        <v>2528</v>
      </c>
      <c r="C6" s="2627">
        <f ca="1">ROUND(F6*F8*F7*(1-F9),0)</f>
        <v>0</v>
      </c>
      <c r="D6" s="2621" t="s">
        <v>2530</v>
      </c>
      <c r="E6" s="684" t="s">
        <v>909</v>
      </c>
      <c r="F6" s="685">
        <f ca="1">INDIRECT("'数据-取费表'!u"&amp;$G$1)</f>
        <v>0</v>
      </c>
      <c r="G6" s="2284"/>
      <c r="H6" s="2618" t="s">
        <v>2368</v>
      </c>
      <c r="I6" s="3609" t="s">
        <v>2528</v>
      </c>
      <c r="J6" s="683">
        <f ca="1">ROUND(M6*M8*M7*(1-M9),0)</f>
        <v>0</v>
      </c>
      <c r="K6" s="2621" t="s">
        <v>2530</v>
      </c>
      <c r="L6" s="684" t="s">
        <v>909</v>
      </c>
      <c r="M6" s="685">
        <f ca="1">INDIRECT("'数据-取费表'!z"&amp;$G$1)</f>
        <v>0</v>
      </c>
    </row>
    <row r="7" spans="1:37" ht="18" customHeight="1">
      <c r="A7" s="2626"/>
      <c r="B7" s="3610"/>
      <c r="C7" s="2628"/>
      <c r="D7" s="2058"/>
      <c r="E7" s="2629" t="s">
        <v>910</v>
      </c>
      <c r="F7" s="685">
        <f ca="1">IF(INDIRECT("'数据-取费表'!ah"&amp;$G$1)="",INDIRECT("'数据-取费表'!k"&amp;$G$1),INDIRECT("'数据-取费表'!ah"&amp;$G$1))</f>
        <v>0</v>
      </c>
      <c r="G7" s="2284"/>
      <c r="H7" s="686"/>
      <c r="I7" s="3610"/>
      <c r="J7" s="688"/>
      <c r="K7" s="689"/>
      <c r="L7" s="684" t="s">
        <v>910</v>
      </c>
      <c r="M7" s="685">
        <f ca="1">F7</f>
        <v>0</v>
      </c>
    </row>
    <row r="8" spans="1:37" ht="18" customHeight="1">
      <c r="A8" s="686"/>
      <c r="B8" s="3610"/>
      <c r="C8" s="688"/>
      <c r="D8" s="689"/>
      <c r="E8" s="684" t="s">
        <v>911</v>
      </c>
      <c r="F8" s="685">
        <f ca="1">INDIRECT("'数据-取费表'!ai"&amp;$G$1)</f>
        <v>0</v>
      </c>
      <c r="G8" s="2284"/>
      <c r="H8" s="686"/>
      <c r="I8" s="3610"/>
      <c r="J8" s="688"/>
      <c r="K8" s="689"/>
      <c r="L8" s="684" t="s">
        <v>911</v>
      </c>
      <c r="M8" s="685">
        <f ca="1">INDIRECT("'数据-取费表'!ai"&amp;$G$1)</f>
        <v>0</v>
      </c>
    </row>
    <row r="9" spans="1:37" ht="18" customHeight="1">
      <c r="A9" s="686"/>
      <c r="B9" s="3611"/>
      <c r="C9" s="688"/>
      <c r="D9" s="689"/>
      <c r="E9" s="684" t="s">
        <v>912</v>
      </c>
      <c r="F9" s="694">
        <f ca="1">INDIRECT("'数据-取费表'!w"&amp;$G$1)</f>
        <v>0</v>
      </c>
      <c r="G9" s="2284"/>
      <c r="H9" s="686"/>
      <c r="I9" s="3611"/>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7"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2" t="s">
        <v>2673</v>
      </c>
      <c r="C5" s="3612"/>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3" t="s">
        <v>2540</v>
      </c>
      <c r="B1" s="3614"/>
      <c r="C1" s="3615"/>
      <c r="D1" s="3616">
        <f>SUM(I10,I15,I20,I21,I23)</f>
        <v>0</v>
      </c>
      <c r="E1" s="3616"/>
      <c r="F1" s="3616"/>
      <c r="G1" s="3616"/>
      <c r="H1" s="3616"/>
      <c r="I1" s="3617"/>
    </row>
    <row r="2" spans="1:9">
      <c r="A2" s="3618" t="s">
        <v>2541</v>
      </c>
      <c r="B2" s="3619" t="s">
        <v>2542</v>
      </c>
      <c r="C2" s="3619"/>
      <c r="D2" s="2634" t="s">
        <v>2543</v>
      </c>
      <c r="E2" s="2634" t="s">
        <v>2544</v>
      </c>
      <c r="F2" s="2634" t="s">
        <v>2545</v>
      </c>
      <c r="G2" s="2634" t="s">
        <v>2546</v>
      </c>
      <c r="H2" s="2634" t="s">
        <v>2547</v>
      </c>
      <c r="I2" s="2635" t="s">
        <v>2548</v>
      </c>
    </row>
    <row r="3" spans="1:9">
      <c r="A3" s="3618"/>
      <c r="B3" s="3619" t="s">
        <v>2549</v>
      </c>
      <c r="C3" s="3619"/>
      <c r="D3" s="2636"/>
      <c r="E3" s="2634"/>
      <c r="F3" s="2637"/>
      <c r="G3" s="2637"/>
      <c r="H3" s="2638"/>
      <c r="I3" s="2639">
        <f>ROUND(D3*E3*F3*G3*H3/10000,0)</f>
        <v>0</v>
      </c>
    </row>
    <row r="4" spans="1:9">
      <c r="A4" s="3618"/>
      <c r="B4" s="3619" t="s">
        <v>2550</v>
      </c>
      <c r="C4" s="3619"/>
      <c r="D4" s="2636"/>
      <c r="E4" s="2634"/>
      <c r="F4" s="2637"/>
      <c r="G4" s="2637"/>
      <c r="H4" s="2638"/>
      <c r="I4" s="2639">
        <f t="shared" ref="I4:I9" si="0">ROUND(D4*E4*F4*G4*H4/10000,0)</f>
        <v>0</v>
      </c>
    </row>
    <row r="5" spans="1:9">
      <c r="A5" s="3618"/>
      <c r="B5" s="3619" t="s">
        <v>2551</v>
      </c>
      <c r="C5" s="3619"/>
      <c r="D5" s="2636"/>
      <c r="E5" s="2634"/>
      <c r="F5" s="2637"/>
      <c r="G5" s="2637"/>
      <c r="H5" s="2638"/>
      <c r="I5" s="2639">
        <f t="shared" si="0"/>
        <v>0</v>
      </c>
    </row>
    <row r="6" spans="1:9">
      <c r="A6" s="3618"/>
      <c r="B6" s="3619" t="s">
        <v>2552</v>
      </c>
      <c r="C6" s="3619"/>
      <c r="D6" s="2636"/>
      <c r="E6" s="2634"/>
      <c r="F6" s="2637"/>
      <c r="G6" s="2637"/>
      <c r="H6" s="2638"/>
      <c r="I6" s="2639">
        <f t="shared" si="0"/>
        <v>0</v>
      </c>
    </row>
    <row r="7" spans="1:9">
      <c r="A7" s="3618"/>
      <c r="B7" s="3619" t="s">
        <v>2553</v>
      </c>
      <c r="C7" s="3619"/>
      <c r="D7" s="2636"/>
      <c r="E7" s="2634"/>
      <c r="F7" s="2637"/>
      <c r="G7" s="2637"/>
      <c r="H7" s="2638"/>
      <c r="I7" s="2639">
        <f t="shared" si="0"/>
        <v>0</v>
      </c>
    </row>
    <row r="8" spans="1:9">
      <c r="A8" s="3618"/>
      <c r="B8" s="3619" t="s">
        <v>2554</v>
      </c>
      <c r="C8" s="3619"/>
      <c r="D8" s="2636"/>
      <c r="E8" s="2634"/>
      <c r="F8" s="2637"/>
      <c r="G8" s="2637"/>
      <c r="H8" s="2638"/>
      <c r="I8" s="2639">
        <f t="shared" si="0"/>
        <v>0</v>
      </c>
    </row>
    <row r="9" spans="1:9">
      <c r="A9" s="3618"/>
      <c r="B9" s="3619" t="s">
        <v>2555</v>
      </c>
      <c r="C9" s="3619"/>
      <c r="D9" s="2636"/>
      <c r="E9" s="2634"/>
      <c r="F9" s="2637"/>
      <c r="G9" s="2637"/>
      <c r="H9" s="2638"/>
      <c r="I9" s="2639">
        <f t="shared" si="0"/>
        <v>0</v>
      </c>
    </row>
    <row r="10" spans="1:9">
      <c r="A10" s="3618"/>
      <c r="B10" s="3620" t="s">
        <v>2556</v>
      </c>
      <c r="C10" s="3620"/>
      <c r="D10" s="2640"/>
      <c r="E10" s="2640" t="e">
        <f>ROUND(D1*10000/D10/H9,0)</f>
        <v>#DIV/0!</v>
      </c>
      <c r="F10" s="2641"/>
      <c r="G10" s="2641"/>
      <c r="H10" s="2642"/>
      <c r="I10" s="2643">
        <f>SUM(I3:I9)</f>
        <v>0</v>
      </c>
    </row>
    <row r="11" spans="1:9" ht="14.25">
      <c r="A11" s="3618" t="s">
        <v>2557</v>
      </c>
      <c r="B11" s="3619" t="s">
        <v>2558</v>
      </c>
      <c r="C11" s="3619"/>
      <c r="D11" s="2636" t="s">
        <v>2559</v>
      </c>
      <c r="E11" s="2636" t="s">
        <v>2560</v>
      </c>
      <c r="F11" s="2637" t="s">
        <v>2561</v>
      </c>
      <c r="G11" s="2637" t="s">
        <v>2547</v>
      </c>
      <c r="H11" s="2644" t="s">
        <v>2562</v>
      </c>
      <c r="I11" s="2635" t="s">
        <v>2548</v>
      </c>
    </row>
    <row r="12" spans="1:9">
      <c r="A12" s="3618"/>
      <c r="B12" s="3619" t="s">
        <v>2563</v>
      </c>
      <c r="C12" s="3619"/>
      <c r="D12" s="2636"/>
      <c r="E12" s="2636"/>
      <c r="F12" s="2637"/>
      <c r="G12" s="2638"/>
      <c r="H12" s="2645"/>
      <c r="I12" s="2635">
        <f>ROUND(D12*E12*F12*G12/10000,0)</f>
        <v>0</v>
      </c>
    </row>
    <row r="13" spans="1:9">
      <c r="A13" s="3618"/>
      <c r="B13" s="3619" t="s">
        <v>2564</v>
      </c>
      <c r="C13" s="3619"/>
      <c r="D13" s="2636"/>
      <c r="E13" s="2636"/>
      <c r="F13" s="2637"/>
      <c r="G13" s="2638"/>
      <c r="H13" s="2645"/>
      <c r="I13" s="2635">
        <f>ROUND(D13*E13*F13*G13/10000,0)</f>
        <v>0</v>
      </c>
    </row>
    <row r="14" spans="1:9">
      <c r="A14" s="3618"/>
      <c r="B14" s="3619" t="s">
        <v>2565</v>
      </c>
      <c r="C14" s="3619"/>
      <c r="D14" s="2636"/>
      <c r="E14" s="2636"/>
      <c r="F14" s="2637"/>
      <c r="G14" s="2638"/>
      <c r="H14" s="2645"/>
      <c r="I14" s="2635">
        <f>ROUND(D14*E14*F14*G14/10000,0)</f>
        <v>0</v>
      </c>
    </row>
    <row r="15" spans="1:9">
      <c r="A15" s="3618"/>
      <c r="B15" s="3620" t="s">
        <v>2556</v>
      </c>
      <c r="C15" s="3620"/>
      <c r="D15" s="2640"/>
      <c r="E15" s="2640">
        <f>SUM(E12:E14)</f>
        <v>0</v>
      </c>
      <c r="F15" s="2641"/>
      <c r="G15" s="2638"/>
      <c r="H15" s="2645"/>
      <c r="I15" s="2646">
        <f>SUM(I12:I14)</f>
        <v>0</v>
      </c>
    </row>
    <row r="16" spans="1:9" ht="24">
      <c r="A16" s="3618" t="s">
        <v>2566</v>
      </c>
      <c r="B16" s="3619" t="s">
        <v>2567</v>
      </c>
      <c r="C16" s="3619"/>
      <c r="D16" s="2636" t="s">
        <v>2543</v>
      </c>
      <c r="E16" s="2647" t="s">
        <v>2568</v>
      </c>
      <c r="F16" s="2637" t="s">
        <v>2569</v>
      </c>
      <c r="G16" s="2638" t="s">
        <v>2547</v>
      </c>
      <c r="H16" s="2644" t="s">
        <v>2562</v>
      </c>
      <c r="I16" s="2635" t="s">
        <v>2548</v>
      </c>
    </row>
    <row r="17" spans="1:9" ht="14.25">
      <c r="A17" s="3618"/>
      <c r="B17" s="3619" t="s">
        <v>2570</v>
      </c>
      <c r="C17" s="3619"/>
      <c r="D17" s="2636"/>
      <c r="E17" s="2636"/>
      <c r="F17" s="2637"/>
      <c r="G17" s="2638"/>
      <c r="H17" s="2648"/>
      <c r="I17" s="2649">
        <f>ROUND(D17*E17*F17*G17/10000,0)</f>
        <v>0</v>
      </c>
    </row>
    <row r="18" spans="1:9" ht="14.25">
      <c r="A18" s="3618"/>
      <c r="B18" s="3619" t="s">
        <v>2571</v>
      </c>
      <c r="C18" s="3619"/>
      <c r="D18" s="2636"/>
      <c r="E18" s="2636"/>
      <c r="F18" s="2637"/>
      <c r="G18" s="2638"/>
      <c r="H18" s="2648"/>
      <c r="I18" s="2649">
        <f>ROUND(D18*E18*F18*G18/10000,0)</f>
        <v>0</v>
      </c>
    </row>
    <row r="19" spans="1:9" ht="14.25">
      <c r="A19" s="3618"/>
      <c r="B19" s="3619" t="s">
        <v>2572</v>
      </c>
      <c r="C19" s="3619"/>
      <c r="D19" s="2636"/>
      <c r="E19" s="2636"/>
      <c r="F19" s="2637"/>
      <c r="G19" s="2638"/>
      <c r="H19" s="2648"/>
      <c r="I19" s="2649">
        <f>ROUND(D19*E19*F19*G19/10000,0)</f>
        <v>0</v>
      </c>
    </row>
    <row r="20" spans="1:9">
      <c r="A20" s="3618"/>
      <c r="B20" s="3620" t="s">
        <v>2556</v>
      </c>
      <c r="C20" s="3620"/>
      <c r="D20" s="2640">
        <f>SUM(D17:D19)</f>
        <v>0</v>
      </c>
      <c r="E20" s="2640"/>
      <c r="F20" s="2641"/>
      <c r="G20" s="2638"/>
      <c r="H20" s="2645"/>
      <c r="I20" s="2646">
        <f>SUM(I17:I19)</f>
        <v>0</v>
      </c>
    </row>
    <row r="21" spans="1:9">
      <c r="A21" s="3618" t="s">
        <v>2573</v>
      </c>
      <c r="B21" s="3622"/>
      <c r="C21" s="3622"/>
      <c r="D21" s="3622"/>
      <c r="E21" s="3622"/>
      <c r="F21" s="3622"/>
      <c r="G21" s="3622"/>
      <c r="H21" s="3296">
        <v>0.1</v>
      </c>
      <c r="I21" s="2643">
        <f>ROUND(I10*H21,0)</f>
        <v>0</v>
      </c>
    </row>
    <row r="22" spans="1:9" ht="14.25">
      <c r="A22" s="3623" t="s">
        <v>2574</v>
      </c>
      <c r="B22" s="3624"/>
      <c r="C22" s="3625"/>
      <c r="D22" s="2650" t="s">
        <v>2575</v>
      </c>
      <c r="E22" s="2650" t="s">
        <v>2576</v>
      </c>
      <c r="F22" s="2651" t="s">
        <v>2577</v>
      </c>
      <c r="G22" s="2651" t="s">
        <v>2578</v>
      </c>
      <c r="H22" s="2644" t="s">
        <v>2579</v>
      </c>
      <c r="I22" s="2635" t="s">
        <v>2580</v>
      </c>
    </row>
    <row r="23" spans="1:9" ht="14.25" thickBot="1">
      <c r="A23" s="3626"/>
      <c r="B23" s="3627"/>
      <c r="C23" s="3628"/>
      <c r="D23" s="2652"/>
      <c r="E23" s="2652"/>
      <c r="F23" s="2652"/>
      <c r="G23" s="2653"/>
      <c r="H23" s="2654"/>
      <c r="I23" s="2655">
        <f>ROUND(E23*D23*F23*(1-G23)/10000,0)</f>
        <v>0</v>
      </c>
    </row>
    <row r="26" spans="1:9">
      <c r="A26" s="2656" t="s">
        <v>2581</v>
      </c>
      <c r="B26" s="2656"/>
      <c r="C26" s="2656"/>
      <c r="D26" s="2656"/>
      <c r="E26" s="3629">
        <f>C27-C30-C31-C32</f>
        <v>0</v>
      </c>
      <c r="F26" s="3629"/>
      <c r="G26" s="3629"/>
      <c r="H26" s="3250" t="s">
        <v>2954</v>
      </c>
    </row>
    <row r="27" spans="1:9">
      <c r="A27" s="2657">
        <v>1</v>
      </c>
      <c r="B27" s="2658" t="s">
        <v>2582</v>
      </c>
      <c r="C27" s="2658">
        <f>C28+C29</f>
        <v>0</v>
      </c>
      <c r="D27" s="2658"/>
      <c r="E27" s="3630"/>
      <c r="F27" s="3630"/>
      <c r="G27" s="3630"/>
    </row>
    <row r="28" spans="1:9">
      <c r="A28" s="2659" t="s">
        <v>2583</v>
      </c>
      <c r="B28" s="2658" t="s">
        <v>2584</v>
      </c>
      <c r="C28" s="2658"/>
      <c r="D28" s="2658"/>
      <c r="E28" s="3630"/>
      <c r="F28" s="3630"/>
      <c r="G28" s="3630"/>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21"/>
      <c r="F32" s="3621"/>
      <c r="G32" s="3621"/>
    </row>
    <row r="33" spans="1:7" hidden="1">
      <c r="A33" s="3631" t="s">
        <v>2593</v>
      </c>
      <c r="B33" s="3632"/>
      <c r="C33" s="3632"/>
      <c r="D33" s="3633"/>
      <c r="E33" s="3629"/>
      <c r="F33" s="3629"/>
      <c r="G33" s="3629"/>
    </row>
    <row r="34" spans="1:7" hidden="1">
      <c r="A34" s="2661">
        <v>1</v>
      </c>
      <c r="B34" s="2658" t="s">
        <v>2594</v>
      </c>
      <c r="C34" s="2658"/>
      <c r="D34" s="2658"/>
      <c r="E34" s="3630"/>
      <c r="F34" s="3630"/>
      <c r="G34" s="3630"/>
    </row>
    <row r="35" spans="1:7" hidden="1">
      <c r="A35" s="2661">
        <v>2</v>
      </c>
      <c r="B35" s="2658" t="s">
        <v>2595</v>
      </c>
      <c r="C35" s="2658"/>
      <c r="D35" s="2658"/>
      <c r="E35" s="3630"/>
      <c r="F35" s="3630"/>
      <c r="G35" s="3630"/>
    </row>
    <row r="36" spans="1:7" hidden="1">
      <c r="A36" s="2661">
        <v>3</v>
      </c>
      <c r="B36" s="2658" t="s">
        <v>2596</v>
      </c>
      <c r="C36" s="2658"/>
      <c r="D36" s="2658"/>
      <c r="E36" s="3630"/>
      <c r="F36" s="3630"/>
      <c r="G36" s="3630"/>
    </row>
    <row r="37" spans="1:7" hidden="1">
      <c r="A37" s="2661">
        <v>4</v>
      </c>
      <c r="B37" s="2658" t="s">
        <v>2597</v>
      </c>
      <c r="C37" s="2658"/>
      <c r="D37" s="2658"/>
      <c r="E37" s="3630"/>
      <c r="F37" s="3630"/>
      <c r="G37" s="3630"/>
    </row>
    <row r="38" spans="1:7" hidden="1">
      <c r="A38" s="3631" t="s">
        <v>2598</v>
      </c>
      <c r="B38" s="3632"/>
      <c r="C38" s="3632"/>
      <c r="D38" s="3633"/>
      <c r="E38" s="3629"/>
      <c r="F38" s="3629"/>
      <c r="G38" s="36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94727.57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44" t="s">
        <v>980</v>
      </c>
      <c r="D4" s="3645"/>
      <c r="E4" s="3646" t="s">
        <v>981</v>
      </c>
      <c r="F4" s="3647"/>
      <c r="G4" s="3644" t="s">
        <v>982</v>
      </c>
      <c r="H4" s="3645"/>
      <c r="I4" s="3644" t="s">
        <v>983</v>
      </c>
      <c r="J4" s="3645"/>
      <c r="K4" s="145" t="s">
        <v>984</v>
      </c>
      <c r="L4" s="2291"/>
      <c r="M4" s="2292"/>
      <c r="N4" s="2292"/>
      <c r="O4" s="2292"/>
      <c r="P4" s="3648" t="s">
        <v>979</v>
      </c>
      <c r="Q4" s="3649"/>
      <c r="R4" s="3639" t="s">
        <v>981</v>
      </c>
      <c r="S4" s="3640"/>
      <c r="T4" s="3639" t="s">
        <v>982</v>
      </c>
      <c r="U4" s="3640"/>
      <c r="V4" s="3656" t="s">
        <v>983</v>
      </c>
      <c r="W4" s="3656"/>
      <c r="X4" s="1336"/>
      <c r="Y4" s="3639" t="s">
        <v>979</v>
      </c>
      <c r="Z4" s="3640"/>
      <c r="AA4" s="3634" t="s">
        <v>981</v>
      </c>
      <c r="AB4" s="3634" t="s">
        <v>982</v>
      </c>
      <c r="AC4" s="3634" t="s">
        <v>983</v>
      </c>
    </row>
    <row r="5" spans="1:29">
      <c r="A5" s="146"/>
      <c r="B5" s="147"/>
      <c r="C5" s="3573" t="s">
        <v>985</v>
      </c>
      <c r="D5" s="3574"/>
      <c r="E5" s="3571" t="s">
        <v>986</v>
      </c>
      <c r="F5" s="3572"/>
      <c r="G5" s="3573" t="s">
        <v>987</v>
      </c>
      <c r="H5" s="3574"/>
      <c r="I5" s="3573" t="s">
        <v>988</v>
      </c>
      <c r="J5" s="3574"/>
      <c r="K5" s="152"/>
      <c r="L5" s="2291"/>
      <c r="M5" s="2292"/>
      <c r="N5" s="2292"/>
      <c r="O5" s="2292"/>
      <c r="P5" s="3650"/>
      <c r="Q5" s="3651"/>
      <c r="R5" s="3641"/>
      <c r="S5" s="3642"/>
      <c r="T5" s="3641"/>
      <c r="U5" s="3642"/>
      <c r="V5" s="3656"/>
      <c r="W5" s="3656"/>
      <c r="X5" s="1336"/>
      <c r="Y5" s="3641"/>
      <c r="Z5" s="3642"/>
      <c r="AA5" s="3635"/>
      <c r="AB5" s="3635"/>
      <c r="AC5" s="3635"/>
    </row>
    <row r="6" spans="1:29" ht="14.25" thickBot="1">
      <c r="A6" s="148"/>
      <c r="B6" s="149"/>
      <c r="C6" s="3575" t="s">
        <v>989</v>
      </c>
      <c r="D6" s="3576"/>
      <c r="E6" s="3577" t="s">
        <v>989</v>
      </c>
      <c r="F6" s="3578"/>
      <c r="G6" s="3575" t="s">
        <v>989</v>
      </c>
      <c r="H6" s="3576"/>
      <c r="I6" s="3575" t="s">
        <v>989</v>
      </c>
      <c r="J6" s="3576"/>
      <c r="K6" s="152" t="s">
        <v>990</v>
      </c>
      <c r="L6" s="2291"/>
      <c r="M6" s="2292"/>
      <c r="N6" s="2292"/>
      <c r="O6" s="2292"/>
      <c r="P6" s="3652"/>
      <c r="Q6" s="3653"/>
      <c r="R6" s="3641"/>
      <c r="S6" s="3642"/>
      <c r="T6" s="3654"/>
      <c r="U6" s="3655"/>
      <c r="V6" s="3656"/>
      <c r="W6" s="3656"/>
      <c r="X6" s="1336"/>
      <c r="Y6" s="3654"/>
      <c r="Z6" s="3655"/>
      <c r="AA6" s="3636"/>
      <c r="AB6" s="3636"/>
      <c r="AC6" s="3636"/>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37" t="s">
        <v>991</v>
      </c>
      <c r="Q7" s="3657"/>
      <c r="R7" s="1338" t="s">
        <v>113</v>
      </c>
      <c r="S7" s="1339">
        <f t="shared" ref="S7:S15" si="0">F7</f>
        <v>0</v>
      </c>
      <c r="T7" s="1338" t="s">
        <v>113</v>
      </c>
      <c r="U7" s="1339">
        <f t="shared" ref="U7:U15" si="1">H7</f>
        <v>0</v>
      </c>
      <c r="V7" s="1338" t="s">
        <v>113</v>
      </c>
      <c r="W7" s="1339">
        <f t="shared" ref="W7:W15" si="2">J7</f>
        <v>0</v>
      </c>
      <c r="X7" s="287"/>
      <c r="Y7" s="3637" t="s">
        <v>991</v>
      </c>
      <c r="Z7" s="3638"/>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37" t="s">
        <v>992</v>
      </c>
      <c r="Q8" s="3638"/>
      <c r="R8" s="1338" t="s">
        <v>113</v>
      </c>
      <c r="S8" s="1339">
        <f t="shared" si="0"/>
        <v>0</v>
      </c>
      <c r="T8" s="1338" t="s">
        <v>113</v>
      </c>
      <c r="U8" s="1339">
        <f t="shared" si="1"/>
        <v>0</v>
      </c>
      <c r="V8" s="1338" t="s">
        <v>113</v>
      </c>
      <c r="W8" s="1339">
        <f t="shared" si="2"/>
        <v>0</v>
      </c>
      <c r="X8" s="287"/>
      <c r="Y8" s="3637" t="s">
        <v>992</v>
      </c>
      <c r="Z8" s="3638"/>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43"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43"/>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43"/>
      <c r="Q11" s="7" t="str">
        <f t="shared" si="6"/>
        <v>容积率</v>
      </c>
      <c r="R11" s="1338" t="s">
        <v>102</v>
      </c>
      <c r="S11" s="1339" t="e">
        <f t="shared" si="0"/>
        <v>#N/A</v>
      </c>
      <c r="T11" s="1338" t="s">
        <v>102</v>
      </c>
      <c r="U11" s="1339" t="e">
        <f t="shared" si="1"/>
        <v>#N/A</v>
      </c>
      <c r="V11" s="1338" t="s">
        <v>102</v>
      </c>
      <c r="W11" s="1339" t="e">
        <f t="shared" si="2"/>
        <v>#N/A</v>
      </c>
      <c r="X11" s="287"/>
      <c r="Y11" s="343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43"/>
      <c r="Q12" s="7">
        <f t="shared" si="6"/>
        <v>111</v>
      </c>
      <c r="R12" s="1338" t="s">
        <v>102</v>
      </c>
      <c r="S12" s="1339">
        <f t="shared" si="0"/>
        <v>100</v>
      </c>
      <c r="T12" s="1338" t="s">
        <v>102</v>
      </c>
      <c r="U12" s="1339">
        <f t="shared" si="1"/>
        <v>100</v>
      </c>
      <c r="V12" s="1338" t="s">
        <v>102</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43"/>
      <c r="Q13" s="7">
        <f t="shared" si="6"/>
        <v>111</v>
      </c>
      <c r="R13" s="1338" t="s">
        <v>102</v>
      </c>
      <c r="S13" s="1339">
        <f t="shared" si="0"/>
        <v>100</v>
      </c>
      <c r="T13" s="1338" t="s">
        <v>102</v>
      </c>
      <c r="U13" s="1339">
        <f t="shared" si="1"/>
        <v>100</v>
      </c>
      <c r="V13" s="1338" t="s">
        <v>102</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43"/>
      <c r="Q14" s="7">
        <f t="shared" si="6"/>
        <v>111</v>
      </c>
      <c r="R14" s="1338" t="s">
        <v>102</v>
      </c>
      <c r="S14" s="1339">
        <f t="shared" si="0"/>
        <v>100</v>
      </c>
      <c r="T14" s="1338" t="s">
        <v>102</v>
      </c>
      <c r="U14" s="1339">
        <f t="shared" si="1"/>
        <v>100</v>
      </c>
      <c r="V14" s="1338" t="s">
        <v>102</v>
      </c>
      <c r="W14" s="1339">
        <f t="shared" si="2"/>
        <v>100</v>
      </c>
      <c r="X14" s="287"/>
      <c r="Y14" s="3430"/>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70" t="s">
        <v>67</v>
      </c>
      <c r="Q15" s="1347" t="str">
        <f t="shared" si="6"/>
        <v>居住社区成熟度</v>
      </c>
      <c r="R15" s="1348" t="s">
        <v>102</v>
      </c>
      <c r="S15" s="1349">
        <f t="shared" si="0"/>
        <v>100</v>
      </c>
      <c r="T15" s="1348" t="s">
        <v>102</v>
      </c>
      <c r="U15" s="1349">
        <f t="shared" si="1"/>
        <v>100</v>
      </c>
      <c r="V15" s="1348" t="s">
        <v>102</v>
      </c>
      <c r="W15" s="1349">
        <f t="shared" si="2"/>
        <v>100</v>
      </c>
      <c r="X15" s="1336"/>
      <c r="Y15" s="3663"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71"/>
      <c r="Q16" s="1347"/>
      <c r="R16" s="1348"/>
      <c r="S16" s="1349"/>
      <c r="T16" s="1348"/>
      <c r="U16" s="1349"/>
      <c r="V16" s="1348"/>
      <c r="W16" s="1349"/>
      <c r="X16" s="1336"/>
      <c r="Y16" s="3664"/>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71"/>
      <c r="Q17" s="1347" t="str">
        <f>B17</f>
        <v>交通便捷度</v>
      </c>
      <c r="R17" s="1348" t="s">
        <v>102</v>
      </c>
      <c r="S17" s="1349">
        <f>F17</f>
        <v>100</v>
      </c>
      <c r="T17" s="1348" t="s">
        <v>102</v>
      </c>
      <c r="U17" s="1349">
        <f>H17</f>
        <v>100</v>
      </c>
      <c r="V17" s="1348" t="s">
        <v>102</v>
      </c>
      <c r="W17" s="1349">
        <f>J17</f>
        <v>100</v>
      </c>
      <c r="X17" s="1336"/>
      <c r="Y17" s="3664"/>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71"/>
      <c r="Q18" s="1347"/>
      <c r="R18" s="1348"/>
      <c r="S18" s="1349"/>
      <c r="T18" s="1348"/>
      <c r="U18" s="1349"/>
      <c r="V18" s="1348"/>
      <c r="W18" s="1349"/>
      <c r="X18" s="1336"/>
      <c r="Y18" s="3664"/>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71"/>
      <c r="Q19" s="1347" t="str">
        <f>B19</f>
        <v>公共配套设施</v>
      </c>
      <c r="R19" s="1348" t="s">
        <v>102</v>
      </c>
      <c r="S19" s="1349">
        <f>F19</f>
        <v>100</v>
      </c>
      <c r="T19" s="1348" t="s">
        <v>102</v>
      </c>
      <c r="U19" s="1349">
        <f>H19</f>
        <v>100</v>
      </c>
      <c r="V19" s="1348" t="s">
        <v>102</v>
      </c>
      <c r="W19" s="1349">
        <f>J19</f>
        <v>100</v>
      </c>
      <c r="X19" s="1336"/>
      <c r="Y19" s="3664"/>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71"/>
      <c r="Q20" s="1347"/>
      <c r="R20" s="1348"/>
      <c r="S20" s="1349"/>
      <c r="T20" s="1348"/>
      <c r="U20" s="1349"/>
      <c r="V20" s="1348"/>
      <c r="W20" s="1349"/>
      <c r="X20" s="1336"/>
      <c r="Y20" s="3664"/>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71"/>
      <c r="Q22" s="2742"/>
      <c r="R22" s="1348"/>
      <c r="S22" s="1349"/>
      <c r="T22" s="1348"/>
      <c r="U22" s="1349"/>
      <c r="V22" s="1348"/>
      <c r="W22" s="1349"/>
      <c r="X22" s="2744"/>
      <c r="Y22" s="3664"/>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71"/>
      <c r="Q23" s="1347" t="str">
        <f>B23</f>
        <v>自然及人文环境</v>
      </c>
      <c r="R23" s="1348" t="s">
        <v>102</v>
      </c>
      <c r="S23" s="1349">
        <f>F23</f>
        <v>100</v>
      </c>
      <c r="T23" s="1348" t="s">
        <v>102</v>
      </c>
      <c r="U23" s="1349">
        <f>H23</f>
        <v>100</v>
      </c>
      <c r="V23" s="1348" t="s">
        <v>102</v>
      </c>
      <c r="W23" s="1349">
        <f>J23</f>
        <v>100</v>
      </c>
      <c r="X23" s="1336"/>
      <c r="Y23" s="3664"/>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71"/>
      <c r="Q24" s="1347"/>
      <c r="R24" s="1348"/>
      <c r="S24" s="1349"/>
      <c r="T24" s="1348"/>
      <c r="U24" s="1349"/>
      <c r="V24" s="1348"/>
      <c r="W24" s="1349"/>
      <c r="X24" s="1336"/>
      <c r="Y24" s="3664"/>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71"/>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64"/>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71"/>
      <c r="Q26" s="1347" t="str">
        <f t="shared" si="11"/>
        <v>朝向</v>
      </c>
      <c r="R26" s="1348" t="s">
        <v>102</v>
      </c>
      <c r="S26" s="1349">
        <f t="shared" si="12"/>
        <v>100</v>
      </c>
      <c r="T26" s="1348" t="s">
        <v>102</v>
      </c>
      <c r="U26" s="1349">
        <f t="shared" si="13"/>
        <v>100</v>
      </c>
      <c r="V26" s="1348" t="s">
        <v>102</v>
      </c>
      <c r="W26" s="1349">
        <f t="shared" si="14"/>
        <v>100</v>
      </c>
      <c r="X26" s="1336"/>
      <c r="Y26" s="3664"/>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71"/>
      <c r="Q27" s="7">
        <f t="shared" si="11"/>
        <v>111</v>
      </c>
      <c r="R27" s="1338" t="s">
        <v>102</v>
      </c>
      <c r="S27" s="1339">
        <f t="shared" si="12"/>
        <v>100</v>
      </c>
      <c r="T27" s="1338" t="s">
        <v>102</v>
      </c>
      <c r="U27" s="1339">
        <f t="shared" si="13"/>
        <v>100</v>
      </c>
      <c r="V27" s="1338" t="s">
        <v>102</v>
      </c>
      <c r="W27" s="1339">
        <f t="shared" si="14"/>
        <v>100</v>
      </c>
      <c r="X27" s="287"/>
      <c r="Y27" s="3664"/>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71"/>
      <c r="Q28" s="1347">
        <f t="shared" si="11"/>
        <v>111</v>
      </c>
      <c r="R28" s="1348" t="s">
        <v>102</v>
      </c>
      <c r="S28" s="1349">
        <f t="shared" si="12"/>
        <v>100</v>
      </c>
      <c r="T28" s="1348" t="s">
        <v>102</v>
      </c>
      <c r="U28" s="1349">
        <f t="shared" si="13"/>
        <v>100</v>
      </c>
      <c r="V28" s="1348" t="s">
        <v>102</v>
      </c>
      <c r="W28" s="1349">
        <f t="shared" si="14"/>
        <v>100</v>
      </c>
      <c r="X28" s="1336"/>
      <c r="Y28" s="3664"/>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71"/>
      <c r="Q29" s="1347">
        <f t="shared" si="11"/>
        <v>111</v>
      </c>
      <c r="R29" s="1348" t="s">
        <v>102</v>
      </c>
      <c r="S29" s="1349">
        <f t="shared" si="12"/>
        <v>100</v>
      </c>
      <c r="T29" s="1348" t="s">
        <v>102</v>
      </c>
      <c r="U29" s="1349">
        <f t="shared" si="13"/>
        <v>100</v>
      </c>
      <c r="V29" s="1348" t="s">
        <v>102</v>
      </c>
      <c r="W29" s="1349">
        <f t="shared" si="14"/>
        <v>100</v>
      </c>
      <c r="X29" s="1336"/>
      <c r="Y29" s="3664"/>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71"/>
      <c r="Q30" s="1347">
        <f t="shared" si="11"/>
        <v>111</v>
      </c>
      <c r="R30" s="1348" t="s">
        <v>102</v>
      </c>
      <c r="S30" s="1349">
        <f t="shared" si="12"/>
        <v>100</v>
      </c>
      <c r="T30" s="1348" t="s">
        <v>102</v>
      </c>
      <c r="U30" s="1349">
        <f t="shared" si="13"/>
        <v>100</v>
      </c>
      <c r="V30" s="1348" t="s">
        <v>102</v>
      </c>
      <c r="W30" s="1349">
        <f t="shared" si="14"/>
        <v>100</v>
      </c>
      <c r="X30" s="1336"/>
      <c r="Y30" s="3664"/>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71"/>
      <c r="Q31" s="1347">
        <f t="shared" si="11"/>
        <v>111</v>
      </c>
      <c r="R31" s="1348" t="s">
        <v>102</v>
      </c>
      <c r="S31" s="1349">
        <f t="shared" si="12"/>
        <v>100</v>
      </c>
      <c r="T31" s="1348" t="s">
        <v>102</v>
      </c>
      <c r="U31" s="1349">
        <f t="shared" si="13"/>
        <v>100</v>
      </c>
      <c r="V31" s="1348" t="s">
        <v>102</v>
      </c>
      <c r="W31" s="1349">
        <f t="shared" si="14"/>
        <v>100</v>
      </c>
      <c r="X31" s="1336"/>
      <c r="Y31" s="3664"/>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65" t="s">
        <v>68</v>
      </c>
      <c r="Q32" s="1347" t="str">
        <f t="shared" si="11"/>
        <v>建筑类型</v>
      </c>
      <c r="R32" s="1348" t="s">
        <v>102</v>
      </c>
      <c r="S32" s="1349">
        <f t="shared" si="12"/>
        <v>100</v>
      </c>
      <c r="T32" s="1348" t="s">
        <v>102</v>
      </c>
      <c r="U32" s="1349">
        <f t="shared" si="13"/>
        <v>100</v>
      </c>
      <c r="V32" s="1348" t="s">
        <v>102</v>
      </c>
      <c r="W32" s="1349">
        <f t="shared" si="14"/>
        <v>100</v>
      </c>
      <c r="X32" s="1336"/>
      <c r="Y32" s="3668"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66"/>
      <c r="Q33" s="1355" t="str">
        <f t="shared" si="11"/>
        <v>项目建筑规模</v>
      </c>
      <c r="R33" s="1356" t="s">
        <v>102</v>
      </c>
      <c r="S33" s="1357" t="e">
        <f t="shared" si="12"/>
        <v>#N/A</v>
      </c>
      <c r="T33" s="1356" t="s">
        <v>102</v>
      </c>
      <c r="U33" s="1357" t="e">
        <f t="shared" si="13"/>
        <v>#N/A</v>
      </c>
      <c r="V33" s="1356" t="s">
        <v>102</v>
      </c>
      <c r="W33" s="1357" t="e">
        <f t="shared" si="14"/>
        <v>#N/A</v>
      </c>
      <c r="X33" s="1358"/>
      <c r="Y33" s="3668"/>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66"/>
      <c r="Q34" s="1347" t="str">
        <f t="shared" si="11"/>
        <v>建筑结构</v>
      </c>
      <c r="R34" s="1348" t="s">
        <v>102</v>
      </c>
      <c r="S34" s="1349">
        <f t="shared" si="12"/>
        <v>100</v>
      </c>
      <c r="T34" s="1348" t="s">
        <v>102</v>
      </c>
      <c r="U34" s="1349">
        <f t="shared" si="13"/>
        <v>100</v>
      </c>
      <c r="V34" s="1348" t="s">
        <v>102</v>
      </c>
      <c r="W34" s="1349">
        <f t="shared" si="14"/>
        <v>100</v>
      </c>
      <c r="X34" s="1336"/>
      <c r="Y34" s="3668"/>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66"/>
      <c r="Q35" s="1347" t="str">
        <f t="shared" si="11"/>
        <v>建筑品质</v>
      </c>
      <c r="R35" s="1348" t="s">
        <v>102</v>
      </c>
      <c r="S35" s="1349">
        <f t="shared" si="12"/>
        <v>100</v>
      </c>
      <c r="T35" s="1348" t="s">
        <v>102</v>
      </c>
      <c r="U35" s="1349">
        <f t="shared" si="13"/>
        <v>100</v>
      </c>
      <c r="V35" s="1348" t="s">
        <v>102</v>
      </c>
      <c r="W35" s="1349">
        <f t="shared" si="14"/>
        <v>100</v>
      </c>
      <c r="X35" s="1336"/>
      <c r="Y35" s="3668"/>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66"/>
      <c r="Q36" s="1347" t="str">
        <f t="shared" si="11"/>
        <v>公共部分装修</v>
      </c>
      <c r="R36" s="1348" t="s">
        <v>102</v>
      </c>
      <c r="S36" s="1349">
        <f t="shared" si="12"/>
        <v>100</v>
      </c>
      <c r="T36" s="1348" t="s">
        <v>102</v>
      </c>
      <c r="U36" s="1349">
        <f t="shared" si="13"/>
        <v>100</v>
      </c>
      <c r="V36" s="1348" t="s">
        <v>102</v>
      </c>
      <c r="W36" s="1349">
        <f t="shared" si="14"/>
        <v>100</v>
      </c>
      <c r="X36" s="1336"/>
      <c r="Y36" s="3668"/>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66"/>
      <c r="Q37" s="7" t="str">
        <f t="shared" si="11"/>
        <v>成新度</v>
      </c>
      <c r="R37" s="1338" t="s">
        <v>102</v>
      </c>
      <c r="S37" s="1339" t="e">
        <f t="shared" si="12"/>
        <v>#N/A</v>
      </c>
      <c r="T37" s="1338" t="s">
        <v>102</v>
      </c>
      <c r="U37" s="1339" t="e">
        <f t="shared" si="13"/>
        <v>#N/A</v>
      </c>
      <c r="V37" s="1338" t="s">
        <v>102</v>
      </c>
      <c r="W37" s="1339" t="e">
        <f t="shared" si="14"/>
        <v>#N/A</v>
      </c>
      <c r="X37" s="287"/>
      <c r="Y37" s="3668"/>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66" t="s">
        <v>68</v>
      </c>
      <c r="Q38" s="1347" t="str">
        <f t="shared" si="11"/>
        <v>物业管理</v>
      </c>
      <c r="R38" s="1348" t="s">
        <v>102</v>
      </c>
      <c r="S38" s="1349">
        <f t="shared" si="12"/>
        <v>100</v>
      </c>
      <c r="T38" s="1348" t="s">
        <v>102</v>
      </c>
      <c r="U38" s="1349">
        <f t="shared" si="13"/>
        <v>100</v>
      </c>
      <c r="V38" s="1348" t="s">
        <v>102</v>
      </c>
      <c r="W38" s="1349">
        <f t="shared" si="14"/>
        <v>100</v>
      </c>
      <c r="X38" s="1336"/>
      <c r="Y38" s="3668"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66"/>
      <c r="Q39" s="1347" t="str">
        <f t="shared" si="11"/>
        <v>市政基础设施</v>
      </c>
      <c r="R39" s="1348" t="s">
        <v>102</v>
      </c>
      <c r="S39" s="1349">
        <f t="shared" si="12"/>
        <v>100</v>
      </c>
      <c r="T39" s="1348" t="s">
        <v>102</v>
      </c>
      <c r="U39" s="1349">
        <f t="shared" si="13"/>
        <v>100</v>
      </c>
      <c r="V39" s="1348" t="s">
        <v>102</v>
      </c>
      <c r="W39" s="1349">
        <f t="shared" si="14"/>
        <v>100</v>
      </c>
      <c r="X39" s="1336"/>
      <c r="Y39" s="3668"/>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66"/>
      <c r="Q40" s="1347" t="str">
        <f t="shared" si="11"/>
        <v>房型</v>
      </c>
      <c r="R40" s="1348" t="s">
        <v>102</v>
      </c>
      <c r="S40" s="1349">
        <f t="shared" si="12"/>
        <v>100</v>
      </c>
      <c r="T40" s="1348" t="s">
        <v>102</v>
      </c>
      <c r="U40" s="1349">
        <f t="shared" si="13"/>
        <v>100</v>
      </c>
      <c r="V40" s="1348" t="s">
        <v>102</v>
      </c>
      <c r="W40" s="1349">
        <f t="shared" si="14"/>
        <v>100</v>
      </c>
      <c r="X40" s="1336"/>
      <c r="Y40" s="3668"/>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66"/>
      <c r="Q41" s="1355" t="str">
        <f t="shared" si="11"/>
        <v>单套/主力户型建筑面积</v>
      </c>
      <c r="R41" s="1356" t="s">
        <v>102</v>
      </c>
      <c r="S41" s="1357">
        <f t="shared" si="12"/>
        <v>100</v>
      </c>
      <c r="T41" s="1356" t="s">
        <v>102</v>
      </c>
      <c r="U41" s="1357">
        <f t="shared" si="13"/>
        <v>100</v>
      </c>
      <c r="V41" s="1356" t="s">
        <v>102</v>
      </c>
      <c r="W41" s="1357">
        <f t="shared" si="14"/>
        <v>100</v>
      </c>
      <c r="X41" s="1358"/>
      <c r="Y41" s="3668"/>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66"/>
      <c r="Q42" s="1347" t="str">
        <f t="shared" si="11"/>
        <v>内部装修</v>
      </c>
      <c r="R42" s="1348" t="s">
        <v>102</v>
      </c>
      <c r="S42" s="1349">
        <f t="shared" si="12"/>
        <v>100</v>
      </c>
      <c r="T42" s="1348" t="s">
        <v>102</v>
      </c>
      <c r="U42" s="1349">
        <f t="shared" si="13"/>
        <v>100</v>
      </c>
      <c r="V42" s="1348" t="s">
        <v>102</v>
      </c>
      <c r="W42" s="1349">
        <f t="shared" si="14"/>
        <v>100</v>
      </c>
      <c r="X42" s="1336"/>
      <c r="Y42" s="3668"/>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66"/>
      <c r="Q43" s="1347" t="str">
        <f t="shared" si="11"/>
        <v>内部装修维护情况</v>
      </c>
      <c r="R43" s="1348" t="s">
        <v>102</v>
      </c>
      <c r="S43" s="1349">
        <f t="shared" si="12"/>
        <v>100</v>
      </c>
      <c r="T43" s="1348" t="s">
        <v>102</v>
      </c>
      <c r="U43" s="1349">
        <f t="shared" si="13"/>
        <v>100</v>
      </c>
      <c r="V43" s="1348" t="s">
        <v>102</v>
      </c>
      <c r="W43" s="1349">
        <f t="shared" si="14"/>
        <v>100</v>
      </c>
      <c r="X43" s="1336"/>
      <c r="Y43" s="3668"/>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66"/>
      <c r="Q44" s="7">
        <f t="shared" si="11"/>
        <v>111</v>
      </c>
      <c r="R44" s="1338" t="s">
        <v>102</v>
      </c>
      <c r="S44" s="1339">
        <f t="shared" si="12"/>
        <v>100</v>
      </c>
      <c r="T44" s="1338" t="s">
        <v>102</v>
      </c>
      <c r="U44" s="1339">
        <f t="shared" si="13"/>
        <v>100</v>
      </c>
      <c r="V44" s="1338" t="s">
        <v>102</v>
      </c>
      <c r="W44" s="1339">
        <f t="shared" si="14"/>
        <v>100</v>
      </c>
      <c r="X44" s="287"/>
      <c r="Y44" s="3668"/>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66"/>
      <c r="Q45" s="1347">
        <f t="shared" si="11"/>
        <v>111</v>
      </c>
      <c r="R45" s="1348" t="s">
        <v>102</v>
      </c>
      <c r="S45" s="1349">
        <f t="shared" si="12"/>
        <v>100</v>
      </c>
      <c r="T45" s="1348" t="s">
        <v>102</v>
      </c>
      <c r="U45" s="1349">
        <f t="shared" si="13"/>
        <v>100</v>
      </c>
      <c r="V45" s="1348" t="s">
        <v>102</v>
      </c>
      <c r="W45" s="1349">
        <f t="shared" si="14"/>
        <v>100</v>
      </c>
      <c r="X45" s="1336"/>
      <c r="Y45" s="3668"/>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67"/>
      <c r="Q46" s="1347">
        <f t="shared" si="11"/>
        <v>111</v>
      </c>
      <c r="R46" s="1348" t="s">
        <v>101</v>
      </c>
      <c r="S46" s="1349">
        <f t="shared" si="12"/>
        <v>100</v>
      </c>
      <c r="T46" s="1348" t="s">
        <v>101</v>
      </c>
      <c r="U46" s="1349">
        <f t="shared" si="13"/>
        <v>100</v>
      </c>
      <c r="V46" s="1348" t="s">
        <v>101</v>
      </c>
      <c r="W46" s="1349">
        <f t="shared" si="14"/>
        <v>100</v>
      </c>
      <c r="X46" s="1336"/>
      <c r="Y46" s="3669"/>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61" t="str">
        <f>A47</f>
        <v>成交单价（元/平方米）</v>
      </c>
      <c r="Q47" s="3661"/>
      <c r="R47" s="3662">
        <f>E47</f>
        <v>0</v>
      </c>
      <c r="S47" s="3662"/>
      <c r="T47" s="3662">
        <f>G47</f>
        <v>0</v>
      </c>
      <c r="U47" s="3662"/>
      <c r="V47" s="3662">
        <f>I47</f>
        <v>0</v>
      </c>
      <c r="W47" s="3662"/>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58" t="str">
        <f>A49</f>
        <v>估价对象XX用房的比较价值（楼面单价，元/平方米）</v>
      </c>
      <c r="Q49" s="3659"/>
      <c r="R49" s="3660" t="e">
        <f>IF(F1="售价",ROUND(AVERAGE(R48:V48),0),ROUND(AVERAGE(R48:V48),1))</f>
        <v>#DIV/0!</v>
      </c>
      <c r="S49" s="3660"/>
      <c r="T49" s="3660"/>
      <c r="U49" s="3660"/>
      <c r="V49" s="3660"/>
      <c r="W49" s="366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50" sqref="C5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439309</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46376</v>
      </c>
      <c r="C3" s="142" t="s">
        <v>1067</v>
      </c>
      <c r="D3" s="742">
        <f>IF(D1="",'数据-汇总表'!E3,SUMIF('数据-汇总表'!$C19:$C33,D1,'数据-汇总表'!$E19:$E33))</f>
        <v>94727.57</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44" t="s">
        <v>1069</v>
      </c>
      <c r="D4" s="3645"/>
      <c r="E4" s="3646" t="s">
        <v>1070</v>
      </c>
      <c r="F4" s="3647"/>
      <c r="G4" s="3644" t="s">
        <v>1071</v>
      </c>
      <c r="H4" s="3645"/>
      <c r="I4" s="3644" t="s">
        <v>1072</v>
      </c>
      <c r="J4" s="3645"/>
      <c r="K4" s="187" t="s">
        <v>1073</v>
      </c>
      <c r="L4" s="2291"/>
      <c r="M4" s="2292"/>
      <c r="N4" s="2292"/>
      <c r="O4" s="2292"/>
      <c r="P4" s="3678" t="s">
        <v>1068</v>
      </c>
      <c r="Q4" s="3679"/>
      <c r="R4" s="3673" t="s">
        <v>1070</v>
      </c>
      <c r="S4" s="3674"/>
      <c r="T4" s="3673" t="s">
        <v>1071</v>
      </c>
      <c r="U4" s="3674"/>
      <c r="V4" s="3682" t="s">
        <v>1072</v>
      </c>
      <c r="W4" s="3682"/>
      <c r="X4" s="2331"/>
      <c r="Y4" s="3673" t="s">
        <v>1068</v>
      </c>
      <c r="Z4" s="3674"/>
      <c r="AA4" s="3672" t="s">
        <v>1070</v>
      </c>
      <c r="AB4" s="3672" t="s">
        <v>1071</v>
      </c>
      <c r="AC4" s="3675" t="s">
        <v>1072</v>
      </c>
    </row>
    <row r="5" spans="1:29">
      <c r="A5" s="146"/>
      <c r="B5" s="147"/>
      <c r="C5" s="3573" t="s">
        <v>1074</v>
      </c>
      <c r="D5" s="3574"/>
      <c r="E5" s="3571" t="s">
        <v>3243</v>
      </c>
      <c r="F5" s="3572"/>
      <c r="G5" s="3573" t="s">
        <v>3276</v>
      </c>
      <c r="H5" s="3574"/>
      <c r="I5" s="3573" t="s">
        <v>3279</v>
      </c>
      <c r="J5" s="3574"/>
      <c r="K5" s="187"/>
      <c r="L5" s="2291"/>
      <c r="M5" s="2292"/>
      <c r="N5" s="2292"/>
      <c r="O5" s="2292"/>
      <c r="P5" s="3680"/>
      <c r="Q5" s="3651"/>
      <c r="R5" s="3641"/>
      <c r="S5" s="3642"/>
      <c r="T5" s="3641"/>
      <c r="U5" s="3642"/>
      <c r="V5" s="3656"/>
      <c r="W5" s="3656"/>
      <c r="X5" s="2217"/>
      <c r="Y5" s="3641"/>
      <c r="Z5" s="3642"/>
      <c r="AA5" s="3635"/>
      <c r="AB5" s="3635"/>
      <c r="AC5" s="3676"/>
    </row>
    <row r="6" spans="1:29" ht="32.25" customHeight="1" thickBot="1">
      <c r="A6" s="148"/>
      <c r="B6" s="149"/>
      <c r="C6" s="3575" t="s">
        <v>1075</v>
      </c>
      <c r="D6" s="3576"/>
      <c r="E6" s="3577" t="s">
        <v>3271</v>
      </c>
      <c r="F6" s="3578"/>
      <c r="G6" s="3575" t="s">
        <v>3277</v>
      </c>
      <c r="H6" s="3576"/>
      <c r="I6" s="3575" t="s">
        <v>3280</v>
      </c>
      <c r="J6" s="3576"/>
      <c r="K6" s="187" t="s">
        <v>1076</v>
      </c>
      <c r="L6" s="2291"/>
      <c r="M6" s="2292"/>
      <c r="N6" s="2292"/>
      <c r="O6" s="2292"/>
      <c r="P6" s="3681"/>
      <c r="Q6" s="3653"/>
      <c r="R6" s="3641"/>
      <c r="S6" s="3642"/>
      <c r="T6" s="3654"/>
      <c r="U6" s="3655"/>
      <c r="V6" s="3656"/>
      <c r="W6" s="3656"/>
      <c r="X6" s="2217"/>
      <c r="Y6" s="3654"/>
      <c r="Z6" s="3655"/>
      <c r="AA6" s="3636"/>
      <c r="AB6" s="3636"/>
      <c r="AC6" s="3677"/>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3" t="s">
        <v>1077</v>
      </c>
      <c r="Q7" s="3657"/>
      <c r="R7" s="1338" t="s">
        <v>63</v>
      </c>
      <c r="S7" s="1339">
        <f t="shared" ref="S7:S15" si="0">F7</f>
        <v>98</v>
      </c>
      <c r="T7" s="1338" t="s">
        <v>63</v>
      </c>
      <c r="U7" s="1339">
        <f t="shared" ref="U7:U15" si="1">H7</f>
        <v>100</v>
      </c>
      <c r="V7" s="1338" t="s">
        <v>63</v>
      </c>
      <c r="W7" s="1339">
        <f t="shared" ref="W7:W15" si="2">J7</f>
        <v>96</v>
      </c>
      <c r="X7" s="287"/>
      <c r="Y7" s="3637" t="s">
        <v>1077</v>
      </c>
      <c r="Z7" s="3638"/>
      <c r="AA7" s="1340">
        <f>D7/F7</f>
        <v>1.0204081632653061</v>
      </c>
      <c r="AB7" s="1340">
        <f>D7/H7</f>
        <v>1</v>
      </c>
      <c r="AC7" s="2332">
        <f>D7/J7</f>
        <v>1.0416666666666667</v>
      </c>
    </row>
    <row r="8" spans="1:29" s="40" customFormat="1" ht="15" thickBot="1">
      <c r="A8" s="1010" t="s">
        <v>1078</v>
      </c>
      <c r="B8" s="1011"/>
      <c r="C8" s="1016" t="s">
        <v>1079</v>
      </c>
      <c r="D8" s="754">
        <v>100</v>
      </c>
      <c r="E8" s="1016" t="s">
        <v>3272</v>
      </c>
      <c r="F8" s="756">
        <f>SUMIF(62:62,E8,63:63)-SUMIF(62:62,C8,63:63)+100</f>
        <v>100</v>
      </c>
      <c r="G8" s="1016" t="s">
        <v>3272</v>
      </c>
      <c r="H8" s="754">
        <f>SUMIF(62:62,G8,63:63)-SUMIF(62:62,C8,63:63)+100</f>
        <v>100</v>
      </c>
      <c r="I8" s="1016" t="s">
        <v>3281</v>
      </c>
      <c r="J8" s="754">
        <f>SUMIF(62:62,I8,63:63)-SUMIF(62:62,C8,63:63)+100</f>
        <v>100</v>
      </c>
      <c r="K8" s="1015"/>
      <c r="L8" s="2293"/>
      <c r="M8" s="2255"/>
      <c r="N8" s="2255"/>
      <c r="O8" s="2255"/>
      <c r="P8" s="3683" t="s">
        <v>1014</v>
      </c>
      <c r="Q8" s="3638"/>
      <c r="R8" s="1338" t="s">
        <v>63</v>
      </c>
      <c r="S8" s="1339">
        <f t="shared" si="0"/>
        <v>100</v>
      </c>
      <c r="T8" s="1338" t="s">
        <v>63</v>
      </c>
      <c r="U8" s="1339">
        <f t="shared" si="1"/>
        <v>100</v>
      </c>
      <c r="V8" s="1338" t="s">
        <v>63</v>
      </c>
      <c r="W8" s="1339">
        <f t="shared" si="2"/>
        <v>100</v>
      </c>
      <c r="X8" s="287"/>
      <c r="Y8" s="3637" t="s">
        <v>1014</v>
      </c>
      <c r="Z8" s="3638"/>
      <c r="AA8" s="1340">
        <f t="shared" ref="AA8:AA47" si="3">D8/F8</f>
        <v>1</v>
      </c>
      <c r="AB8" s="1340">
        <f t="shared" ref="AB8:AB47" si="4">D8/H8</f>
        <v>1</v>
      </c>
      <c r="AC8" s="2332">
        <f t="shared" ref="AC8:AC47" si="5">D8/J8</f>
        <v>1</v>
      </c>
    </row>
    <row r="9" spans="1:29" s="40" customFormat="1" ht="14.25">
      <c r="A9" s="1017" t="s">
        <v>1015</v>
      </c>
      <c r="B9" s="62" t="s">
        <v>1016</v>
      </c>
      <c r="C9" s="1342" t="s">
        <v>3273</v>
      </c>
      <c r="D9" s="425">
        <v>100</v>
      </c>
      <c r="E9" s="1344" t="s">
        <v>3273</v>
      </c>
      <c r="F9" s="425">
        <f>SUMIF(64:64,E9,65:65)-SUMIF(64:64,C9,65:65)+100</f>
        <v>100</v>
      </c>
      <c r="G9" s="1343" t="s">
        <v>3273</v>
      </c>
      <c r="H9" s="425">
        <f>SUMIF(64:64,G9,65:65)-SUMIF(64:64,C9,65:65)+100</f>
        <v>100</v>
      </c>
      <c r="I9" s="1343" t="s">
        <v>3282</v>
      </c>
      <c r="J9" s="425">
        <f>SUMIF(64:64,I9,65:65)-SUMIF(64:64,C9,65:65)+100</f>
        <v>100</v>
      </c>
      <c r="K9" s="1015"/>
      <c r="L9" s="2293"/>
      <c r="M9" s="2255"/>
      <c r="N9" s="2255"/>
      <c r="O9" s="2255"/>
      <c r="P9" s="3643" t="s">
        <v>65</v>
      </c>
      <c r="Q9" s="2208" t="str">
        <f t="shared" ref="Q9:Q15" si="6">B9</f>
        <v>用途</v>
      </c>
      <c r="R9" s="1338" t="s">
        <v>63</v>
      </c>
      <c r="S9" s="1339">
        <f t="shared" si="0"/>
        <v>100</v>
      </c>
      <c r="T9" s="1338" t="s">
        <v>63</v>
      </c>
      <c r="U9" s="1339">
        <f t="shared" si="1"/>
        <v>100</v>
      </c>
      <c r="V9" s="1338" t="s">
        <v>63</v>
      </c>
      <c r="W9" s="1339">
        <f t="shared" si="2"/>
        <v>100</v>
      </c>
      <c r="X9" s="287"/>
      <c r="Y9" s="3430" t="s">
        <v>65</v>
      </c>
      <c r="Z9" s="2207" t="str">
        <f t="shared" ref="Z9:Z15" si="7">Q9</f>
        <v>用途</v>
      </c>
      <c r="AA9" s="1340">
        <f t="shared" si="3"/>
        <v>1</v>
      </c>
      <c r="AB9" s="1340">
        <f t="shared" si="4"/>
        <v>1</v>
      </c>
      <c r="AC9" s="2332">
        <f t="shared" si="5"/>
        <v>1</v>
      </c>
    </row>
    <row r="10" spans="1:29" s="92" customFormat="1" ht="27">
      <c r="A10" s="150"/>
      <c r="B10" s="12" t="s">
        <v>104</v>
      </c>
      <c r="C10" s="1345" t="s">
        <v>3244</v>
      </c>
      <c r="D10" s="426">
        <v>100</v>
      </c>
      <c r="E10" s="1345" t="s">
        <v>3244</v>
      </c>
      <c r="F10" s="426">
        <f>SUMIF(66:66,E10,67:67)-SUMIF(66:66,C10,67:67)+100</f>
        <v>100</v>
      </c>
      <c r="G10" s="1346" t="s">
        <v>3244</v>
      </c>
      <c r="H10" s="426">
        <f>SUMIF(66:66,G10,67:67)-SUMIF(66:66,C10,67:67)+100</f>
        <v>100</v>
      </c>
      <c r="I10" s="1345" t="s">
        <v>3244</v>
      </c>
      <c r="J10" s="426">
        <f>SUMIF(66:66,I10,67:67)-SUMIF(66:66,C10,67:67)+100</f>
        <v>100</v>
      </c>
      <c r="K10" s="952">
        <v>1</v>
      </c>
      <c r="L10" s="2294"/>
      <c r="M10" s="2295"/>
      <c r="N10" s="2295"/>
      <c r="O10" s="2295"/>
      <c r="P10" s="3643"/>
      <c r="Q10" s="2208" t="str">
        <f t="shared" si="6"/>
        <v>土地使用年限（年）</v>
      </c>
      <c r="R10" s="1338" t="s">
        <v>63</v>
      </c>
      <c r="S10" s="1339">
        <f t="shared" si="0"/>
        <v>100</v>
      </c>
      <c r="T10" s="1338" t="s">
        <v>63</v>
      </c>
      <c r="U10" s="1339">
        <f t="shared" si="1"/>
        <v>100</v>
      </c>
      <c r="V10" s="1338" t="s">
        <v>63</v>
      </c>
      <c r="W10" s="1339">
        <f t="shared" si="2"/>
        <v>100</v>
      </c>
      <c r="X10" s="287"/>
      <c r="Y10" s="3430"/>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43"/>
      <c r="Q11" s="2208" t="str">
        <f t="shared" si="6"/>
        <v>容积率</v>
      </c>
      <c r="R11" s="1338" t="s">
        <v>63</v>
      </c>
      <c r="S11" s="1339">
        <f t="shared" si="0"/>
        <v>99</v>
      </c>
      <c r="T11" s="1338" t="s">
        <v>63</v>
      </c>
      <c r="U11" s="1339">
        <f t="shared" si="1"/>
        <v>100</v>
      </c>
      <c r="V11" s="1338" t="s">
        <v>63</v>
      </c>
      <c r="W11" s="1339">
        <f t="shared" si="2"/>
        <v>100</v>
      </c>
      <c r="X11" s="287"/>
      <c r="Y11" s="3430"/>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43"/>
      <c r="Q12" s="2208">
        <f t="shared" si="6"/>
        <v>111</v>
      </c>
      <c r="R12" s="1338" t="s">
        <v>63</v>
      </c>
      <c r="S12" s="1339">
        <f t="shared" si="0"/>
        <v>100</v>
      </c>
      <c r="T12" s="1338" t="s">
        <v>63</v>
      </c>
      <c r="U12" s="1339">
        <f t="shared" si="1"/>
        <v>100</v>
      </c>
      <c r="V12" s="1338" t="s">
        <v>63</v>
      </c>
      <c r="W12" s="1339">
        <f t="shared" si="2"/>
        <v>100</v>
      </c>
      <c r="X12" s="287"/>
      <c r="Y12" s="3430"/>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43"/>
      <c r="Q13" s="2208">
        <f t="shared" si="6"/>
        <v>111</v>
      </c>
      <c r="R13" s="1338" t="s">
        <v>63</v>
      </c>
      <c r="S13" s="1339">
        <f t="shared" si="0"/>
        <v>100</v>
      </c>
      <c r="T13" s="1338" t="s">
        <v>63</v>
      </c>
      <c r="U13" s="1339">
        <f t="shared" si="1"/>
        <v>100</v>
      </c>
      <c r="V13" s="1338" t="s">
        <v>63</v>
      </c>
      <c r="W13" s="1339">
        <f t="shared" si="2"/>
        <v>100</v>
      </c>
      <c r="X13" s="287"/>
      <c r="Y13" s="3430"/>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43"/>
      <c r="Q14" s="2208">
        <f t="shared" si="6"/>
        <v>111</v>
      </c>
      <c r="R14" s="1338" t="s">
        <v>63</v>
      </c>
      <c r="S14" s="1339">
        <f t="shared" si="0"/>
        <v>100</v>
      </c>
      <c r="T14" s="1338" t="s">
        <v>63</v>
      </c>
      <c r="U14" s="1339">
        <f t="shared" si="1"/>
        <v>100</v>
      </c>
      <c r="V14" s="1338" t="s">
        <v>63</v>
      </c>
      <c r="W14" s="1339">
        <f t="shared" si="2"/>
        <v>100</v>
      </c>
      <c r="X14" s="287"/>
      <c r="Y14" s="3430"/>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70" t="s">
        <v>67</v>
      </c>
      <c r="Q15" s="2215" t="str">
        <f t="shared" si="6"/>
        <v>办公集聚程度</v>
      </c>
      <c r="R15" s="1348" t="s">
        <v>63</v>
      </c>
      <c r="S15" s="1349">
        <f t="shared" si="0"/>
        <v>100</v>
      </c>
      <c r="T15" s="1348" t="s">
        <v>63</v>
      </c>
      <c r="U15" s="1349">
        <f t="shared" si="1"/>
        <v>100</v>
      </c>
      <c r="V15" s="1348" t="s">
        <v>63</v>
      </c>
      <c r="W15" s="1349">
        <f t="shared" si="2"/>
        <v>97</v>
      </c>
      <c r="X15" s="2217"/>
      <c r="Y15" s="3663" t="s">
        <v>67</v>
      </c>
      <c r="Z15" s="2216" t="str">
        <f t="shared" si="7"/>
        <v>办公集聚程度</v>
      </c>
      <c r="AA15" s="1351">
        <f t="shared" si="3"/>
        <v>1</v>
      </c>
      <c r="AB15" s="1351">
        <f t="shared" si="4"/>
        <v>1</v>
      </c>
      <c r="AC15" s="2333">
        <f t="shared" si="5"/>
        <v>1.0309278350515463</v>
      </c>
    </row>
    <row r="16" spans="1:29" ht="14.25">
      <c r="A16" s="151"/>
      <c r="B16" s="209"/>
      <c r="C16" s="192" t="s">
        <v>3200</v>
      </c>
      <c r="D16" s="789"/>
      <c r="E16" s="97" t="s">
        <v>3200</v>
      </c>
      <c r="F16" s="789"/>
      <c r="G16" s="192" t="s">
        <v>3200</v>
      </c>
      <c r="H16" s="791"/>
      <c r="I16" s="97" t="s">
        <v>3199</v>
      </c>
      <c r="J16" s="789"/>
      <c r="K16" s="189"/>
      <c r="L16" s="2297"/>
      <c r="M16" s="2292"/>
      <c r="N16" s="2292"/>
      <c r="O16" s="2292"/>
      <c r="P16" s="3671"/>
      <c r="Q16" s="2215"/>
      <c r="R16" s="1348"/>
      <c r="S16" s="1349"/>
      <c r="T16" s="1348"/>
      <c r="U16" s="1349"/>
      <c r="V16" s="1348"/>
      <c r="W16" s="1349"/>
      <c r="X16" s="2217"/>
      <c r="Y16" s="3664"/>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71"/>
      <c r="Q17" s="2215" t="str">
        <f>B17</f>
        <v>交通便捷度</v>
      </c>
      <c r="R17" s="1348" t="s">
        <v>63</v>
      </c>
      <c r="S17" s="1349">
        <f>F17</f>
        <v>100</v>
      </c>
      <c r="T17" s="1348" t="s">
        <v>63</v>
      </c>
      <c r="U17" s="1349">
        <f>H17</f>
        <v>100</v>
      </c>
      <c r="V17" s="1348" t="s">
        <v>63</v>
      </c>
      <c r="W17" s="1349">
        <f>J17</f>
        <v>100</v>
      </c>
      <c r="X17" s="2217"/>
      <c r="Y17" s="3664"/>
      <c r="Z17" s="2216" t="str">
        <f>Q17</f>
        <v>交通便捷度</v>
      </c>
      <c r="AA17" s="1351">
        <f t="shared" si="3"/>
        <v>1</v>
      </c>
      <c r="AB17" s="1351">
        <f t="shared" si="4"/>
        <v>1</v>
      </c>
      <c r="AC17" s="2333">
        <f t="shared" si="5"/>
        <v>1</v>
      </c>
    </row>
    <row r="18" spans="1:29" ht="14.25">
      <c r="A18" s="151"/>
      <c r="B18" s="1031"/>
      <c r="C18" s="193" t="s">
        <v>3201</v>
      </c>
      <c r="D18" s="791"/>
      <c r="E18" s="104" t="s">
        <v>3201</v>
      </c>
      <c r="F18" s="791"/>
      <c r="G18" s="103" t="s">
        <v>3201</v>
      </c>
      <c r="H18" s="789"/>
      <c r="I18" s="103" t="s">
        <v>3201</v>
      </c>
      <c r="J18" s="789"/>
      <c r="K18" s="189"/>
      <c r="L18" s="2297"/>
      <c r="M18" s="2292"/>
      <c r="N18" s="2292"/>
      <c r="O18" s="2292"/>
      <c r="P18" s="3671"/>
      <c r="Q18" s="2215"/>
      <c r="R18" s="1348"/>
      <c r="S18" s="1349"/>
      <c r="T18" s="1348"/>
      <c r="U18" s="1349"/>
      <c r="V18" s="1348"/>
      <c r="W18" s="1349"/>
      <c r="X18" s="2217"/>
      <c r="Y18" s="3664"/>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71"/>
      <c r="Q19" s="2215" t="str">
        <f>B19</f>
        <v>公共配套设施</v>
      </c>
      <c r="R19" s="1348" t="s">
        <v>63</v>
      </c>
      <c r="S19" s="1349">
        <f>F19</f>
        <v>100</v>
      </c>
      <c r="T19" s="1348" t="s">
        <v>63</v>
      </c>
      <c r="U19" s="1349">
        <f>H19</f>
        <v>100</v>
      </c>
      <c r="V19" s="1348" t="s">
        <v>63</v>
      </c>
      <c r="W19" s="1349">
        <f>J19</f>
        <v>100</v>
      </c>
      <c r="X19" s="2217"/>
      <c r="Y19" s="3664"/>
      <c r="Z19" s="2216" t="str">
        <f>Q19</f>
        <v>公共配套设施</v>
      </c>
      <c r="AA19" s="1351">
        <f t="shared" si="3"/>
        <v>1</v>
      </c>
      <c r="AB19" s="1351">
        <f t="shared" si="4"/>
        <v>1</v>
      </c>
      <c r="AC19" s="2333">
        <f t="shared" si="5"/>
        <v>1</v>
      </c>
    </row>
    <row r="20" spans="1:29" ht="14.25">
      <c r="A20" s="151"/>
      <c r="B20" s="1031"/>
      <c r="C20" s="192" t="s">
        <v>3200</v>
      </c>
      <c r="D20" s="789"/>
      <c r="E20" s="99" t="s">
        <v>3200</v>
      </c>
      <c r="F20" s="789"/>
      <c r="G20" s="98" t="s">
        <v>3200</v>
      </c>
      <c r="H20" s="789"/>
      <c r="I20" s="98" t="s">
        <v>3200</v>
      </c>
      <c r="J20" s="789"/>
      <c r="K20" s="189"/>
      <c r="L20" s="2297"/>
      <c r="M20" s="2292"/>
      <c r="N20" s="2292"/>
      <c r="O20" s="2292"/>
      <c r="P20" s="3671"/>
      <c r="Q20" s="2215"/>
      <c r="R20" s="1348"/>
      <c r="S20" s="1349"/>
      <c r="T20" s="1348"/>
      <c r="U20" s="1349"/>
      <c r="V20" s="1348"/>
      <c r="W20" s="1349"/>
      <c r="X20" s="2217"/>
      <c r="Y20" s="3664"/>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2333">
        <f t="shared" ref="AC21" si="10">D21/J21</f>
        <v>1</v>
      </c>
    </row>
    <row r="22" spans="1:29" ht="14.25">
      <c r="A22" s="151"/>
      <c r="B22" s="1032"/>
      <c r="C22" s="193" t="s">
        <v>3202</v>
      </c>
      <c r="D22" s="789"/>
      <c r="E22" s="97" t="s">
        <v>3202</v>
      </c>
      <c r="F22" s="789"/>
      <c r="G22" s="192" t="s">
        <v>3202</v>
      </c>
      <c r="H22" s="789"/>
      <c r="I22" s="192" t="s">
        <v>3283</v>
      </c>
      <c r="J22" s="789"/>
      <c r="K22" s="2762"/>
      <c r="L22" s="2297"/>
      <c r="M22" s="2292"/>
      <c r="N22" s="2292"/>
      <c r="O22" s="2292"/>
      <c r="P22" s="3671"/>
      <c r="Q22" s="2742"/>
      <c r="R22" s="1348"/>
      <c r="S22" s="1349"/>
      <c r="T22" s="1348"/>
      <c r="U22" s="1349"/>
      <c r="V22" s="1348"/>
      <c r="W22" s="1349"/>
      <c r="X22" s="2744"/>
      <c r="Y22" s="3664"/>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71"/>
      <c r="Q23" s="2215" t="str">
        <f>B23</f>
        <v>环境质量</v>
      </c>
      <c r="R23" s="1348" t="s">
        <v>63</v>
      </c>
      <c r="S23" s="1349">
        <f>F23</f>
        <v>100</v>
      </c>
      <c r="T23" s="1348" t="s">
        <v>63</v>
      </c>
      <c r="U23" s="1349">
        <f>H23</f>
        <v>100</v>
      </c>
      <c r="V23" s="1348" t="s">
        <v>63</v>
      </c>
      <c r="W23" s="1349">
        <f>J23</f>
        <v>100</v>
      </c>
      <c r="X23" s="2217"/>
      <c r="Y23" s="3664"/>
      <c r="Z23" s="2216" t="str">
        <f>Q23</f>
        <v>环境质量</v>
      </c>
      <c r="AA23" s="1351">
        <f t="shared" si="3"/>
        <v>1</v>
      </c>
      <c r="AB23" s="1351">
        <f t="shared" si="4"/>
        <v>1</v>
      </c>
      <c r="AC23" s="2333">
        <f t="shared" si="5"/>
        <v>1</v>
      </c>
    </row>
    <row r="24" spans="1:29" ht="14.25">
      <c r="A24" s="151"/>
      <c r="B24" s="1032"/>
      <c r="C24" s="192" t="s">
        <v>3200</v>
      </c>
      <c r="D24" s="789"/>
      <c r="E24" s="99" t="s">
        <v>3200</v>
      </c>
      <c r="F24" s="789"/>
      <c r="G24" s="98" t="s">
        <v>3200</v>
      </c>
      <c r="H24" s="789"/>
      <c r="I24" s="98" t="s">
        <v>3284</v>
      </c>
      <c r="J24" s="789"/>
      <c r="K24" s="189"/>
      <c r="L24" s="2297"/>
      <c r="M24" s="2292"/>
      <c r="N24" s="2292"/>
      <c r="O24" s="2292"/>
      <c r="P24" s="3671"/>
      <c r="Q24" s="2215"/>
      <c r="R24" s="1348"/>
      <c r="S24" s="1349"/>
      <c r="T24" s="1348"/>
      <c r="U24" s="1349"/>
      <c r="V24" s="1348"/>
      <c r="W24" s="1349"/>
      <c r="X24" s="2217"/>
      <c r="Y24" s="3664"/>
      <c r="Z24" s="2216"/>
      <c r="AA24" s="1351">
        <v>1</v>
      </c>
      <c r="AB24" s="1351">
        <v>1</v>
      </c>
      <c r="AC24" s="2333">
        <v>1</v>
      </c>
    </row>
    <row r="25" spans="1:29" ht="27">
      <c r="A25" s="146"/>
      <c r="B25" s="1030" t="s">
        <v>142</v>
      </c>
      <c r="C25" s="194" t="s">
        <v>3245</v>
      </c>
      <c r="D25" s="776">
        <v>100</v>
      </c>
      <c r="E25" s="93"/>
      <c r="F25" s="776">
        <f>SUMIF(87:87,E26,88:88)-SUMIF(87:87,C26,88:88)+100</f>
        <v>100</v>
      </c>
      <c r="G25" s="194" t="s">
        <v>3245</v>
      </c>
      <c r="H25" s="776">
        <f>SUMIF(87:87,G26,88:88)-SUMIF(87:87,C26,88:88)+100</f>
        <v>100</v>
      </c>
      <c r="I25" s="93"/>
      <c r="J25" s="776">
        <f>SUMIF(87:87,I26,88:88)-SUMIF(87:87,C26,88:88)+100</f>
        <v>98</v>
      </c>
      <c r="K25" s="954">
        <v>2</v>
      </c>
      <c r="L25" s="2297"/>
      <c r="M25" s="2292"/>
      <c r="N25" s="2292"/>
      <c r="O25" s="2292"/>
      <c r="P25" s="3671"/>
      <c r="Q25" s="2215" t="str">
        <f>B25</f>
        <v>毗邻道路的类型与等级</v>
      </c>
      <c r="R25" s="1348" t="s">
        <v>63</v>
      </c>
      <c r="S25" s="1349">
        <f>F25</f>
        <v>100</v>
      </c>
      <c r="T25" s="1348" t="s">
        <v>63</v>
      </c>
      <c r="U25" s="1349">
        <f>H25</f>
        <v>100</v>
      </c>
      <c r="V25" s="1348" t="s">
        <v>63</v>
      </c>
      <c r="W25" s="1349">
        <f>J25</f>
        <v>98</v>
      </c>
      <c r="X25" s="2217"/>
      <c r="Y25" s="3664"/>
      <c r="Z25" s="2216" t="str">
        <f>Q25</f>
        <v>毗邻道路的类型与等级</v>
      </c>
      <c r="AA25" s="1351">
        <f t="shared" si="3"/>
        <v>1</v>
      </c>
      <c r="AB25" s="1351">
        <f t="shared" si="4"/>
        <v>1</v>
      </c>
      <c r="AC25" s="2333">
        <f t="shared" si="5"/>
        <v>1.0204081632653061</v>
      </c>
    </row>
    <row r="26" spans="1:29" ht="14.25">
      <c r="A26" s="146"/>
      <c r="B26" s="1031"/>
      <c r="C26" s="195" t="s">
        <v>3207</v>
      </c>
      <c r="D26" s="776"/>
      <c r="E26" s="182" t="s">
        <v>3207</v>
      </c>
      <c r="F26" s="776"/>
      <c r="G26" s="195" t="s">
        <v>3207</v>
      </c>
      <c r="H26" s="776"/>
      <c r="I26" s="182" t="s">
        <v>3209</v>
      </c>
      <c r="J26" s="776"/>
      <c r="K26" s="189"/>
      <c r="L26" s="2297"/>
      <c r="M26" s="2292"/>
      <c r="N26" s="2292"/>
      <c r="O26" s="2292"/>
      <c r="P26" s="3671"/>
      <c r="Q26" s="2215"/>
      <c r="R26" s="1348"/>
      <c r="S26" s="1349"/>
      <c r="T26" s="1348"/>
      <c r="U26" s="1349"/>
      <c r="V26" s="1348"/>
      <c r="W26" s="1349"/>
      <c r="X26" s="2217"/>
      <c r="Y26" s="3664"/>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71"/>
      <c r="Q27" s="2215" t="str">
        <f t="shared" ref="Q27:Q47" si="11">B27</f>
        <v>楼层</v>
      </c>
      <c r="R27" s="1348" t="s">
        <v>63</v>
      </c>
      <c r="S27" s="1349">
        <f>F27</f>
        <v>100</v>
      </c>
      <c r="T27" s="1348" t="s">
        <v>63</v>
      </c>
      <c r="U27" s="1349">
        <f>H27</f>
        <v>100</v>
      </c>
      <c r="V27" s="1348" t="s">
        <v>63</v>
      </c>
      <c r="W27" s="1349">
        <f>J27</f>
        <v>100</v>
      </c>
      <c r="X27" s="2217"/>
      <c r="Y27" s="3664"/>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71"/>
      <c r="Q28" s="2208" t="str">
        <f t="shared" si="11"/>
        <v>朝向</v>
      </c>
      <c r="R28" s="1338" t="s">
        <v>63</v>
      </c>
      <c r="S28" s="1339">
        <f>F28</f>
        <v>100</v>
      </c>
      <c r="T28" s="1338" t="s">
        <v>63</v>
      </c>
      <c r="U28" s="1339">
        <f>H28</f>
        <v>100</v>
      </c>
      <c r="V28" s="1338" t="s">
        <v>63</v>
      </c>
      <c r="W28" s="1339">
        <f>J28</f>
        <v>100</v>
      </c>
      <c r="X28" s="287"/>
      <c r="Y28" s="3664"/>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71"/>
      <c r="Q29" s="2215">
        <f t="shared" si="11"/>
        <v>111</v>
      </c>
      <c r="R29" s="1348" t="s">
        <v>63</v>
      </c>
      <c r="S29" s="1349">
        <f t="shared" ref="S29:S47" si="12">F29</f>
        <v>100</v>
      </c>
      <c r="T29" s="1348" t="s">
        <v>63</v>
      </c>
      <c r="U29" s="1349">
        <f t="shared" ref="U29:U47" si="13">H29</f>
        <v>100</v>
      </c>
      <c r="V29" s="1348" t="s">
        <v>63</v>
      </c>
      <c r="W29" s="1349">
        <f t="shared" ref="W29:W47" si="14">J29</f>
        <v>100</v>
      </c>
      <c r="X29" s="2217"/>
      <c r="Y29" s="3664"/>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71"/>
      <c r="Q30" s="2215">
        <f t="shared" si="11"/>
        <v>111</v>
      </c>
      <c r="R30" s="1348" t="s">
        <v>63</v>
      </c>
      <c r="S30" s="1349">
        <f t="shared" si="12"/>
        <v>100</v>
      </c>
      <c r="T30" s="1348" t="s">
        <v>63</v>
      </c>
      <c r="U30" s="1349">
        <f t="shared" si="13"/>
        <v>100</v>
      </c>
      <c r="V30" s="1348" t="s">
        <v>63</v>
      </c>
      <c r="W30" s="1349">
        <f t="shared" si="14"/>
        <v>100</v>
      </c>
      <c r="X30" s="2217"/>
      <c r="Y30" s="3664"/>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71"/>
      <c r="Q31" s="2215">
        <f t="shared" si="11"/>
        <v>111</v>
      </c>
      <c r="R31" s="1348" t="s">
        <v>63</v>
      </c>
      <c r="S31" s="1349">
        <f t="shared" si="12"/>
        <v>100</v>
      </c>
      <c r="T31" s="1348" t="s">
        <v>63</v>
      </c>
      <c r="U31" s="1349">
        <f t="shared" si="13"/>
        <v>100</v>
      </c>
      <c r="V31" s="1348" t="s">
        <v>63</v>
      </c>
      <c r="W31" s="1349">
        <f t="shared" si="14"/>
        <v>100</v>
      </c>
      <c r="X31" s="2217"/>
      <c r="Y31" s="3664"/>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71"/>
      <c r="Q32" s="2215">
        <f t="shared" si="11"/>
        <v>111</v>
      </c>
      <c r="R32" s="1348" t="s">
        <v>63</v>
      </c>
      <c r="S32" s="1349">
        <f t="shared" si="12"/>
        <v>100</v>
      </c>
      <c r="T32" s="1348" t="s">
        <v>63</v>
      </c>
      <c r="U32" s="1349">
        <f t="shared" si="13"/>
        <v>100</v>
      </c>
      <c r="V32" s="1348" t="s">
        <v>63</v>
      </c>
      <c r="W32" s="1349">
        <f t="shared" si="14"/>
        <v>100</v>
      </c>
      <c r="X32" s="2217"/>
      <c r="Y32" s="3664"/>
      <c r="Z32" s="2216">
        <f t="shared" si="15"/>
        <v>111</v>
      </c>
      <c r="AA32" s="1351">
        <f t="shared" si="3"/>
        <v>1</v>
      </c>
      <c r="AB32" s="1351">
        <f t="shared" si="4"/>
        <v>1</v>
      </c>
      <c r="AC32" s="2333">
        <f t="shared" si="5"/>
        <v>1</v>
      </c>
    </row>
    <row r="33" spans="1:29" ht="15">
      <c r="A33" s="155" t="s">
        <v>1081</v>
      </c>
      <c r="B33" s="62" t="s">
        <v>1082</v>
      </c>
      <c r="C33" s="197" t="s">
        <v>3248</v>
      </c>
      <c r="D33" s="807">
        <v>100</v>
      </c>
      <c r="E33" s="197" t="s">
        <v>3248</v>
      </c>
      <c r="F33" s="802">
        <f>SUMIF(101:101,E33,102:102)-SUMIF(101:101,C33,102:102)+100</f>
        <v>100</v>
      </c>
      <c r="G33" s="197" t="s">
        <v>3278</v>
      </c>
      <c r="H33" s="776">
        <f>SUMIF(101:101,G33,102:102)-SUMIF(101:101,C33,102:102)+100</f>
        <v>100</v>
      </c>
      <c r="I33" s="197" t="s">
        <v>3248</v>
      </c>
      <c r="J33" s="807">
        <f>SUMIF(101:101,I33,102:102)-SUMIF(101:101,C33,102:102)+100</f>
        <v>100</v>
      </c>
      <c r="K33" s="952">
        <v>5</v>
      </c>
      <c r="L33" s="2297"/>
      <c r="M33" s="2292"/>
      <c r="N33" s="2292"/>
      <c r="O33" s="2292"/>
      <c r="P33" s="3665" t="s">
        <v>1083</v>
      </c>
      <c r="Q33" s="2215" t="str">
        <f t="shared" si="11"/>
        <v>建筑类型</v>
      </c>
      <c r="R33" s="1348" t="s">
        <v>63</v>
      </c>
      <c r="S33" s="1349">
        <f t="shared" si="12"/>
        <v>100</v>
      </c>
      <c r="T33" s="1348" t="s">
        <v>63</v>
      </c>
      <c r="U33" s="1349">
        <f t="shared" si="13"/>
        <v>100</v>
      </c>
      <c r="V33" s="1348" t="s">
        <v>63</v>
      </c>
      <c r="W33" s="1349">
        <f t="shared" si="14"/>
        <v>100</v>
      </c>
      <c r="X33" s="2217"/>
      <c r="Y33" s="3668"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66"/>
      <c r="Q34" s="1355" t="str">
        <f t="shared" si="11"/>
        <v>项目建筑规模</v>
      </c>
      <c r="R34" s="1356" t="s">
        <v>63</v>
      </c>
      <c r="S34" s="1357">
        <f t="shared" si="12"/>
        <v>101</v>
      </c>
      <c r="T34" s="1356" t="s">
        <v>63</v>
      </c>
      <c r="U34" s="1357">
        <f t="shared" si="13"/>
        <v>101</v>
      </c>
      <c r="V34" s="1356" t="s">
        <v>63</v>
      </c>
      <c r="W34" s="1357">
        <f t="shared" si="14"/>
        <v>99</v>
      </c>
      <c r="X34" s="1358"/>
      <c r="Y34" s="3668"/>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3246</v>
      </c>
      <c r="D35" s="776">
        <v>100</v>
      </c>
      <c r="E35" s="107" t="s">
        <v>3247</v>
      </c>
      <c r="F35" s="802">
        <f>SUMIF(106:106,E35,107:107)-SUMIF(106:106,C35,107:107)+100</f>
        <v>100</v>
      </c>
      <c r="G35" s="107" t="s">
        <v>3246</v>
      </c>
      <c r="H35" s="776">
        <f>SUMIF(106:106,G35,107:107)-SUMIF(106:106,C35,107:107)+100</f>
        <v>100</v>
      </c>
      <c r="I35" s="107" t="s">
        <v>3285</v>
      </c>
      <c r="J35" s="776">
        <f>SUMIF(106:106,I35,107:107)-SUMIF(106:106,C35,107:107)+100</f>
        <v>100</v>
      </c>
      <c r="K35" s="952">
        <v>2</v>
      </c>
      <c r="L35" s="2297"/>
      <c r="M35" s="2292"/>
      <c r="N35" s="2292"/>
      <c r="O35" s="2292"/>
      <c r="P35" s="3666"/>
      <c r="Q35" s="2215" t="str">
        <f t="shared" si="11"/>
        <v>建筑结构</v>
      </c>
      <c r="R35" s="1348" t="s">
        <v>63</v>
      </c>
      <c r="S35" s="1349">
        <f t="shared" si="12"/>
        <v>100</v>
      </c>
      <c r="T35" s="1348" t="s">
        <v>63</v>
      </c>
      <c r="U35" s="1349">
        <f t="shared" si="13"/>
        <v>100</v>
      </c>
      <c r="V35" s="1348" t="s">
        <v>63</v>
      </c>
      <c r="W35" s="1349">
        <f t="shared" si="14"/>
        <v>100</v>
      </c>
      <c r="X35" s="2217"/>
      <c r="Y35" s="3668"/>
      <c r="Z35" s="2216" t="str">
        <f t="shared" si="15"/>
        <v>建筑结构</v>
      </c>
      <c r="AA35" s="1351">
        <f t="shared" si="3"/>
        <v>1</v>
      </c>
      <c r="AB35" s="1351">
        <f t="shared" si="4"/>
        <v>1</v>
      </c>
      <c r="AC35" s="2333">
        <f t="shared" si="5"/>
        <v>1</v>
      </c>
    </row>
    <row r="36" spans="1:29" ht="15">
      <c r="A36" s="161"/>
      <c r="B36" s="12" t="s">
        <v>131</v>
      </c>
      <c r="C36" s="107" t="s">
        <v>3252</v>
      </c>
      <c r="D36" s="776">
        <v>100</v>
      </c>
      <c r="E36" s="107" t="s">
        <v>3253</v>
      </c>
      <c r="F36" s="802">
        <f>SUMIF(108:108,E36,109:109)-SUMIF(108:108,C36,109:109)+100</f>
        <v>100</v>
      </c>
      <c r="G36" s="107" t="s">
        <v>3252</v>
      </c>
      <c r="H36" s="776">
        <f>SUMIF(108:108,G36,109:109)-SUMIF(108:108,C36,109:109)+100</f>
        <v>100</v>
      </c>
      <c r="I36" s="107" t="s">
        <v>3286</v>
      </c>
      <c r="J36" s="776">
        <f>SUMIF(108:108,I36,109:109)-SUMIF(108:108,C36,109:109)+100</f>
        <v>100</v>
      </c>
      <c r="K36" s="952">
        <v>2</v>
      </c>
      <c r="L36" s="2297"/>
      <c r="M36" s="2292"/>
      <c r="N36" s="2292"/>
      <c r="O36" s="2292"/>
      <c r="P36" s="3666"/>
      <c r="Q36" s="2215" t="str">
        <f t="shared" si="11"/>
        <v>公共部分装修</v>
      </c>
      <c r="R36" s="1348" t="s">
        <v>63</v>
      </c>
      <c r="S36" s="1349">
        <f t="shared" si="12"/>
        <v>100</v>
      </c>
      <c r="T36" s="1348" t="s">
        <v>63</v>
      </c>
      <c r="U36" s="1349">
        <f t="shared" si="13"/>
        <v>100</v>
      </c>
      <c r="V36" s="1348" t="s">
        <v>63</v>
      </c>
      <c r="W36" s="1349">
        <f t="shared" si="14"/>
        <v>100</v>
      </c>
      <c r="X36" s="2217"/>
      <c r="Y36" s="3668"/>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66"/>
      <c r="Q37" s="2215" t="str">
        <f t="shared" si="11"/>
        <v>成新度</v>
      </c>
      <c r="R37" s="1348" t="s">
        <v>63</v>
      </c>
      <c r="S37" s="1349">
        <f t="shared" si="12"/>
        <v>100</v>
      </c>
      <c r="T37" s="1348" t="s">
        <v>63</v>
      </c>
      <c r="U37" s="1349">
        <f t="shared" si="13"/>
        <v>100</v>
      </c>
      <c r="V37" s="1348" t="s">
        <v>63</v>
      </c>
      <c r="W37" s="1349">
        <f t="shared" si="14"/>
        <v>100</v>
      </c>
      <c r="X37" s="2217"/>
      <c r="Y37" s="3668"/>
      <c r="Z37" s="2216" t="str">
        <f t="shared" si="15"/>
        <v>成新度</v>
      </c>
      <c r="AA37" s="1351">
        <f t="shared" si="3"/>
        <v>1</v>
      </c>
      <c r="AB37" s="1351">
        <f t="shared" si="4"/>
        <v>1</v>
      </c>
      <c r="AC37" s="2333">
        <f t="shared" si="5"/>
        <v>1</v>
      </c>
    </row>
    <row r="38" spans="1:29" s="40" customFormat="1" ht="15">
      <c r="A38" s="1037"/>
      <c r="B38" s="12" t="s">
        <v>145</v>
      </c>
      <c r="C38" s="107" t="s">
        <v>3258</v>
      </c>
      <c r="D38" s="426">
        <v>100</v>
      </c>
      <c r="E38" s="107" t="s">
        <v>3259</v>
      </c>
      <c r="F38" s="802">
        <f>SUMIF(113:113,E38,114:114)-SUMIF(113:113,C38,114:114)+100</f>
        <v>100</v>
      </c>
      <c r="G38" s="107" t="s">
        <v>3259</v>
      </c>
      <c r="H38" s="776">
        <f>SUMIF(113:113,G38,114:114)-SUMIF(113:113,C38,114:114)+100</f>
        <v>100</v>
      </c>
      <c r="I38" s="107" t="s">
        <v>3287</v>
      </c>
      <c r="J38" s="776">
        <f>SUMIF(113:113,I38,114:114)-SUMIF(113:113,C38,114:114)+100</f>
        <v>100</v>
      </c>
      <c r="K38" s="952">
        <v>3</v>
      </c>
      <c r="L38" s="2293"/>
      <c r="M38" s="2255"/>
      <c r="N38" s="2255"/>
      <c r="O38" s="2255"/>
      <c r="P38" s="3666"/>
      <c r="Q38" s="2208" t="str">
        <f t="shared" si="11"/>
        <v>写字楼等级</v>
      </c>
      <c r="R38" s="1338" t="s">
        <v>63</v>
      </c>
      <c r="S38" s="1339">
        <f t="shared" si="12"/>
        <v>100</v>
      </c>
      <c r="T38" s="1338" t="s">
        <v>63</v>
      </c>
      <c r="U38" s="1339">
        <f t="shared" si="13"/>
        <v>100</v>
      </c>
      <c r="V38" s="1338" t="s">
        <v>63</v>
      </c>
      <c r="W38" s="1339">
        <f t="shared" si="14"/>
        <v>100</v>
      </c>
      <c r="X38" s="287"/>
      <c r="Y38" s="3668"/>
      <c r="Z38" s="2207" t="str">
        <f t="shared" si="15"/>
        <v>写字楼等级</v>
      </c>
      <c r="AA38" s="1340">
        <f t="shared" si="3"/>
        <v>1</v>
      </c>
      <c r="AB38" s="1340">
        <f t="shared" si="4"/>
        <v>1</v>
      </c>
      <c r="AC38" s="2332">
        <f t="shared" si="5"/>
        <v>1</v>
      </c>
    </row>
    <row r="39" spans="1:29" ht="15">
      <c r="A39" s="161"/>
      <c r="B39" s="12" t="s">
        <v>146</v>
      </c>
      <c r="C39" s="107" t="s">
        <v>3262</v>
      </c>
      <c r="D39" s="776">
        <v>100</v>
      </c>
      <c r="E39" s="107" t="s">
        <v>3263</v>
      </c>
      <c r="F39" s="802">
        <f>SUMIF(115:115,E39,116:116)-SUMIF(115:115,C39,116:116)+100</f>
        <v>100</v>
      </c>
      <c r="G39" s="107" t="s">
        <v>3263</v>
      </c>
      <c r="H39" s="776">
        <f>SUMIF(115:115,G39,116:116)-SUMIF(115:115,C39,116:116)+100</f>
        <v>100</v>
      </c>
      <c r="I39" s="107" t="s">
        <v>3288</v>
      </c>
      <c r="J39" s="776">
        <f>SUMIF(115:115,I39,116:116)-SUMIF(115:115,C39,116:116)+100</f>
        <v>100</v>
      </c>
      <c r="K39" s="952">
        <v>2</v>
      </c>
      <c r="L39" s="2297"/>
      <c r="M39" s="2292"/>
      <c r="N39" s="2292"/>
      <c r="O39" s="2292"/>
      <c r="P39" s="3666" t="s">
        <v>68</v>
      </c>
      <c r="Q39" s="2215" t="str">
        <f t="shared" si="11"/>
        <v>物业管理</v>
      </c>
      <c r="R39" s="1348" t="s">
        <v>63</v>
      </c>
      <c r="S39" s="1349">
        <f t="shared" si="12"/>
        <v>100</v>
      </c>
      <c r="T39" s="1348" t="s">
        <v>63</v>
      </c>
      <c r="U39" s="1349">
        <f t="shared" si="13"/>
        <v>100</v>
      </c>
      <c r="V39" s="1348" t="s">
        <v>63</v>
      </c>
      <c r="W39" s="1349">
        <f t="shared" si="14"/>
        <v>100</v>
      </c>
      <c r="X39" s="2217"/>
      <c r="Y39" s="3668" t="s">
        <v>68</v>
      </c>
      <c r="Z39" s="2216" t="str">
        <f t="shared" si="15"/>
        <v>物业管理</v>
      </c>
      <c r="AA39" s="1351">
        <f t="shared" si="3"/>
        <v>1</v>
      </c>
      <c r="AB39" s="1351">
        <f t="shared" si="4"/>
        <v>1</v>
      </c>
      <c r="AC39" s="2333">
        <f t="shared" si="5"/>
        <v>1</v>
      </c>
    </row>
    <row r="40" spans="1:29" ht="15">
      <c r="A40" s="161"/>
      <c r="B40" s="12" t="s">
        <v>2647</v>
      </c>
      <c r="C40" s="107" t="s">
        <v>3202</v>
      </c>
      <c r="D40" s="776">
        <v>100</v>
      </c>
      <c r="E40" s="107" t="s">
        <v>3267</v>
      </c>
      <c r="F40" s="802">
        <f>SUMIF(117:117,E40,118:118)-SUMIF(117:117,C40,118:118)+100</f>
        <v>98</v>
      </c>
      <c r="G40" s="107" t="s">
        <v>3226</v>
      </c>
      <c r="H40" s="776">
        <f>SUMIF(117:117,G40,118:118)-SUMIF(117:117,C40,118:118)+100</f>
        <v>99</v>
      </c>
      <c r="I40" s="107" t="s">
        <v>3289</v>
      </c>
      <c r="J40" s="776">
        <f>SUMIF(117:117,I40,118:118)-SUMIF(117:117,C40,118:118)+100</f>
        <v>98</v>
      </c>
      <c r="K40" s="952">
        <v>1</v>
      </c>
      <c r="L40" s="2297"/>
      <c r="M40" s="2292"/>
      <c r="N40" s="2292"/>
      <c r="O40" s="2292"/>
      <c r="P40" s="3666"/>
      <c r="Q40" s="2215" t="str">
        <f t="shared" si="11"/>
        <v>市政基础设施</v>
      </c>
      <c r="R40" s="1348" t="s">
        <v>63</v>
      </c>
      <c r="S40" s="1349">
        <f t="shared" si="12"/>
        <v>98</v>
      </c>
      <c r="T40" s="1348" t="s">
        <v>63</v>
      </c>
      <c r="U40" s="1349">
        <f t="shared" si="13"/>
        <v>99</v>
      </c>
      <c r="V40" s="1348" t="s">
        <v>63</v>
      </c>
      <c r="W40" s="1349">
        <f t="shared" si="14"/>
        <v>98</v>
      </c>
      <c r="X40" s="2217"/>
      <c r="Y40" s="3668"/>
      <c r="Z40" s="2216" t="str">
        <f t="shared" si="15"/>
        <v>市政基础设施</v>
      </c>
      <c r="AA40" s="1351">
        <f t="shared" si="3"/>
        <v>1.0204081632653061</v>
      </c>
      <c r="AB40" s="1351">
        <f t="shared" si="4"/>
        <v>1.0101010101010102</v>
      </c>
      <c r="AC40" s="2333">
        <f t="shared" si="5"/>
        <v>1.0204081632653061</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66"/>
      <c r="Q41" s="2215" t="str">
        <f t="shared" si="11"/>
        <v>层高</v>
      </c>
      <c r="R41" s="1348" t="s">
        <v>63</v>
      </c>
      <c r="S41" s="1349">
        <f t="shared" si="12"/>
        <v>100</v>
      </c>
      <c r="T41" s="1348" t="s">
        <v>63</v>
      </c>
      <c r="U41" s="1349">
        <f t="shared" si="13"/>
        <v>100</v>
      </c>
      <c r="V41" s="1348" t="s">
        <v>63</v>
      </c>
      <c r="W41" s="1349">
        <f t="shared" si="14"/>
        <v>97</v>
      </c>
      <c r="X41" s="2217"/>
      <c r="Y41" s="3668"/>
      <c r="Z41" s="2216" t="str">
        <f t="shared" si="15"/>
        <v>层高</v>
      </c>
      <c r="AA41" s="1351">
        <f t="shared" si="3"/>
        <v>1</v>
      </c>
      <c r="AB41" s="1351">
        <f t="shared" si="4"/>
        <v>1</v>
      </c>
      <c r="AC41" s="2333">
        <f t="shared" si="5"/>
        <v>1.0309278350515463</v>
      </c>
    </row>
    <row r="42" spans="1:29" s="1035" customFormat="1" ht="14.25">
      <c r="A42" s="1039"/>
      <c r="B42" s="191" t="s">
        <v>1084</v>
      </c>
      <c r="C42" s="775" t="s">
        <v>3275</v>
      </c>
      <c r="D42" s="776">
        <v>100</v>
      </c>
      <c r="E42" s="775" t="s">
        <v>3274</v>
      </c>
      <c r="F42" s="802">
        <f>SUMIF(121:121,E42,122:122)-SUMIF(121:121,C42,122:122)+100</f>
        <v>98</v>
      </c>
      <c r="G42" s="775" t="s">
        <v>3291</v>
      </c>
      <c r="H42" s="776">
        <f>SUMIF(121:121,G42,122:122)-SUMIF(121:121,C42,122:122)+100</f>
        <v>100</v>
      </c>
      <c r="I42" s="3345" t="s">
        <v>3290</v>
      </c>
      <c r="J42" s="776">
        <f>SUMIF(121:121,I42,122:122)-SUMIF(121:121,C42,122:122)+100</f>
        <v>100</v>
      </c>
      <c r="K42" s="188"/>
      <c r="L42" s="2296"/>
      <c r="M42" s="2298"/>
      <c r="N42" s="2298"/>
      <c r="O42" s="2298"/>
      <c r="P42" s="3666"/>
      <c r="Q42" s="1355" t="str">
        <f t="shared" si="11"/>
        <v>单套建筑面积</v>
      </c>
      <c r="R42" s="1356" t="s">
        <v>63</v>
      </c>
      <c r="S42" s="1357">
        <f t="shared" si="12"/>
        <v>98</v>
      </c>
      <c r="T42" s="1356" t="s">
        <v>63</v>
      </c>
      <c r="U42" s="1357">
        <f t="shared" si="13"/>
        <v>100</v>
      </c>
      <c r="V42" s="1356" t="s">
        <v>63</v>
      </c>
      <c r="W42" s="1357">
        <f t="shared" si="14"/>
        <v>100</v>
      </c>
      <c r="X42" s="1358"/>
      <c r="Y42" s="3668"/>
      <c r="Z42" s="1359" t="str">
        <f t="shared" si="15"/>
        <v>单套建筑面积</v>
      </c>
      <c r="AA42" s="1351">
        <f t="shared" si="3"/>
        <v>1.0204081632653061</v>
      </c>
      <c r="AB42" s="1351">
        <f t="shared" si="4"/>
        <v>1</v>
      </c>
      <c r="AC42" s="2333">
        <f t="shared" si="5"/>
        <v>1</v>
      </c>
    </row>
    <row r="43" spans="1:29" ht="15">
      <c r="A43" s="161"/>
      <c r="B43" s="12" t="s">
        <v>1085</v>
      </c>
      <c r="C43" s="107" t="s">
        <v>3256</v>
      </c>
      <c r="D43" s="776">
        <v>100</v>
      </c>
      <c r="E43" s="107" t="s">
        <v>3256</v>
      </c>
      <c r="F43" s="802">
        <f>SUMIF(123:123,E43,124:124)-SUMIF(123:123,C43,124:124)+100</f>
        <v>100</v>
      </c>
      <c r="G43" s="107" t="s">
        <v>3256</v>
      </c>
      <c r="H43" s="776">
        <f>SUMIF(123:123,G43,124:124)-SUMIF(123:123,C43,124:124)+100</f>
        <v>100</v>
      </c>
      <c r="I43" s="107" t="s">
        <v>3256</v>
      </c>
      <c r="J43" s="776">
        <f>SUMIF(123:123,I43,124:124)-SUMIF(123:123,C43,124:124)+100</f>
        <v>100</v>
      </c>
      <c r="K43" s="952">
        <v>3</v>
      </c>
      <c r="L43" s="2297"/>
      <c r="M43" s="2292"/>
      <c r="N43" s="2292"/>
      <c r="O43" s="2292"/>
      <c r="P43" s="3666"/>
      <c r="Q43" s="2215" t="str">
        <f t="shared" si="11"/>
        <v>内部装修</v>
      </c>
      <c r="R43" s="1348" t="s">
        <v>63</v>
      </c>
      <c r="S43" s="1349">
        <f t="shared" si="12"/>
        <v>100</v>
      </c>
      <c r="T43" s="1348" t="s">
        <v>63</v>
      </c>
      <c r="U43" s="1349">
        <f t="shared" si="13"/>
        <v>100</v>
      </c>
      <c r="V43" s="1348" t="s">
        <v>63</v>
      </c>
      <c r="W43" s="1349">
        <f t="shared" si="14"/>
        <v>100</v>
      </c>
      <c r="X43" s="2217"/>
      <c r="Y43" s="3668"/>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66"/>
      <c r="Q44" s="2215" t="str">
        <f t="shared" si="11"/>
        <v>内部装修维护情况</v>
      </c>
      <c r="R44" s="1348" t="s">
        <v>63</v>
      </c>
      <c r="S44" s="1349">
        <f t="shared" si="12"/>
        <v>100</v>
      </c>
      <c r="T44" s="1348" t="s">
        <v>63</v>
      </c>
      <c r="U44" s="1349">
        <f t="shared" si="13"/>
        <v>100</v>
      </c>
      <c r="V44" s="1348" t="s">
        <v>63</v>
      </c>
      <c r="W44" s="1349">
        <f t="shared" si="14"/>
        <v>100</v>
      </c>
      <c r="X44" s="2217"/>
      <c r="Y44" s="3668"/>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66"/>
      <c r="Q45" s="2208">
        <f t="shared" si="11"/>
        <v>111</v>
      </c>
      <c r="R45" s="1338" t="s">
        <v>63</v>
      </c>
      <c r="S45" s="1339">
        <f t="shared" si="12"/>
        <v>100</v>
      </c>
      <c r="T45" s="1338" t="s">
        <v>63</v>
      </c>
      <c r="U45" s="1339">
        <f t="shared" si="13"/>
        <v>100</v>
      </c>
      <c r="V45" s="1338" t="s">
        <v>63</v>
      </c>
      <c r="W45" s="1339">
        <f t="shared" si="14"/>
        <v>100</v>
      </c>
      <c r="X45" s="287"/>
      <c r="Y45" s="3668"/>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66"/>
      <c r="Q46" s="2215">
        <f t="shared" si="11"/>
        <v>111</v>
      </c>
      <c r="R46" s="1348" t="s">
        <v>63</v>
      </c>
      <c r="S46" s="1349">
        <f t="shared" si="12"/>
        <v>100</v>
      </c>
      <c r="T46" s="1348" t="s">
        <v>63</v>
      </c>
      <c r="U46" s="1349">
        <f t="shared" si="13"/>
        <v>100</v>
      </c>
      <c r="V46" s="1348" t="s">
        <v>63</v>
      </c>
      <c r="W46" s="1349">
        <f t="shared" si="14"/>
        <v>100</v>
      </c>
      <c r="X46" s="2217"/>
      <c r="Y46" s="3668"/>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67"/>
      <c r="Q47" s="2215">
        <f t="shared" si="11"/>
        <v>111</v>
      </c>
      <c r="R47" s="1348" t="s">
        <v>63</v>
      </c>
      <c r="S47" s="1349">
        <f t="shared" si="12"/>
        <v>100</v>
      </c>
      <c r="T47" s="1348" t="s">
        <v>63</v>
      </c>
      <c r="U47" s="1349">
        <f t="shared" si="13"/>
        <v>100</v>
      </c>
      <c r="V47" s="1348" t="s">
        <v>63</v>
      </c>
      <c r="W47" s="1349">
        <f t="shared" si="14"/>
        <v>100</v>
      </c>
      <c r="X47" s="2217"/>
      <c r="Y47" s="3669"/>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43" t="str">
        <f>A48</f>
        <v>成交单价（元/平方米）</v>
      </c>
      <c r="Q48" s="3661"/>
      <c r="R48" s="3662">
        <f>E48</f>
        <v>42000</v>
      </c>
      <c r="S48" s="3662"/>
      <c r="T48" s="3662">
        <f>G48</f>
        <v>48500</v>
      </c>
      <c r="U48" s="3662"/>
      <c r="V48" s="3662">
        <f>I48</f>
        <v>39500</v>
      </c>
      <c r="W48" s="3662"/>
      <c r="X48" s="156"/>
      <c r="Y48" s="1362"/>
      <c r="Z48" s="156"/>
      <c r="AA48" s="156"/>
      <c r="AB48" s="156"/>
      <c r="AC48" s="209"/>
    </row>
    <row r="49" spans="1:29" ht="15.75" thickBot="1">
      <c r="A49" s="165" t="s">
        <v>1030</v>
      </c>
      <c r="B49" s="166"/>
      <c r="C49" s="2838">
        <f>R50</f>
        <v>46376</v>
      </c>
      <c r="D49" s="2839"/>
      <c r="E49" s="2840">
        <f>R49</f>
        <v>44629</v>
      </c>
      <c r="F49" s="2840"/>
      <c r="G49" s="2838">
        <f>T49</f>
        <v>48505</v>
      </c>
      <c r="H49" s="2839"/>
      <c r="I49" s="2840">
        <f>V49</f>
        <v>45993</v>
      </c>
      <c r="J49" s="829"/>
      <c r="K49" s="1390"/>
      <c r="L49" s="2299"/>
      <c r="M49" s="2292"/>
      <c r="N49" s="2292"/>
      <c r="O49" s="2292"/>
      <c r="P49" s="3643" t="str">
        <f>A49</f>
        <v>比较价值（元/平方米）</v>
      </c>
      <c r="Q49" s="3661"/>
      <c r="R49" s="3662">
        <f>IF(F1="售价",ROUND(PRODUCT(R48,AA7:AA47),0),ROUND(PRODUCT(R48,AA7:AA47),1))</f>
        <v>44629</v>
      </c>
      <c r="S49" s="3662"/>
      <c r="T49" s="3662">
        <f>IF(F1="售价",ROUND(PRODUCT(T48,AB7:AB47),0),ROUND(PRODUCT(T48,AB7:AB47),1))</f>
        <v>48505</v>
      </c>
      <c r="U49" s="3662"/>
      <c r="V49" s="3662">
        <f>IF(F1="售价",ROUND(PRODUCT(V48,AC7:AC47),0),ROUND(PRODUCT(V48,AC7:AC47),1))</f>
        <v>45993</v>
      </c>
      <c r="W49" s="3662"/>
      <c r="X49" s="156"/>
      <c r="Y49" s="156"/>
      <c r="Z49" s="156"/>
      <c r="AA49" s="156"/>
      <c r="AB49" s="156"/>
      <c r="AC49" s="209"/>
    </row>
    <row r="50" spans="1:29" ht="15.75" thickBot="1">
      <c r="A50" s="115" t="s">
        <v>3011</v>
      </c>
      <c r="B50" s="116"/>
      <c r="C50" s="2842">
        <f>R50</f>
        <v>46376</v>
      </c>
      <c r="D50" s="2842"/>
      <c r="E50" s="2842"/>
      <c r="F50" s="2842"/>
      <c r="G50" s="2842"/>
      <c r="H50" s="2842"/>
      <c r="I50" s="2842"/>
      <c r="J50" s="834"/>
      <c r="K50" s="1391"/>
      <c r="L50" s="2299"/>
      <c r="M50" s="2292"/>
      <c r="N50" s="2292"/>
      <c r="O50" s="2292"/>
      <c r="P50" s="3684" t="str">
        <f>A50</f>
        <v>估价对象XX用房的比较价值（楼面单价，元/平方米）</v>
      </c>
      <c r="Q50" s="3685"/>
      <c r="R50" s="3686">
        <f>IF(F1="售价",ROUND(AVERAGE(R49:V49),0),ROUND(AVERAGE(R49:V49),1))</f>
        <v>46376</v>
      </c>
      <c r="S50" s="3686"/>
      <c r="T50" s="3686"/>
      <c r="U50" s="3686"/>
      <c r="V50" s="3686"/>
      <c r="W50" s="3686"/>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6.2595238095238148E-2</v>
      </c>
      <c r="F53" s="840" t="str">
        <f>IF(OR(E53&gt;=0.3,E53&lt;=-0.3),"超过30%","")</f>
        <v/>
      </c>
      <c r="G53" s="839">
        <f>IF(G48&lt;G49,G49/G48-1,G48/G49-1)</f>
        <v>1.0309278350506546E-4</v>
      </c>
      <c r="H53" s="840" t="str">
        <f>IF(OR(G53&gt;=0.3,G53&lt;=-0.3),"超过30%","")</f>
        <v/>
      </c>
      <c r="I53" s="839">
        <f>IF(I48&lt;I49,I49/I48-1,I48/I49-1)</f>
        <v>0.1643797468354431</v>
      </c>
      <c r="J53" s="840" t="str">
        <f>IF(OR(I53&gt;=0.3,I53&lt;=-0.3),"超过30%","")</f>
        <v/>
      </c>
      <c r="K53" s="2301"/>
      <c r="L53" s="2302"/>
      <c r="M53" s="2300"/>
      <c r="N53" s="2300"/>
      <c r="O53" s="2300"/>
    </row>
    <row r="54" spans="1:29" ht="13.5" customHeight="1">
      <c r="A54" s="2300"/>
      <c r="B54" s="2300"/>
      <c r="C54" s="837" t="s">
        <v>1000</v>
      </c>
      <c r="D54" s="841"/>
      <c r="E54" s="839">
        <f>IF(E49&lt;G49,G49/E49-1,E49/G49-1)</f>
        <v>8.6849358040735902E-2</v>
      </c>
      <c r="F54" s="840" t="str">
        <f>IF(OR(E54&gt;=0.2,E54&lt;=-0.2),"超过20%","")</f>
        <v/>
      </c>
      <c r="G54" s="839">
        <f>IF(G49&lt;I49,I49/G49-1,G49/I49-1)</f>
        <v>5.4617006935838042E-2</v>
      </c>
      <c r="H54" s="840" t="str">
        <f>IF(OR(G54&gt;=0.2,G54&lt;=-0.2),"超过20%","")</f>
        <v/>
      </c>
      <c r="I54" s="839">
        <f>IF(I49&lt;E49,E49/I49-1,I49/E49-1)</f>
        <v>3.056308678213715E-2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3205</v>
      </c>
      <c r="D87" s="139" t="s">
        <v>3204</v>
      </c>
      <c r="E87" s="139" t="s">
        <v>3206</v>
      </c>
      <c r="F87" s="139" t="s">
        <v>3208</v>
      </c>
      <c r="G87" s="139" t="s">
        <v>3210</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3249</v>
      </c>
      <c r="D101" s="122" t="s">
        <v>3250</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3247</v>
      </c>
      <c r="D106" s="139" t="s">
        <v>3251</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3253</v>
      </c>
      <c r="D108" s="139" t="s">
        <v>3254</v>
      </c>
      <c r="E108" s="139" t="s">
        <v>3255</v>
      </c>
      <c r="F108" s="131" t="s">
        <v>3257</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3259</v>
      </c>
      <c r="D113" s="139" t="s">
        <v>3260</v>
      </c>
      <c r="E113" s="139" t="s">
        <v>3261</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3263</v>
      </c>
      <c r="D115" s="139" t="s">
        <v>3264</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3265</v>
      </c>
      <c r="D117" s="139" t="s">
        <v>3266</v>
      </c>
      <c r="E117" s="139" t="s">
        <v>3267</v>
      </c>
      <c r="F117" s="139" t="s">
        <v>3268</v>
      </c>
      <c r="G117" s="139" t="s">
        <v>3269</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3292</v>
      </c>
      <c r="D121" s="894" t="s">
        <v>3293</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3253</v>
      </c>
      <c r="D123" s="139" t="s">
        <v>3254</v>
      </c>
      <c r="E123" s="139" t="s">
        <v>3255</v>
      </c>
      <c r="F123" s="131" t="s">
        <v>3257</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429826</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45375</v>
      </c>
      <c r="C3" s="142" t="s">
        <v>166</v>
      </c>
      <c r="D3" s="742">
        <f>IF(D1="",'数据-汇总表'!E3,SUMIF('数据-汇总表'!$C19:$C33,D1,'数据-汇总表'!$E19:$E33))</f>
        <v>94727.57</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44" t="s">
        <v>54</v>
      </c>
      <c r="D4" s="3645"/>
      <c r="E4" s="3646" t="s">
        <v>55</v>
      </c>
      <c r="F4" s="3647"/>
      <c r="G4" s="3644" t="s">
        <v>56</v>
      </c>
      <c r="H4" s="3645"/>
      <c r="I4" s="3644" t="s">
        <v>57</v>
      </c>
      <c r="J4" s="3645"/>
      <c r="K4" s="187" t="s">
        <v>58</v>
      </c>
      <c r="L4" s="2291"/>
      <c r="M4" s="2292"/>
      <c r="N4" s="2292"/>
      <c r="O4" s="2292"/>
      <c r="P4" s="3648" t="s">
        <v>53</v>
      </c>
      <c r="Q4" s="3649"/>
      <c r="R4" s="3639" t="s">
        <v>55</v>
      </c>
      <c r="S4" s="3640"/>
      <c r="T4" s="3639" t="s">
        <v>56</v>
      </c>
      <c r="U4" s="3640"/>
      <c r="V4" s="3656" t="s">
        <v>57</v>
      </c>
      <c r="W4" s="3656"/>
      <c r="X4" s="1336"/>
      <c r="Y4" s="3639" t="s">
        <v>53</v>
      </c>
      <c r="Z4" s="3640"/>
      <c r="AA4" s="3634" t="s">
        <v>55</v>
      </c>
      <c r="AB4" s="3656" t="s">
        <v>56</v>
      </c>
      <c r="AC4" s="3634" t="s">
        <v>57</v>
      </c>
    </row>
    <row r="5" spans="1:29">
      <c r="A5" s="146"/>
      <c r="B5" s="147"/>
      <c r="C5" s="3573" t="s">
        <v>59</v>
      </c>
      <c r="D5" s="3574"/>
      <c r="E5" s="3571" t="s">
        <v>3243</v>
      </c>
      <c r="F5" s="3572"/>
      <c r="G5" s="3573" t="s">
        <v>3327</v>
      </c>
      <c r="H5" s="3574"/>
      <c r="I5" s="3573" t="s">
        <v>3328</v>
      </c>
      <c r="J5" s="3574"/>
      <c r="K5" s="187"/>
      <c r="L5" s="2291"/>
      <c r="M5" s="2292"/>
      <c r="N5" s="2292"/>
      <c r="O5" s="2292"/>
      <c r="P5" s="3650"/>
      <c r="Q5" s="3651"/>
      <c r="R5" s="3641"/>
      <c r="S5" s="3642"/>
      <c r="T5" s="3641"/>
      <c r="U5" s="3642"/>
      <c r="V5" s="3656"/>
      <c r="W5" s="3656"/>
      <c r="X5" s="1336"/>
      <c r="Y5" s="3641"/>
      <c r="Z5" s="3642"/>
      <c r="AA5" s="3635"/>
      <c r="AB5" s="3656"/>
      <c r="AC5" s="3635"/>
    </row>
    <row r="6" spans="1:29" ht="14.25" thickBot="1">
      <c r="A6" s="148"/>
      <c r="B6" s="149"/>
      <c r="C6" s="3575" t="s">
        <v>61</v>
      </c>
      <c r="D6" s="3576"/>
      <c r="E6" s="3577" t="s">
        <v>3271</v>
      </c>
      <c r="F6" s="3578"/>
      <c r="G6" s="3575" t="s">
        <v>61</v>
      </c>
      <c r="H6" s="3576"/>
      <c r="I6" s="3575" t="s">
        <v>61</v>
      </c>
      <c r="J6" s="3576"/>
      <c r="K6" s="187" t="s">
        <v>115</v>
      </c>
      <c r="L6" s="2291"/>
      <c r="M6" s="2292"/>
      <c r="N6" s="2292"/>
      <c r="O6" s="2292"/>
      <c r="P6" s="3652"/>
      <c r="Q6" s="3653"/>
      <c r="R6" s="3641"/>
      <c r="S6" s="3642"/>
      <c r="T6" s="3654"/>
      <c r="U6" s="3655"/>
      <c r="V6" s="3656"/>
      <c r="W6" s="3656"/>
      <c r="X6" s="1336"/>
      <c r="Y6" s="3654"/>
      <c r="Z6" s="3655"/>
      <c r="AA6" s="3636"/>
      <c r="AB6" s="3656"/>
      <c r="AC6" s="3636"/>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37" t="s">
        <v>62</v>
      </c>
      <c r="Q7" s="3657"/>
      <c r="R7" s="1338" t="s">
        <v>63</v>
      </c>
      <c r="S7" s="1339">
        <f t="shared" ref="S7:S15" si="0">F7</f>
        <v>98</v>
      </c>
      <c r="T7" s="1338" t="s">
        <v>63</v>
      </c>
      <c r="U7" s="1339">
        <f t="shared" ref="U7:U15" si="1">H7</f>
        <v>99</v>
      </c>
      <c r="V7" s="1338" t="s">
        <v>63</v>
      </c>
      <c r="W7" s="1339">
        <f t="shared" ref="W7:W15" si="2">J7</f>
        <v>100</v>
      </c>
      <c r="X7" s="287"/>
      <c r="Y7" s="3637" t="s">
        <v>62</v>
      </c>
      <c r="Z7" s="3638"/>
      <c r="AA7" s="1340">
        <f>D7/F7</f>
        <v>1.0204081632653061</v>
      </c>
      <c r="AB7" s="1340">
        <f>D7/H7</f>
        <v>1.0101010101010102</v>
      </c>
      <c r="AC7" s="1340">
        <f>D7/J7</f>
        <v>1</v>
      </c>
    </row>
    <row r="8" spans="1:29" s="40" customFormat="1" ht="15" thickBot="1">
      <c r="A8" s="1010" t="s">
        <v>64</v>
      </c>
      <c r="B8" s="1011"/>
      <c r="C8" s="1016" t="s">
        <v>114</v>
      </c>
      <c r="D8" s="754">
        <v>100</v>
      </c>
      <c r="E8" s="1016" t="s">
        <v>3183</v>
      </c>
      <c r="F8" s="756">
        <f>SUMIF(61:61,E8,62:62)-SUMIF(61:61,C8,62:62)+100</f>
        <v>100</v>
      </c>
      <c r="G8" s="1016" t="s">
        <v>3183</v>
      </c>
      <c r="H8" s="754">
        <f>SUMIF(61:61,G8,62:62)-SUMIF(61:61,C8,62:62)+100</f>
        <v>100</v>
      </c>
      <c r="I8" s="1016" t="s">
        <v>3329</v>
      </c>
      <c r="J8" s="754">
        <f>SUMIF(61:61,I8,62:62)-SUMIF(61:61,C8,62:62)+100</f>
        <v>100</v>
      </c>
      <c r="K8" s="1015"/>
      <c r="L8" s="2293"/>
      <c r="M8" s="2255"/>
      <c r="N8" s="2255"/>
      <c r="O8" s="2255"/>
      <c r="P8" s="3637" t="s">
        <v>1014</v>
      </c>
      <c r="Q8" s="3638"/>
      <c r="R8" s="1338" t="s">
        <v>63</v>
      </c>
      <c r="S8" s="1339">
        <f t="shared" si="0"/>
        <v>100</v>
      </c>
      <c r="T8" s="1338" t="s">
        <v>63</v>
      </c>
      <c r="U8" s="1339">
        <f t="shared" si="1"/>
        <v>100</v>
      </c>
      <c r="V8" s="1338" t="s">
        <v>63</v>
      </c>
      <c r="W8" s="1339">
        <f t="shared" si="2"/>
        <v>100</v>
      </c>
      <c r="X8" s="287"/>
      <c r="Y8" s="3637" t="s">
        <v>1014</v>
      </c>
      <c r="Z8" s="3638"/>
      <c r="AA8" s="1340">
        <f t="shared" ref="AA8:AA46" si="3">D8/F8</f>
        <v>1</v>
      </c>
      <c r="AB8" s="1340">
        <f t="shared" ref="AB8:AB46" si="4">D8/H8</f>
        <v>1</v>
      </c>
      <c r="AC8" s="1340">
        <f t="shared" ref="AC8:AC46" si="5">D8/J8</f>
        <v>1</v>
      </c>
    </row>
    <row r="9" spans="1:29" s="40" customFormat="1" ht="14.25">
      <c r="A9" s="1017" t="s">
        <v>1015</v>
      </c>
      <c r="B9" s="62" t="s">
        <v>1016</v>
      </c>
      <c r="C9" s="1342" t="s">
        <v>3294</v>
      </c>
      <c r="D9" s="425">
        <v>100</v>
      </c>
      <c r="E9" s="1343" t="s">
        <v>3294</v>
      </c>
      <c r="F9" s="759">
        <f>SUMIF(63:63,E9,64:64)-SUMIF(63:63,C9,64:64)+100</f>
        <v>100</v>
      </c>
      <c r="G9" s="1343" t="s">
        <v>3294</v>
      </c>
      <c r="H9" s="425">
        <f>SUMIF(63:63,G9,64:64)-SUMIF(63:63,C9,64:64)+100</f>
        <v>100</v>
      </c>
      <c r="I9" s="1343" t="s">
        <v>3294</v>
      </c>
      <c r="J9" s="425">
        <f>SUMIF(63:63,I9,64:64)-SUMIF(63:63,C9,64:64)+100</f>
        <v>100</v>
      </c>
      <c r="K9" s="1015"/>
      <c r="L9" s="2293"/>
      <c r="M9" s="2255"/>
      <c r="N9" s="2255"/>
      <c r="O9" s="2255"/>
      <c r="P9" s="3643"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t="s">
        <v>3295</v>
      </c>
      <c r="D10" s="426">
        <v>100</v>
      </c>
      <c r="E10" s="1346" t="s">
        <v>3295</v>
      </c>
      <c r="F10" s="766">
        <f>SUMIF(65:65,E10,66:66)-SUMIF(65:65,C10,66:66)+100</f>
        <v>100</v>
      </c>
      <c r="G10" s="1345" t="s">
        <v>3295</v>
      </c>
      <c r="H10" s="426">
        <f>SUMIF(65:65,G10,66:66)-SUMIF(65:65,C10,66:66)+100</f>
        <v>100</v>
      </c>
      <c r="I10" s="1345" t="s">
        <v>3295</v>
      </c>
      <c r="J10" s="426">
        <f>SUMIF(65:65,I10,66:66)-SUMIF(65:65,C10,66:66)+100</f>
        <v>100</v>
      </c>
      <c r="K10" s="952"/>
      <c r="L10" s="2294"/>
      <c r="M10" s="2295"/>
      <c r="N10" s="2295"/>
      <c r="O10" s="2295"/>
      <c r="P10" s="3643"/>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43"/>
      <c r="Q11" s="7" t="str">
        <f t="shared" si="6"/>
        <v>容积率</v>
      </c>
      <c r="R11" s="1338" t="s">
        <v>63</v>
      </c>
      <c r="S11" s="1339">
        <f t="shared" si="0"/>
        <v>100</v>
      </c>
      <c r="T11" s="1338" t="s">
        <v>63</v>
      </c>
      <c r="U11" s="1339">
        <f t="shared" si="1"/>
        <v>100</v>
      </c>
      <c r="V11" s="1338" t="s">
        <v>63</v>
      </c>
      <c r="W11" s="1339">
        <f t="shared" si="2"/>
        <v>100</v>
      </c>
      <c r="X11" s="287"/>
      <c r="Y11" s="3430"/>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43"/>
      <c r="Q12" s="7">
        <f t="shared" si="6"/>
        <v>111</v>
      </c>
      <c r="R12" s="1338" t="s">
        <v>63</v>
      </c>
      <c r="S12" s="1339">
        <f t="shared" si="0"/>
        <v>100</v>
      </c>
      <c r="T12" s="1338" t="s">
        <v>63</v>
      </c>
      <c r="U12" s="1339">
        <f t="shared" si="1"/>
        <v>100</v>
      </c>
      <c r="V12" s="1338" t="s">
        <v>63</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43"/>
      <c r="Q13" s="7">
        <f t="shared" si="6"/>
        <v>111</v>
      </c>
      <c r="R13" s="1338" t="s">
        <v>63</v>
      </c>
      <c r="S13" s="1339">
        <f t="shared" si="0"/>
        <v>100</v>
      </c>
      <c r="T13" s="1338" t="s">
        <v>63</v>
      </c>
      <c r="U13" s="1339">
        <f t="shared" si="1"/>
        <v>100</v>
      </c>
      <c r="V13" s="1338" t="s">
        <v>63</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43"/>
      <c r="Q14" s="7">
        <f t="shared" si="6"/>
        <v>111</v>
      </c>
      <c r="R14" s="1338" t="s">
        <v>63</v>
      </c>
      <c r="S14" s="1339">
        <f t="shared" si="0"/>
        <v>100</v>
      </c>
      <c r="T14" s="1338" t="s">
        <v>63</v>
      </c>
      <c r="U14" s="1339">
        <f t="shared" si="1"/>
        <v>100</v>
      </c>
      <c r="V14" s="1338" t="s">
        <v>63</v>
      </c>
      <c r="W14" s="1339">
        <f t="shared" si="2"/>
        <v>100</v>
      </c>
      <c r="X14" s="287"/>
      <c r="Y14" s="3430"/>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70" t="s">
        <v>67</v>
      </c>
      <c r="Q15" s="1347" t="str">
        <f t="shared" si="6"/>
        <v>商业繁华度</v>
      </c>
      <c r="R15" s="1348" t="s">
        <v>63</v>
      </c>
      <c r="S15" s="1349">
        <f t="shared" si="0"/>
        <v>100</v>
      </c>
      <c r="T15" s="1348" t="s">
        <v>63</v>
      </c>
      <c r="U15" s="1349">
        <f t="shared" si="1"/>
        <v>100</v>
      </c>
      <c r="V15" s="1348" t="s">
        <v>63</v>
      </c>
      <c r="W15" s="1349">
        <f t="shared" si="2"/>
        <v>103</v>
      </c>
      <c r="X15" s="1336"/>
      <c r="Y15" s="3663" t="s">
        <v>67</v>
      </c>
      <c r="Z15" s="1350" t="str">
        <f t="shared" si="7"/>
        <v>商业繁华度</v>
      </c>
      <c r="AA15" s="1351">
        <f t="shared" si="3"/>
        <v>1</v>
      </c>
      <c r="AB15" s="1351">
        <f t="shared" si="4"/>
        <v>1</v>
      </c>
      <c r="AC15" s="1351">
        <f t="shared" si="5"/>
        <v>0.970873786407767</v>
      </c>
    </row>
    <row r="16" spans="1:29" ht="14.25">
      <c r="A16" s="151"/>
      <c r="B16" s="156"/>
      <c r="C16" s="97" t="s">
        <v>3199</v>
      </c>
      <c r="D16" s="789"/>
      <c r="E16" s="97" t="s">
        <v>3199</v>
      </c>
      <c r="F16" s="790"/>
      <c r="G16" s="97" t="s">
        <v>3199</v>
      </c>
      <c r="H16" s="791"/>
      <c r="I16" s="97" t="s">
        <v>3200</v>
      </c>
      <c r="J16" s="789"/>
      <c r="K16" s="189"/>
      <c r="L16" s="2297"/>
      <c r="M16" s="2292"/>
      <c r="N16" s="2292"/>
      <c r="O16" s="2292"/>
      <c r="P16" s="3671"/>
      <c r="Q16" s="1347"/>
      <c r="R16" s="1348"/>
      <c r="S16" s="1349"/>
      <c r="T16" s="1348"/>
      <c r="U16" s="1349"/>
      <c r="V16" s="1348"/>
      <c r="W16" s="1349"/>
      <c r="X16" s="1336"/>
      <c r="Y16" s="3664"/>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71"/>
      <c r="Q17" s="1347" t="str">
        <f>B17</f>
        <v>交通便捷度</v>
      </c>
      <c r="R17" s="1348" t="s">
        <v>63</v>
      </c>
      <c r="S17" s="1349">
        <f>F17</f>
        <v>100</v>
      </c>
      <c r="T17" s="1348" t="s">
        <v>63</v>
      </c>
      <c r="U17" s="1349">
        <f>H17</f>
        <v>100</v>
      </c>
      <c r="V17" s="1348" t="s">
        <v>63</v>
      </c>
      <c r="W17" s="1349">
        <f>J17</f>
        <v>98</v>
      </c>
      <c r="X17" s="1336"/>
      <c r="Y17" s="3664"/>
      <c r="Z17" s="1350" t="str">
        <f>Q17</f>
        <v>交通便捷度</v>
      </c>
      <c r="AA17" s="1351">
        <f t="shared" si="3"/>
        <v>1</v>
      </c>
      <c r="AB17" s="1351">
        <f t="shared" si="4"/>
        <v>1</v>
      </c>
      <c r="AC17" s="1351">
        <f t="shared" si="5"/>
        <v>1.0204081632653061</v>
      </c>
    </row>
    <row r="18" spans="1:29" ht="14.25">
      <c r="A18" s="151"/>
      <c r="B18" s="1036"/>
      <c r="C18" s="102" t="s">
        <v>3201</v>
      </c>
      <c r="D18" s="791"/>
      <c r="E18" s="103" t="s">
        <v>3201</v>
      </c>
      <c r="F18" s="794"/>
      <c r="G18" s="104" t="s">
        <v>3201</v>
      </c>
      <c r="H18" s="789"/>
      <c r="I18" s="103" t="s">
        <v>3200</v>
      </c>
      <c r="J18" s="789"/>
      <c r="K18" s="189"/>
      <c r="L18" s="2297"/>
      <c r="M18" s="2292"/>
      <c r="N18" s="2292"/>
      <c r="O18" s="2292"/>
      <c r="P18" s="3671"/>
      <c r="Q18" s="1347"/>
      <c r="R18" s="1348"/>
      <c r="S18" s="1349"/>
      <c r="T18" s="1348"/>
      <c r="U18" s="1349"/>
      <c r="V18" s="1348"/>
      <c r="W18" s="1349"/>
      <c r="X18" s="1336"/>
      <c r="Y18" s="3664"/>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3330</v>
      </c>
      <c r="J19" s="791">
        <f>SUMIF(80:80,I20,81:81)-SUMIF(80:80,C20,81:81)+100</f>
        <v>102</v>
      </c>
      <c r="K19" s="954">
        <v>2</v>
      </c>
      <c r="L19" s="2297"/>
      <c r="M19" s="2292"/>
      <c r="N19" s="2292"/>
      <c r="O19" s="2292"/>
      <c r="P19" s="3671"/>
      <c r="Q19" s="1347" t="str">
        <f>B19</f>
        <v>公共配套设施</v>
      </c>
      <c r="R19" s="1348" t="s">
        <v>63</v>
      </c>
      <c r="S19" s="1349">
        <f>F19</f>
        <v>100</v>
      </c>
      <c r="T19" s="1348" t="s">
        <v>63</v>
      </c>
      <c r="U19" s="1349">
        <f>H19</f>
        <v>100</v>
      </c>
      <c r="V19" s="1348" t="s">
        <v>63</v>
      </c>
      <c r="W19" s="1349">
        <f>J19</f>
        <v>102</v>
      </c>
      <c r="X19" s="1336"/>
      <c r="Y19" s="3664"/>
      <c r="Z19" s="1350" t="str">
        <f>Q19</f>
        <v>公共配套设施</v>
      </c>
      <c r="AA19" s="1351">
        <f t="shared" si="3"/>
        <v>1</v>
      </c>
      <c r="AB19" s="1351">
        <f t="shared" si="4"/>
        <v>1</v>
      </c>
      <c r="AC19" s="1351">
        <f t="shared" si="5"/>
        <v>0.98039215686274506</v>
      </c>
    </row>
    <row r="20" spans="1:29" ht="14.25">
      <c r="A20" s="151"/>
      <c r="B20" s="1036"/>
      <c r="C20" s="97" t="s">
        <v>3200</v>
      </c>
      <c r="D20" s="789"/>
      <c r="E20" s="98" t="s">
        <v>3200</v>
      </c>
      <c r="F20" s="790"/>
      <c r="G20" s="99" t="s">
        <v>3200</v>
      </c>
      <c r="H20" s="789"/>
      <c r="I20" s="98" t="s">
        <v>3201</v>
      </c>
      <c r="J20" s="789"/>
      <c r="K20" s="189"/>
      <c r="L20" s="2297"/>
      <c r="M20" s="2292"/>
      <c r="N20" s="2292"/>
      <c r="O20" s="2292"/>
      <c r="P20" s="3671"/>
      <c r="Q20" s="1347"/>
      <c r="R20" s="1348"/>
      <c r="S20" s="1349"/>
      <c r="T20" s="1348"/>
      <c r="U20" s="1349"/>
      <c r="V20" s="1348"/>
      <c r="W20" s="1349"/>
      <c r="X20" s="1336"/>
      <c r="Y20" s="3664"/>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t="s">
        <v>3202</v>
      </c>
      <c r="D22" s="789"/>
      <c r="E22" s="97" t="s">
        <v>3202</v>
      </c>
      <c r="F22" s="790"/>
      <c r="G22" s="97" t="s">
        <v>3202</v>
      </c>
      <c r="H22" s="789"/>
      <c r="I22" s="97" t="s">
        <v>3202</v>
      </c>
      <c r="J22" s="789"/>
      <c r="K22" s="2762"/>
      <c r="L22" s="2297"/>
      <c r="M22" s="2292"/>
      <c r="N22" s="2292"/>
      <c r="O22" s="2292"/>
      <c r="P22" s="3671"/>
      <c r="Q22" s="2742"/>
      <c r="R22" s="1348"/>
      <c r="S22" s="1349"/>
      <c r="T22" s="1348"/>
      <c r="U22" s="1349"/>
      <c r="V22" s="1348"/>
      <c r="W22" s="1349"/>
      <c r="X22" s="2744"/>
      <c r="Y22" s="3664"/>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3331</v>
      </c>
      <c r="J23" s="791">
        <f>SUMIF(84:84,I24,85:85)-SUMIF(84:84,C24,85:85)+100</f>
        <v>100</v>
      </c>
      <c r="K23" s="954">
        <v>2</v>
      </c>
      <c r="L23" s="2297"/>
      <c r="M23" s="2292"/>
      <c r="N23" s="2292"/>
      <c r="O23" s="2292"/>
      <c r="P23" s="3671"/>
      <c r="Q23" s="1347" t="str">
        <f>B23</f>
        <v>自然及人文环境</v>
      </c>
      <c r="R23" s="1348" t="s">
        <v>63</v>
      </c>
      <c r="S23" s="1349">
        <f>F23</f>
        <v>100</v>
      </c>
      <c r="T23" s="1348" t="s">
        <v>63</v>
      </c>
      <c r="U23" s="1349">
        <f>H23</f>
        <v>100</v>
      </c>
      <c r="V23" s="1348" t="s">
        <v>63</v>
      </c>
      <c r="W23" s="1349">
        <f>J23</f>
        <v>100</v>
      </c>
      <c r="X23" s="1336"/>
      <c r="Y23" s="3664"/>
      <c r="Z23" s="1350" t="str">
        <f>Q23</f>
        <v>自然及人文环境</v>
      </c>
      <c r="AA23" s="1351">
        <f t="shared" si="3"/>
        <v>1</v>
      </c>
      <c r="AB23" s="1351">
        <f t="shared" si="4"/>
        <v>1</v>
      </c>
      <c r="AC23" s="1351">
        <f t="shared" si="5"/>
        <v>1</v>
      </c>
    </row>
    <row r="24" spans="1:29" ht="14.25">
      <c r="A24" s="151"/>
      <c r="B24" s="1036"/>
      <c r="C24" s="97" t="s">
        <v>3200</v>
      </c>
      <c r="D24" s="789"/>
      <c r="E24" s="98" t="s">
        <v>3200</v>
      </c>
      <c r="F24" s="790"/>
      <c r="G24" s="99" t="s">
        <v>3200</v>
      </c>
      <c r="H24" s="789"/>
      <c r="I24" s="98" t="s">
        <v>3200</v>
      </c>
      <c r="J24" s="789"/>
      <c r="K24" s="189"/>
      <c r="L24" s="2297"/>
      <c r="M24" s="2292"/>
      <c r="N24" s="2292"/>
      <c r="O24" s="2292"/>
      <c r="P24" s="3671"/>
      <c r="Q24" s="1347"/>
      <c r="R24" s="1348"/>
      <c r="S24" s="1349"/>
      <c r="T24" s="1348"/>
      <c r="U24" s="1349"/>
      <c r="V24" s="1348"/>
      <c r="W24" s="1349"/>
      <c r="X24" s="1336"/>
      <c r="Y24" s="3664"/>
      <c r="Z24" s="1350"/>
      <c r="AA24" s="1351">
        <v>1</v>
      </c>
      <c r="AB24" s="1351">
        <v>1</v>
      </c>
      <c r="AC24" s="1351">
        <v>1</v>
      </c>
    </row>
    <row r="25" spans="1:29" ht="15">
      <c r="A25" s="151"/>
      <c r="B25" s="12" t="s">
        <v>129</v>
      </c>
      <c r="C25" s="182" t="s">
        <v>3220</v>
      </c>
      <c r="D25" s="776">
        <v>100</v>
      </c>
      <c r="E25" s="182" t="s">
        <v>3220</v>
      </c>
      <c r="F25" s="802">
        <f>SUMIF(86:86,E25,87:87)-SUMIF(86:86,C25,87:87)+100</f>
        <v>100</v>
      </c>
      <c r="G25" s="182" t="s">
        <v>3220</v>
      </c>
      <c r="H25" s="776">
        <f>SUMIF(86:86,G25,87:87)-SUMIF(86:86,C25,87:87)+100</f>
        <v>100</v>
      </c>
      <c r="I25" s="182" t="s">
        <v>3220</v>
      </c>
      <c r="J25" s="776">
        <f>SUMIF(86:86,I25,87:87)-SUMIF(86:86,C25,87:87)+100</f>
        <v>100</v>
      </c>
      <c r="K25" s="952">
        <v>2</v>
      </c>
      <c r="L25" s="2297"/>
      <c r="M25" s="2292"/>
      <c r="N25" s="2292"/>
      <c r="O25" s="2292"/>
      <c r="P25" s="3671"/>
      <c r="Q25" s="1347" t="str">
        <f t="shared" ref="Q25:Q46" si="11">B25</f>
        <v>临街状况</v>
      </c>
      <c r="R25" s="1348" t="s">
        <v>63</v>
      </c>
      <c r="S25" s="1349">
        <f>F25</f>
        <v>100</v>
      </c>
      <c r="T25" s="1348" t="s">
        <v>63</v>
      </c>
      <c r="U25" s="1349">
        <f>H25</f>
        <v>100</v>
      </c>
      <c r="V25" s="1348" t="s">
        <v>63</v>
      </c>
      <c r="W25" s="1349">
        <f>J25</f>
        <v>100</v>
      </c>
      <c r="X25" s="1336"/>
      <c r="Y25" s="3664"/>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71"/>
      <c r="Q26" s="1347" t="str">
        <f t="shared" si="11"/>
        <v>平面位置/可视性</v>
      </c>
      <c r="R26" s="1348" t="s">
        <v>63</v>
      </c>
      <c r="S26" s="1349">
        <f>F26</f>
        <v>100</v>
      </c>
      <c r="T26" s="1348" t="s">
        <v>63</v>
      </c>
      <c r="U26" s="1349">
        <f>H26</f>
        <v>100</v>
      </c>
      <c r="V26" s="1348" t="s">
        <v>63</v>
      </c>
      <c r="W26" s="1349">
        <f>J26</f>
        <v>100</v>
      </c>
      <c r="X26" s="1336"/>
      <c r="Y26" s="3664"/>
      <c r="Z26" s="1350" t="str">
        <f>Q26</f>
        <v>平面位置/可视性</v>
      </c>
      <c r="AA26" s="1351">
        <f t="shared" si="3"/>
        <v>1</v>
      </c>
      <c r="AB26" s="1351">
        <f t="shared" si="4"/>
        <v>1</v>
      </c>
      <c r="AC26" s="1351">
        <f t="shared" si="5"/>
        <v>1</v>
      </c>
    </row>
    <row r="27" spans="1:29" s="40" customFormat="1" ht="15">
      <c r="A27" s="1026"/>
      <c r="B27" s="1352" t="s">
        <v>1018</v>
      </c>
      <c r="C27" s="1383" t="s">
        <v>3199</v>
      </c>
      <c r="D27" s="803">
        <v>100</v>
      </c>
      <c r="E27" s="1383" t="s">
        <v>3299</v>
      </c>
      <c r="F27" s="804">
        <f>SUMIF(90:90,E27,91:91)-SUMIF(90:90,C27,91:91)+100</f>
        <v>100</v>
      </c>
      <c r="G27" s="1383" t="s">
        <v>3299</v>
      </c>
      <c r="H27" s="803">
        <f>SUMIF(90:90,G27,91:91)-SUMIF(90:90,C27,91:91)+100</f>
        <v>100</v>
      </c>
      <c r="I27" s="1383" t="s">
        <v>3301</v>
      </c>
      <c r="J27" s="803">
        <f>SUMIF(90:90,I27,91:91)-SUMIF(90:90,C27,91:91)+100</f>
        <v>103</v>
      </c>
      <c r="K27" s="952">
        <v>3</v>
      </c>
      <c r="L27" s="2293"/>
      <c r="M27" s="2255"/>
      <c r="N27" s="2255"/>
      <c r="O27" s="2255"/>
      <c r="P27" s="3671"/>
      <c r="Q27" s="7" t="str">
        <f t="shared" si="11"/>
        <v>人流量</v>
      </c>
      <c r="R27" s="1338" t="s">
        <v>63</v>
      </c>
      <c r="S27" s="1339">
        <f>F27</f>
        <v>100</v>
      </c>
      <c r="T27" s="1338" t="s">
        <v>63</v>
      </c>
      <c r="U27" s="1339">
        <f>H27</f>
        <v>100</v>
      </c>
      <c r="V27" s="1338" t="s">
        <v>63</v>
      </c>
      <c r="W27" s="1339">
        <f>J27</f>
        <v>103</v>
      </c>
      <c r="X27" s="287"/>
      <c r="Y27" s="3664"/>
      <c r="Z27" s="288" t="str">
        <f>Q27</f>
        <v>人流量</v>
      </c>
      <c r="AA27" s="1351">
        <f>D27/F27</f>
        <v>1</v>
      </c>
      <c r="AB27" s="1351">
        <f>D27/H27</f>
        <v>1</v>
      </c>
      <c r="AC27" s="1351">
        <f>D27/J27</f>
        <v>0.970873786407767</v>
      </c>
    </row>
    <row r="28" spans="1:29" ht="14.25">
      <c r="A28" s="151"/>
      <c r="B28" s="12" t="s">
        <v>130</v>
      </c>
      <c r="C28" s="182" t="s">
        <v>3333</v>
      </c>
      <c r="D28" s="776">
        <v>100</v>
      </c>
      <c r="E28" s="182" t="s">
        <v>3333</v>
      </c>
      <c r="F28" s="802">
        <f>SUMIF(92:92,E28,93:93)-SUMIF(92:92,C28,93:93)+100</f>
        <v>100</v>
      </c>
      <c r="G28" s="182" t="s">
        <v>3333</v>
      </c>
      <c r="H28" s="776">
        <f>SUMIF(92:92,G28,93:93)-SUMIF(92:92,C28,93:93)+100</f>
        <v>100</v>
      </c>
      <c r="I28" s="182" t="s">
        <v>3333</v>
      </c>
      <c r="J28" s="776">
        <f>SUMIF(92:92,I28,93:93)-SUMIF(92:92,C28,93:93)+100</f>
        <v>100</v>
      </c>
      <c r="K28" s="188"/>
      <c r="L28" s="2297"/>
      <c r="M28" s="2292"/>
      <c r="N28" s="2292"/>
      <c r="O28" s="2292"/>
      <c r="P28" s="3671"/>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64"/>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71"/>
      <c r="Q29" s="1347">
        <f t="shared" si="11"/>
        <v>111</v>
      </c>
      <c r="R29" s="1348" t="s">
        <v>63</v>
      </c>
      <c r="S29" s="1349">
        <f t="shared" si="12"/>
        <v>100</v>
      </c>
      <c r="T29" s="1348" t="s">
        <v>63</v>
      </c>
      <c r="U29" s="1349">
        <f t="shared" si="13"/>
        <v>100</v>
      </c>
      <c r="V29" s="1348" t="s">
        <v>63</v>
      </c>
      <c r="W29" s="1349">
        <f t="shared" si="14"/>
        <v>100</v>
      </c>
      <c r="X29" s="1336"/>
      <c r="Y29" s="3664"/>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71"/>
      <c r="Q30" s="1347">
        <f t="shared" si="11"/>
        <v>111</v>
      </c>
      <c r="R30" s="1348" t="s">
        <v>63</v>
      </c>
      <c r="S30" s="1349">
        <f t="shared" si="12"/>
        <v>100</v>
      </c>
      <c r="T30" s="1348" t="s">
        <v>63</v>
      </c>
      <c r="U30" s="1349">
        <f t="shared" si="13"/>
        <v>100</v>
      </c>
      <c r="V30" s="1348" t="s">
        <v>63</v>
      </c>
      <c r="W30" s="1349">
        <f t="shared" si="14"/>
        <v>100</v>
      </c>
      <c r="X30" s="1336"/>
      <c r="Y30" s="3664"/>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71"/>
      <c r="Q31" s="1347">
        <f t="shared" si="11"/>
        <v>111</v>
      </c>
      <c r="R31" s="1348" t="s">
        <v>63</v>
      </c>
      <c r="S31" s="1349">
        <f t="shared" si="12"/>
        <v>100</v>
      </c>
      <c r="T31" s="1348" t="s">
        <v>63</v>
      </c>
      <c r="U31" s="1349">
        <f t="shared" si="13"/>
        <v>100</v>
      </c>
      <c r="V31" s="1348" t="s">
        <v>63</v>
      </c>
      <c r="W31" s="1349">
        <f t="shared" si="14"/>
        <v>100</v>
      </c>
      <c r="X31" s="1336"/>
      <c r="Y31" s="3664"/>
      <c r="Z31" s="1350">
        <f t="shared" si="15"/>
        <v>111</v>
      </c>
      <c r="AA31" s="1351">
        <f t="shared" si="3"/>
        <v>1</v>
      </c>
      <c r="AB31" s="1351">
        <f t="shared" si="4"/>
        <v>1</v>
      </c>
      <c r="AC31" s="1351">
        <f t="shared" si="5"/>
        <v>1</v>
      </c>
    </row>
    <row r="32" spans="1:29" ht="15">
      <c r="A32" s="155" t="s">
        <v>1019</v>
      </c>
      <c r="B32" s="62" t="s">
        <v>1020</v>
      </c>
      <c r="C32" s="110" t="s">
        <v>3306</v>
      </c>
      <c r="D32" s="807">
        <v>100</v>
      </c>
      <c r="E32" s="110" t="s">
        <v>3306</v>
      </c>
      <c r="F32" s="802">
        <f>SUMIF(100:100,E32,101:101)-SUMIF(100:100,C32,101:101)+100</f>
        <v>100</v>
      </c>
      <c r="G32" s="110" t="s">
        <v>3306</v>
      </c>
      <c r="H32" s="776">
        <f>SUMIF(100:100,G32,101:101)-SUMIF(100:100,C32,101:101)+100</f>
        <v>100</v>
      </c>
      <c r="I32" s="110" t="s">
        <v>3308</v>
      </c>
      <c r="J32" s="807">
        <f>SUMIF(100:100,I32,101:101)-SUMIF(100:100,C32,101:101)+100</f>
        <v>97</v>
      </c>
      <c r="K32" s="952">
        <v>3</v>
      </c>
      <c r="L32" s="2297"/>
      <c r="M32" s="2292"/>
      <c r="N32" s="2292"/>
      <c r="O32" s="2292"/>
      <c r="P32" s="3665" t="s">
        <v>1021</v>
      </c>
      <c r="Q32" s="1347" t="str">
        <f t="shared" si="11"/>
        <v>商业类型</v>
      </c>
      <c r="R32" s="1348" t="s">
        <v>63</v>
      </c>
      <c r="S32" s="1349">
        <f t="shared" si="12"/>
        <v>100</v>
      </c>
      <c r="T32" s="1348" t="s">
        <v>63</v>
      </c>
      <c r="U32" s="1349">
        <f t="shared" si="13"/>
        <v>100</v>
      </c>
      <c r="V32" s="1348" t="s">
        <v>63</v>
      </c>
      <c r="W32" s="1349">
        <f t="shared" si="14"/>
        <v>97</v>
      </c>
      <c r="X32" s="1336"/>
      <c r="Y32" s="3668"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66"/>
      <c r="Q33" s="1355" t="str">
        <f t="shared" si="11"/>
        <v>项目建筑规模</v>
      </c>
      <c r="R33" s="1356" t="s">
        <v>63</v>
      </c>
      <c r="S33" s="1357">
        <f t="shared" si="12"/>
        <v>101</v>
      </c>
      <c r="T33" s="1356" t="s">
        <v>63</v>
      </c>
      <c r="U33" s="1357">
        <f t="shared" si="13"/>
        <v>101</v>
      </c>
      <c r="V33" s="1356" t="s">
        <v>63</v>
      </c>
      <c r="W33" s="1357">
        <f t="shared" si="14"/>
        <v>100</v>
      </c>
      <c r="X33" s="1358"/>
      <c r="Y33" s="3668"/>
      <c r="Z33" s="1359" t="str">
        <f t="shared" si="15"/>
        <v>项目建筑规模</v>
      </c>
      <c r="AA33" s="1351">
        <f t="shared" si="3"/>
        <v>0.99009900990099009</v>
      </c>
      <c r="AB33" s="1351">
        <f t="shared" si="4"/>
        <v>0.99009900990099009</v>
      </c>
      <c r="AC33" s="1351">
        <f t="shared" si="5"/>
        <v>1</v>
      </c>
    </row>
    <row r="34" spans="1:29" ht="15">
      <c r="A34" s="161"/>
      <c r="B34" s="12" t="s">
        <v>75</v>
      </c>
      <c r="C34" s="112" t="s">
        <v>3246</v>
      </c>
      <c r="D34" s="776">
        <v>100</v>
      </c>
      <c r="E34" s="113" t="s">
        <v>3321</v>
      </c>
      <c r="F34" s="802">
        <f>SUMIF(105:105,E34,106:106)-SUMIF(105:105,C34,106:106)+100</f>
        <v>100</v>
      </c>
      <c r="G34" s="112" t="s">
        <v>3321</v>
      </c>
      <c r="H34" s="776">
        <f>SUMIF(105:105,G34,106:106)-SUMIF(105:105,C34,106:106)+100</f>
        <v>100</v>
      </c>
      <c r="I34" s="112" t="s">
        <v>3321</v>
      </c>
      <c r="J34" s="776">
        <f>SUMIF(105:105,I34,106:106)-SUMIF(105:105,C34,106:106)+100</f>
        <v>100</v>
      </c>
      <c r="K34" s="952">
        <v>2</v>
      </c>
      <c r="L34" s="2297"/>
      <c r="M34" s="2292"/>
      <c r="N34" s="2292"/>
      <c r="O34" s="2292"/>
      <c r="P34" s="3666"/>
      <c r="Q34" s="1347" t="str">
        <f t="shared" si="11"/>
        <v>建筑结构</v>
      </c>
      <c r="R34" s="1348" t="s">
        <v>63</v>
      </c>
      <c r="S34" s="1349">
        <f t="shared" si="12"/>
        <v>100</v>
      </c>
      <c r="T34" s="1348" t="s">
        <v>63</v>
      </c>
      <c r="U34" s="1349">
        <f t="shared" si="13"/>
        <v>100</v>
      </c>
      <c r="V34" s="1348" t="s">
        <v>63</v>
      </c>
      <c r="W34" s="1349">
        <f t="shared" si="14"/>
        <v>100</v>
      </c>
      <c r="X34" s="1336"/>
      <c r="Y34" s="3668"/>
      <c r="Z34" s="1350" t="str">
        <f t="shared" si="15"/>
        <v>建筑结构</v>
      </c>
      <c r="AA34" s="1351">
        <f t="shared" si="3"/>
        <v>1</v>
      </c>
      <c r="AB34" s="1351">
        <f t="shared" si="4"/>
        <v>1</v>
      </c>
      <c r="AC34" s="1351">
        <f t="shared" si="5"/>
        <v>1</v>
      </c>
    </row>
    <row r="35" spans="1:29" ht="15">
      <c r="A35" s="161"/>
      <c r="B35" s="12" t="s">
        <v>1022</v>
      </c>
      <c r="C35" s="109" t="s">
        <v>3252</v>
      </c>
      <c r="D35" s="776">
        <v>100</v>
      </c>
      <c r="E35" s="109" t="s">
        <v>3322</v>
      </c>
      <c r="F35" s="802">
        <f>SUMIF(107:107,E35,108:108)-SUMIF(107:107,C35,108:108)+100</f>
        <v>100</v>
      </c>
      <c r="G35" s="109" t="s">
        <v>3322</v>
      </c>
      <c r="H35" s="776">
        <f>SUMIF(107:107,G35,108:108)-SUMIF(107:107,C35,108:108)+100</f>
        <v>100</v>
      </c>
      <c r="I35" s="109" t="s">
        <v>3252</v>
      </c>
      <c r="J35" s="776">
        <f>SUMIF(107:107,I35,108:108)-SUMIF(107:107,C35,108:108)+100</f>
        <v>100</v>
      </c>
      <c r="K35" s="952">
        <v>2</v>
      </c>
      <c r="L35" s="2297"/>
      <c r="M35" s="2292"/>
      <c r="N35" s="2292"/>
      <c r="O35" s="2292"/>
      <c r="P35" s="3666"/>
      <c r="Q35" s="1347" t="str">
        <f t="shared" si="11"/>
        <v>公共部分装修</v>
      </c>
      <c r="R35" s="1348" t="s">
        <v>63</v>
      </c>
      <c r="S35" s="1349">
        <f t="shared" si="12"/>
        <v>100</v>
      </c>
      <c r="T35" s="1348" t="s">
        <v>63</v>
      </c>
      <c r="U35" s="1349">
        <f t="shared" si="13"/>
        <v>100</v>
      </c>
      <c r="V35" s="1348" t="s">
        <v>63</v>
      </c>
      <c r="W35" s="1349">
        <f t="shared" si="14"/>
        <v>100</v>
      </c>
      <c r="X35" s="1336"/>
      <c r="Y35" s="3668"/>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66"/>
      <c r="Q36" s="1347" t="str">
        <f t="shared" si="11"/>
        <v>成新度</v>
      </c>
      <c r="R36" s="1348" t="s">
        <v>63</v>
      </c>
      <c r="S36" s="1349">
        <f t="shared" si="12"/>
        <v>100</v>
      </c>
      <c r="T36" s="1348" t="s">
        <v>63</v>
      </c>
      <c r="U36" s="1349">
        <f t="shared" si="13"/>
        <v>100</v>
      </c>
      <c r="V36" s="1348" t="s">
        <v>63</v>
      </c>
      <c r="W36" s="1349">
        <f t="shared" si="14"/>
        <v>100</v>
      </c>
      <c r="X36" s="1336"/>
      <c r="Y36" s="3668"/>
      <c r="Z36" s="1350" t="str">
        <f t="shared" si="15"/>
        <v>成新度</v>
      </c>
      <c r="AA36" s="1351">
        <f t="shared" si="3"/>
        <v>1</v>
      </c>
      <c r="AB36" s="1351">
        <f t="shared" si="4"/>
        <v>1</v>
      </c>
      <c r="AC36" s="1351">
        <f t="shared" si="5"/>
        <v>1</v>
      </c>
    </row>
    <row r="37" spans="1:29" s="40" customFormat="1" ht="15">
      <c r="A37" s="1037"/>
      <c r="B37" s="12" t="s">
        <v>2647</v>
      </c>
      <c r="C37" s="109" t="s">
        <v>3202</v>
      </c>
      <c r="D37" s="426">
        <v>100</v>
      </c>
      <c r="E37" s="109" t="s">
        <v>3323</v>
      </c>
      <c r="F37" s="802">
        <f>SUMIF(112:112,E37,113:113)-SUMIF(112:112,C37,113:113)+100</f>
        <v>98</v>
      </c>
      <c r="G37" s="109" t="s">
        <v>3226</v>
      </c>
      <c r="H37" s="776">
        <f>SUMIF(112:112,G37,113:113)-SUMIF(112:112,C37,113:113)+100</f>
        <v>99</v>
      </c>
      <c r="I37" s="109" t="s">
        <v>3202</v>
      </c>
      <c r="J37" s="776">
        <f>SUMIF(112:112,I37,113:113)-SUMIF(112:112,C37,113:113)+100</f>
        <v>100</v>
      </c>
      <c r="K37" s="952">
        <v>1</v>
      </c>
      <c r="L37" s="2293"/>
      <c r="M37" s="2255"/>
      <c r="N37" s="2255"/>
      <c r="O37" s="2255"/>
      <c r="P37" s="3666"/>
      <c r="Q37" s="7" t="str">
        <f t="shared" si="11"/>
        <v>市政基础设施</v>
      </c>
      <c r="R37" s="1338" t="s">
        <v>63</v>
      </c>
      <c r="S37" s="1339">
        <f t="shared" si="12"/>
        <v>98</v>
      </c>
      <c r="T37" s="1338" t="s">
        <v>63</v>
      </c>
      <c r="U37" s="1339">
        <f t="shared" si="13"/>
        <v>99</v>
      </c>
      <c r="V37" s="1338" t="s">
        <v>63</v>
      </c>
      <c r="W37" s="1339">
        <f t="shared" si="14"/>
        <v>100</v>
      </c>
      <c r="X37" s="287"/>
      <c r="Y37" s="3668"/>
      <c r="Z37" s="288" t="str">
        <f t="shared" si="15"/>
        <v>市政基础设施</v>
      </c>
      <c r="AA37" s="1340">
        <f t="shared" si="3"/>
        <v>1.0204081632653061</v>
      </c>
      <c r="AB37" s="1340">
        <f t="shared" si="4"/>
        <v>1.0101010101010102</v>
      </c>
      <c r="AC37" s="1340">
        <f t="shared" si="5"/>
        <v>1</v>
      </c>
    </row>
    <row r="38" spans="1:29" ht="15">
      <c r="A38" s="161"/>
      <c r="B38" s="12" t="s">
        <v>133</v>
      </c>
      <c r="C38" s="109" t="s">
        <v>3313</v>
      </c>
      <c r="D38" s="776">
        <v>100</v>
      </c>
      <c r="E38" s="109" t="s">
        <v>3324</v>
      </c>
      <c r="F38" s="802">
        <f>SUMIF(114:114,E38,115:115)-SUMIF(114:114,C38,115:115)+100</f>
        <v>100</v>
      </c>
      <c r="G38" s="109" t="s">
        <v>3313</v>
      </c>
      <c r="H38" s="776">
        <f>SUMIF(114:114,G38,115:115)-SUMIF(114:114,C38,115:115)+100</f>
        <v>100</v>
      </c>
      <c r="I38" s="109" t="s">
        <v>3313</v>
      </c>
      <c r="J38" s="776">
        <f>SUMIF(114:114,I38,115:115)-SUMIF(114:114,C38,115:115)+100</f>
        <v>100</v>
      </c>
      <c r="K38" s="952">
        <v>3</v>
      </c>
      <c r="L38" s="2297"/>
      <c r="M38" s="2292"/>
      <c r="N38" s="2292"/>
      <c r="O38" s="2292"/>
      <c r="P38" s="3666" t="s">
        <v>1024</v>
      </c>
      <c r="Q38" s="1347" t="str">
        <f t="shared" si="11"/>
        <v>业态</v>
      </c>
      <c r="R38" s="1348" t="s">
        <v>63</v>
      </c>
      <c r="S38" s="1349">
        <f t="shared" si="12"/>
        <v>100</v>
      </c>
      <c r="T38" s="1348" t="s">
        <v>63</v>
      </c>
      <c r="U38" s="1349">
        <f t="shared" si="13"/>
        <v>100</v>
      </c>
      <c r="V38" s="1348" t="s">
        <v>63</v>
      </c>
      <c r="W38" s="1349">
        <f t="shared" si="14"/>
        <v>100</v>
      </c>
      <c r="X38" s="1336"/>
      <c r="Y38" s="3668" t="s">
        <v>1024</v>
      </c>
      <c r="Z38" s="1350" t="str">
        <f t="shared" si="15"/>
        <v>业态</v>
      </c>
      <c r="AA38" s="1351">
        <f t="shared" si="3"/>
        <v>1</v>
      </c>
      <c r="AB38" s="1351">
        <f t="shared" si="4"/>
        <v>1</v>
      </c>
      <c r="AC38" s="1351">
        <f t="shared" si="5"/>
        <v>1</v>
      </c>
    </row>
    <row r="39" spans="1:29" ht="15">
      <c r="A39" s="161"/>
      <c r="B39" s="12" t="s">
        <v>1025</v>
      </c>
      <c r="C39" s="109" t="s">
        <v>3270</v>
      </c>
      <c r="D39" s="776">
        <v>100</v>
      </c>
      <c r="E39" s="109" t="s">
        <v>3270</v>
      </c>
      <c r="F39" s="802">
        <f>SUMIF(116:116,E39,117:117)-SUMIF(116:116,C39,117:117)+100</f>
        <v>100</v>
      </c>
      <c r="G39" s="109" t="s">
        <v>3270</v>
      </c>
      <c r="H39" s="776">
        <f>SUMIF(116:116,G39,117:117)-SUMIF(116:116,C39,117:117)+100</f>
        <v>100</v>
      </c>
      <c r="I39" s="109" t="s">
        <v>3270</v>
      </c>
      <c r="J39" s="776">
        <f>SUMIF(116:116,I39,117:117)-SUMIF(116:116,C39,117:117)+100</f>
        <v>100</v>
      </c>
      <c r="K39" s="952">
        <v>3</v>
      </c>
      <c r="L39" s="2297"/>
      <c r="M39" s="2292"/>
      <c r="N39" s="2292"/>
      <c r="O39" s="2292"/>
      <c r="P39" s="3666"/>
      <c r="Q39" s="1347" t="str">
        <f t="shared" si="11"/>
        <v>层高</v>
      </c>
      <c r="R39" s="1348" t="s">
        <v>63</v>
      </c>
      <c r="S39" s="1349">
        <f t="shared" si="12"/>
        <v>100</v>
      </c>
      <c r="T39" s="1348" t="s">
        <v>63</v>
      </c>
      <c r="U39" s="1349">
        <f t="shared" si="13"/>
        <v>100</v>
      </c>
      <c r="V39" s="1348" t="s">
        <v>63</v>
      </c>
      <c r="W39" s="1349">
        <f t="shared" si="14"/>
        <v>100</v>
      </c>
      <c r="X39" s="1336"/>
      <c r="Y39" s="3668"/>
      <c r="Z39" s="1350" t="str">
        <f t="shared" si="15"/>
        <v>层高</v>
      </c>
      <c r="AA39" s="1351">
        <f t="shared" si="3"/>
        <v>1</v>
      </c>
      <c r="AB39" s="1351">
        <f t="shared" si="4"/>
        <v>1</v>
      </c>
      <c r="AC39" s="1351">
        <f t="shared" si="5"/>
        <v>1</v>
      </c>
    </row>
    <row r="40" spans="1:29" ht="14.25">
      <c r="A40" s="161"/>
      <c r="B40" s="12" t="s">
        <v>1026</v>
      </c>
      <c r="C40" s="957" t="s">
        <v>3326</v>
      </c>
      <c r="D40" s="776">
        <v>100</v>
      </c>
      <c r="E40" s="958">
        <v>252</v>
      </c>
      <c r="F40" s="802">
        <f>SUMIF(118:118,E40,119:119)-SUMIF(118:118,C40,119:119)+100</f>
        <v>100</v>
      </c>
      <c r="G40" s="958">
        <v>116</v>
      </c>
      <c r="H40" s="776">
        <f>SUMIF(118:118,G40,119:119)-SUMIF(118:118,C40,119:119)+100</f>
        <v>100</v>
      </c>
      <c r="I40" s="958" t="s">
        <v>3332</v>
      </c>
      <c r="J40" s="776">
        <f>SUMIF(118:118,I40,119:119)-SUMIF(118:118,C40,119:119)+100</f>
        <v>100</v>
      </c>
      <c r="K40" s="188"/>
      <c r="L40" s="2297"/>
      <c r="M40" s="2292"/>
      <c r="N40" s="2292"/>
      <c r="O40" s="2292"/>
      <c r="P40" s="3666"/>
      <c r="Q40" s="1347" t="str">
        <f t="shared" si="11"/>
        <v>单套建筑面积</v>
      </c>
      <c r="R40" s="1348" t="s">
        <v>63</v>
      </c>
      <c r="S40" s="1349">
        <f t="shared" si="12"/>
        <v>100</v>
      </c>
      <c r="T40" s="1348" t="s">
        <v>63</v>
      </c>
      <c r="U40" s="1349">
        <f t="shared" si="13"/>
        <v>100</v>
      </c>
      <c r="V40" s="1348" t="s">
        <v>63</v>
      </c>
      <c r="W40" s="1349">
        <f t="shared" si="14"/>
        <v>100</v>
      </c>
      <c r="X40" s="1336"/>
      <c r="Y40" s="3668"/>
      <c r="Z40" s="1350" t="str">
        <f t="shared" si="15"/>
        <v>单套建筑面积</v>
      </c>
      <c r="AA40" s="1351">
        <f t="shared" si="3"/>
        <v>1</v>
      </c>
      <c r="AB40" s="1351">
        <f t="shared" si="4"/>
        <v>1</v>
      </c>
      <c r="AC40" s="1351">
        <f t="shared" si="5"/>
        <v>1</v>
      </c>
    </row>
    <row r="41" spans="1:29" s="1035" customFormat="1" ht="15">
      <c r="A41" s="1039"/>
      <c r="B41" s="191" t="s">
        <v>1027</v>
      </c>
      <c r="C41" s="182" t="s">
        <v>3317</v>
      </c>
      <c r="D41" s="776">
        <v>100</v>
      </c>
      <c r="E41" s="182" t="s">
        <v>3317</v>
      </c>
      <c r="F41" s="802">
        <f>SUMIF(120:120,E41,121:121)-SUMIF(120:120,C41,121:121)+100</f>
        <v>100</v>
      </c>
      <c r="G41" s="182" t="s">
        <v>3200</v>
      </c>
      <c r="H41" s="776">
        <f>SUMIF(120:120,G41,121:121)-SUMIF(120:120,C41,121:121)+100</f>
        <v>100</v>
      </c>
      <c r="I41" s="182" t="s">
        <v>3200</v>
      </c>
      <c r="J41" s="776">
        <f>SUMIF(120:120,I41,121:121)-SUMIF(120:120,C41,121:121)+100</f>
        <v>100</v>
      </c>
      <c r="K41" s="952">
        <v>2</v>
      </c>
      <c r="L41" s="2296"/>
      <c r="M41" s="2298"/>
      <c r="N41" s="2298"/>
      <c r="O41" s="2298"/>
      <c r="P41" s="3666"/>
      <c r="Q41" s="1355" t="str">
        <f t="shared" si="11"/>
        <v>进深比</v>
      </c>
      <c r="R41" s="1356" t="s">
        <v>63</v>
      </c>
      <c r="S41" s="1357">
        <f t="shared" si="12"/>
        <v>100</v>
      </c>
      <c r="T41" s="1356" t="s">
        <v>63</v>
      </c>
      <c r="U41" s="1357">
        <f t="shared" si="13"/>
        <v>100</v>
      </c>
      <c r="V41" s="1356" t="s">
        <v>63</v>
      </c>
      <c r="W41" s="1357">
        <f t="shared" si="14"/>
        <v>100</v>
      </c>
      <c r="X41" s="1358"/>
      <c r="Y41" s="3668"/>
      <c r="Z41" s="1359" t="str">
        <f t="shared" si="15"/>
        <v>进深比</v>
      </c>
      <c r="AA41" s="1351">
        <f t="shared" si="3"/>
        <v>1</v>
      </c>
      <c r="AB41" s="1351">
        <f t="shared" si="4"/>
        <v>1</v>
      </c>
      <c r="AC41" s="1351">
        <f t="shared" si="5"/>
        <v>1</v>
      </c>
    </row>
    <row r="42" spans="1:29" ht="15">
      <c r="A42" s="161"/>
      <c r="B42" s="12" t="s">
        <v>1028</v>
      </c>
      <c r="C42" s="109" t="s">
        <v>3256</v>
      </c>
      <c r="D42" s="776">
        <v>100</v>
      </c>
      <c r="E42" s="109" t="s">
        <v>3325</v>
      </c>
      <c r="F42" s="802">
        <f>SUMIF(122:122,E42,123:123)-SUMIF(122:122,C42,123:123)+100</f>
        <v>100</v>
      </c>
      <c r="G42" s="109" t="s">
        <v>3256</v>
      </c>
      <c r="H42" s="776">
        <f>SUMIF(122:122,G42,123:123)-SUMIF(122:122,C42,123:123)+100</f>
        <v>100</v>
      </c>
      <c r="I42" s="109" t="s">
        <v>3256</v>
      </c>
      <c r="J42" s="776">
        <f>SUMIF(122:122,I42,123:123)-SUMIF(122:122,C42,123:123)+100</f>
        <v>100</v>
      </c>
      <c r="K42" s="952">
        <v>3</v>
      </c>
      <c r="L42" s="2297"/>
      <c r="M42" s="2292"/>
      <c r="N42" s="2292"/>
      <c r="O42" s="2292"/>
      <c r="P42" s="3666"/>
      <c r="Q42" s="1347" t="str">
        <f t="shared" si="11"/>
        <v>内部装修</v>
      </c>
      <c r="R42" s="1348" t="s">
        <v>63</v>
      </c>
      <c r="S42" s="1349">
        <f t="shared" si="12"/>
        <v>100</v>
      </c>
      <c r="T42" s="1348" t="s">
        <v>63</v>
      </c>
      <c r="U42" s="1349">
        <f t="shared" si="13"/>
        <v>100</v>
      </c>
      <c r="V42" s="1348" t="s">
        <v>63</v>
      </c>
      <c r="W42" s="1349">
        <f t="shared" si="14"/>
        <v>100</v>
      </c>
      <c r="X42" s="1336"/>
      <c r="Y42" s="3668"/>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66"/>
      <c r="Q43" s="1347" t="str">
        <f t="shared" si="11"/>
        <v>内部装修维护情况</v>
      </c>
      <c r="R43" s="1348" t="s">
        <v>63</v>
      </c>
      <c r="S43" s="1349">
        <f t="shared" si="12"/>
        <v>100</v>
      </c>
      <c r="T43" s="1348" t="s">
        <v>63</v>
      </c>
      <c r="U43" s="1349">
        <f t="shared" si="13"/>
        <v>100</v>
      </c>
      <c r="V43" s="1348" t="s">
        <v>63</v>
      </c>
      <c r="W43" s="1349">
        <f t="shared" si="14"/>
        <v>100</v>
      </c>
      <c r="X43" s="1336"/>
      <c r="Y43" s="3668"/>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66"/>
      <c r="Q44" s="7">
        <f t="shared" si="11"/>
        <v>111</v>
      </c>
      <c r="R44" s="1338" t="s">
        <v>63</v>
      </c>
      <c r="S44" s="1339">
        <f t="shared" si="12"/>
        <v>100</v>
      </c>
      <c r="T44" s="1338" t="s">
        <v>63</v>
      </c>
      <c r="U44" s="1339">
        <f t="shared" si="13"/>
        <v>100</v>
      </c>
      <c r="V44" s="1338" t="s">
        <v>63</v>
      </c>
      <c r="W44" s="1339">
        <f t="shared" si="14"/>
        <v>100</v>
      </c>
      <c r="X44" s="287"/>
      <c r="Y44" s="3668"/>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66"/>
      <c r="Q45" s="1347">
        <f t="shared" si="11"/>
        <v>111</v>
      </c>
      <c r="R45" s="1348" t="s">
        <v>63</v>
      </c>
      <c r="S45" s="1349">
        <f t="shared" si="12"/>
        <v>100</v>
      </c>
      <c r="T45" s="1348" t="s">
        <v>63</v>
      </c>
      <c r="U45" s="1349">
        <f t="shared" si="13"/>
        <v>100</v>
      </c>
      <c r="V45" s="1348" t="s">
        <v>63</v>
      </c>
      <c r="W45" s="1349">
        <f t="shared" si="14"/>
        <v>100</v>
      </c>
      <c r="X45" s="1336"/>
      <c r="Y45" s="3668"/>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67"/>
      <c r="Q46" s="1347">
        <f t="shared" si="11"/>
        <v>111</v>
      </c>
      <c r="R46" s="1348" t="s">
        <v>63</v>
      </c>
      <c r="S46" s="1349">
        <f t="shared" si="12"/>
        <v>100</v>
      </c>
      <c r="T46" s="1348" t="s">
        <v>63</v>
      </c>
      <c r="U46" s="1349">
        <f t="shared" si="13"/>
        <v>100</v>
      </c>
      <c r="V46" s="1348" t="s">
        <v>63</v>
      </c>
      <c r="W46" s="1349">
        <f t="shared" si="14"/>
        <v>100</v>
      </c>
      <c r="X46" s="1336"/>
      <c r="Y46" s="3669"/>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61" t="str">
        <f>A47</f>
        <v>成交单价（元/平方米）</v>
      </c>
      <c r="Q47" s="3661"/>
      <c r="R47" s="3656">
        <f>E47</f>
        <v>42312</v>
      </c>
      <c r="S47" s="3656"/>
      <c r="T47" s="3656">
        <f>G47</f>
        <v>43456</v>
      </c>
      <c r="U47" s="3656"/>
      <c r="V47" s="3656">
        <f>I47</f>
        <v>50000</v>
      </c>
      <c r="W47" s="3656"/>
      <c r="X47" s="1361"/>
      <c r="Y47" s="1362"/>
      <c r="Z47" s="1361"/>
      <c r="AA47" s="1361"/>
      <c r="AB47" s="1361"/>
      <c r="AC47" s="1361"/>
    </row>
    <row r="48" spans="1:29" ht="15.75" thickBot="1">
      <c r="A48" s="165" t="s">
        <v>1030</v>
      </c>
      <c r="B48" s="166"/>
      <c r="C48" s="2838">
        <f>R49</f>
        <v>45375</v>
      </c>
      <c r="D48" s="2839"/>
      <c r="E48" s="2840">
        <f>R48</f>
        <v>43620</v>
      </c>
      <c r="F48" s="2840"/>
      <c r="G48" s="2838">
        <f>T48</f>
        <v>43899</v>
      </c>
      <c r="H48" s="2839"/>
      <c r="I48" s="2840">
        <f>V48</f>
        <v>48607</v>
      </c>
      <c r="J48" s="2839"/>
      <c r="K48" s="1390"/>
      <c r="L48" s="2299"/>
      <c r="M48" s="2300"/>
      <c r="N48" s="2292"/>
      <c r="O48" s="2300"/>
      <c r="P48" s="3661" t="str">
        <f>A48</f>
        <v>比较价值（元/平方米）</v>
      </c>
      <c r="Q48" s="3661"/>
      <c r="R48" s="3662">
        <f>IF(F1="售价",ROUND(PRODUCT(R47,AA7:AA46),0),ROUND(PRODUCT(R47,AA7:AA46),1))</f>
        <v>43620</v>
      </c>
      <c r="S48" s="3662"/>
      <c r="T48" s="3662">
        <f>IF(F1="售价",ROUND(PRODUCT(T47,AB7:AB46),0),ROUND(PRODUCT(T47,AB7:AB46),1))</f>
        <v>43899</v>
      </c>
      <c r="U48" s="3662"/>
      <c r="V48" s="3662">
        <f>IF(F1="售价",ROUND(PRODUCT(V47,AC7:AC46),0),ROUND(PRODUCT(V47,AC7:AC46),1))</f>
        <v>48607</v>
      </c>
      <c r="W48" s="3662"/>
      <c r="X48" s="1361"/>
      <c r="Y48" s="1361"/>
      <c r="Z48" s="1361"/>
      <c r="AA48" s="1361"/>
      <c r="AB48" s="1361"/>
      <c r="AC48" s="1361"/>
    </row>
    <row r="49" spans="1:29" ht="15.75" thickBot="1">
      <c r="A49" s="115" t="s">
        <v>3011</v>
      </c>
      <c r="B49" s="116"/>
      <c r="C49" s="2842">
        <f>R49</f>
        <v>45375</v>
      </c>
      <c r="D49" s="2842"/>
      <c r="E49" s="2842"/>
      <c r="F49" s="2842"/>
      <c r="G49" s="2842"/>
      <c r="H49" s="2842"/>
      <c r="I49" s="2842"/>
      <c r="J49" s="2842"/>
      <c r="K49" s="1391"/>
      <c r="L49" s="2299"/>
      <c r="M49" s="2300"/>
      <c r="N49" s="2292"/>
      <c r="O49" s="2300"/>
      <c r="P49" s="3658" t="str">
        <f>A49</f>
        <v>估价对象XX用房的比较价值（楼面单价，元/平方米）</v>
      </c>
      <c r="Q49" s="3659"/>
      <c r="R49" s="3660">
        <f>IF(F1="售价",ROUND(AVERAGE(R48:V48),0),ROUND(AVERAGE(R48:V48),1))</f>
        <v>45375</v>
      </c>
      <c r="S49" s="3660"/>
      <c r="T49" s="3660"/>
      <c r="U49" s="3660"/>
      <c r="V49" s="3660"/>
      <c r="W49" s="366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3.0913216108905184E-2</v>
      </c>
      <c r="F52" s="840" t="str">
        <f>IF(OR(E52&gt;=0.3,E52&lt;=-0.3),"超过30%","")</f>
        <v/>
      </c>
      <c r="G52" s="839">
        <f>IF(G47&lt;G48,G48/G47-1,G47/G48-1)</f>
        <v>1.019421944035348E-2</v>
      </c>
      <c r="H52" s="840" t="str">
        <f>IF(OR(G52&gt;=0.3,G52&lt;=-0.3),"超过30%","")</f>
        <v/>
      </c>
      <c r="I52" s="839">
        <f>IF(I47&lt;I48,I48/I47-1,I47/I48-1)</f>
        <v>2.8658423683831646E-2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6.3961485557084696E-3</v>
      </c>
      <c r="F53" s="840" t="str">
        <f>IF(OR(E53&gt;=0.2,E53&lt;=-0.2),"超过20%","")</f>
        <v/>
      </c>
      <c r="G53" s="839">
        <f>IF(G48&lt;I48,I48/G48-1,G48/I48-1)</f>
        <v>0.10724617872844489</v>
      </c>
      <c r="H53" s="840" t="str">
        <f>IF(OR(G53&gt;=0.2,G53&lt;=-0.2),"超过20%","")</f>
        <v/>
      </c>
      <c r="I53" s="839">
        <f>IF(I48&lt;E48,E48/I48-1,I48/E48-1)</f>
        <v>0.11432828977533238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3296</v>
      </c>
      <c r="D86" s="139" t="s">
        <v>3297</v>
      </c>
      <c r="E86" s="139" t="s">
        <v>3298</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3300</v>
      </c>
      <c r="D90" s="139" t="s">
        <v>3301</v>
      </c>
      <c r="E90" s="139" t="s">
        <v>3299</v>
      </c>
      <c r="F90" s="139" t="s">
        <v>3302</v>
      </c>
      <c r="G90" s="139" t="s">
        <v>3303</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3334</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3304</v>
      </c>
      <c r="D100" s="122" t="s">
        <v>3305</v>
      </c>
      <c r="E100" s="122" t="s">
        <v>3307</v>
      </c>
      <c r="F100" s="122" t="s">
        <v>3309</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3310</v>
      </c>
      <c r="D105" s="139" t="s">
        <v>3311</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3253</v>
      </c>
      <c r="D107" s="139" t="s">
        <v>3254</v>
      </c>
      <c r="E107" s="139" t="s">
        <v>3255</v>
      </c>
      <c r="F107" s="131" t="s">
        <v>3257</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3265</v>
      </c>
      <c r="D112" s="139" t="s">
        <v>3266</v>
      </c>
      <c r="E112" s="139" t="s">
        <v>3267</v>
      </c>
      <c r="F112" s="139" t="s">
        <v>3268</v>
      </c>
      <c r="G112" s="139" t="s">
        <v>3269</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3312</v>
      </c>
      <c r="D114" s="139" t="s">
        <v>3314</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3315</v>
      </c>
      <c r="D116" s="139" t="s">
        <v>3316</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3318</v>
      </c>
      <c r="D120" s="131" t="s">
        <v>3317</v>
      </c>
      <c r="E120" s="131" t="s">
        <v>3299</v>
      </c>
      <c r="F120" s="131" t="s">
        <v>3319</v>
      </c>
      <c r="G120" s="1055" t="s">
        <v>3320</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3253</v>
      </c>
      <c r="D122" s="139" t="s">
        <v>3254</v>
      </c>
      <c r="E122" s="139" t="s">
        <v>3255</v>
      </c>
      <c r="F122" s="131" t="s">
        <v>3257</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93.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七通”（即通路、通电、通讯、通上水、通下水、通热、燃气）、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本次评估采用的主估价方法为成本法和假设开发法。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94727.57</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44" t="s">
        <v>1104</v>
      </c>
      <c r="D4" s="3645"/>
      <c r="E4" s="3646" t="s">
        <v>1105</v>
      </c>
      <c r="F4" s="3647"/>
      <c r="G4" s="3644" t="s">
        <v>1106</v>
      </c>
      <c r="H4" s="3645"/>
      <c r="I4" s="3644" t="s">
        <v>1107</v>
      </c>
      <c r="J4" s="3645"/>
      <c r="K4" s="187" t="s">
        <v>1108</v>
      </c>
      <c r="L4" s="2291"/>
      <c r="M4" s="2292"/>
      <c r="N4" s="2292"/>
      <c r="O4" s="2292"/>
      <c r="P4" s="3648" t="s">
        <v>1103</v>
      </c>
      <c r="Q4" s="3649"/>
      <c r="R4" s="3639" t="s">
        <v>1105</v>
      </c>
      <c r="S4" s="3640"/>
      <c r="T4" s="3639" t="s">
        <v>1106</v>
      </c>
      <c r="U4" s="3640"/>
      <c r="V4" s="3656" t="s">
        <v>1107</v>
      </c>
      <c r="W4" s="3656"/>
      <c r="X4" s="1336"/>
      <c r="Y4" s="3639" t="s">
        <v>1103</v>
      </c>
      <c r="Z4" s="3640"/>
      <c r="AA4" s="3634" t="s">
        <v>1105</v>
      </c>
      <c r="AB4" s="3635" t="s">
        <v>1106</v>
      </c>
      <c r="AC4" s="3634" t="s">
        <v>1107</v>
      </c>
    </row>
    <row r="5" spans="1:29">
      <c r="A5" s="146"/>
      <c r="B5" s="147"/>
      <c r="C5" s="3573" t="s">
        <v>1109</v>
      </c>
      <c r="D5" s="3574"/>
      <c r="E5" s="3571" t="s">
        <v>1110</v>
      </c>
      <c r="F5" s="3572"/>
      <c r="G5" s="3573" t="s">
        <v>1111</v>
      </c>
      <c r="H5" s="3574"/>
      <c r="I5" s="3573" t="s">
        <v>1112</v>
      </c>
      <c r="J5" s="3574"/>
      <c r="K5" s="187"/>
      <c r="L5" s="2291"/>
      <c r="M5" s="2292"/>
      <c r="N5" s="2292"/>
      <c r="O5" s="2292"/>
      <c r="P5" s="3650"/>
      <c r="Q5" s="3651"/>
      <c r="R5" s="3641"/>
      <c r="S5" s="3642"/>
      <c r="T5" s="3641"/>
      <c r="U5" s="3642"/>
      <c r="V5" s="3656"/>
      <c r="W5" s="3656"/>
      <c r="X5" s="1336"/>
      <c r="Y5" s="3641"/>
      <c r="Z5" s="3642"/>
      <c r="AA5" s="3635"/>
      <c r="AB5" s="3635"/>
      <c r="AC5" s="3635"/>
    </row>
    <row r="6" spans="1:29" ht="14.25" thickBot="1">
      <c r="A6" s="148"/>
      <c r="B6" s="149"/>
      <c r="C6" s="3575" t="s">
        <v>1113</v>
      </c>
      <c r="D6" s="3576"/>
      <c r="E6" s="3577" t="s">
        <v>1113</v>
      </c>
      <c r="F6" s="3578"/>
      <c r="G6" s="3575" t="s">
        <v>1113</v>
      </c>
      <c r="H6" s="3576"/>
      <c r="I6" s="3575" t="s">
        <v>1113</v>
      </c>
      <c r="J6" s="3576"/>
      <c r="K6" s="187" t="s">
        <v>1114</v>
      </c>
      <c r="L6" s="2291"/>
      <c r="M6" s="2292"/>
      <c r="N6" s="2292"/>
      <c r="O6" s="2292"/>
      <c r="P6" s="3652"/>
      <c r="Q6" s="3653"/>
      <c r="R6" s="3641"/>
      <c r="S6" s="3642"/>
      <c r="T6" s="3654"/>
      <c r="U6" s="3655"/>
      <c r="V6" s="3656"/>
      <c r="W6" s="3656"/>
      <c r="X6" s="1336"/>
      <c r="Y6" s="3654"/>
      <c r="Z6" s="3655"/>
      <c r="AA6" s="3636"/>
      <c r="AB6" s="3636"/>
      <c r="AC6" s="3636"/>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37" t="s">
        <v>1115</v>
      </c>
      <c r="Q7" s="3657"/>
      <c r="R7" s="1338" t="s">
        <v>63</v>
      </c>
      <c r="S7" s="1339">
        <f t="shared" ref="S7:S15" si="0">F7</f>
        <v>0</v>
      </c>
      <c r="T7" s="1338" t="s">
        <v>63</v>
      </c>
      <c r="U7" s="1339">
        <f t="shared" ref="U7:U15" si="1">H7</f>
        <v>0</v>
      </c>
      <c r="V7" s="1338" t="s">
        <v>63</v>
      </c>
      <c r="W7" s="1339">
        <f t="shared" ref="W7:W15" si="2">J7</f>
        <v>0</v>
      </c>
      <c r="X7" s="287"/>
      <c r="Y7" s="3637" t="s">
        <v>1115</v>
      </c>
      <c r="Z7" s="3638"/>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37" t="s">
        <v>1014</v>
      </c>
      <c r="Q8" s="3638"/>
      <c r="R8" s="1338" t="s">
        <v>63</v>
      </c>
      <c r="S8" s="1339">
        <f t="shared" si="0"/>
        <v>0</v>
      </c>
      <c r="T8" s="1338" t="s">
        <v>63</v>
      </c>
      <c r="U8" s="1339">
        <f t="shared" si="1"/>
        <v>0</v>
      </c>
      <c r="V8" s="1338" t="s">
        <v>63</v>
      </c>
      <c r="W8" s="1339">
        <f t="shared" si="2"/>
        <v>0</v>
      </c>
      <c r="X8" s="287"/>
      <c r="Y8" s="3637" t="s">
        <v>1014</v>
      </c>
      <c r="Z8" s="3638"/>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61"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61"/>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61"/>
      <c r="Q11" s="7" t="str">
        <f t="shared" si="6"/>
        <v>容积率</v>
      </c>
      <c r="R11" s="1338" t="s">
        <v>63</v>
      </c>
      <c r="S11" s="1339" t="e">
        <f t="shared" si="0"/>
        <v>#N/A</v>
      </c>
      <c r="T11" s="1338" t="s">
        <v>63</v>
      </c>
      <c r="U11" s="1339" t="e">
        <f t="shared" si="1"/>
        <v>#N/A</v>
      </c>
      <c r="V11" s="1338" t="s">
        <v>63</v>
      </c>
      <c r="W11" s="1339" t="e">
        <f t="shared" si="2"/>
        <v>#N/A</v>
      </c>
      <c r="X11" s="287"/>
      <c r="Y11" s="343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61"/>
      <c r="Q12" s="7">
        <f t="shared" si="6"/>
        <v>111</v>
      </c>
      <c r="R12" s="1338" t="s">
        <v>63</v>
      </c>
      <c r="S12" s="1339">
        <f t="shared" si="0"/>
        <v>100</v>
      </c>
      <c r="T12" s="1338" t="s">
        <v>63</v>
      </c>
      <c r="U12" s="1339">
        <f t="shared" si="1"/>
        <v>100</v>
      </c>
      <c r="V12" s="1338" t="s">
        <v>63</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61"/>
      <c r="Q13" s="7">
        <f t="shared" si="6"/>
        <v>111</v>
      </c>
      <c r="R13" s="1338" t="s">
        <v>63</v>
      </c>
      <c r="S13" s="1339">
        <f t="shared" si="0"/>
        <v>100</v>
      </c>
      <c r="T13" s="1338" t="s">
        <v>63</v>
      </c>
      <c r="U13" s="1339">
        <f t="shared" si="1"/>
        <v>100</v>
      </c>
      <c r="V13" s="1338" t="s">
        <v>63</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61"/>
      <c r="Q14" s="7">
        <f t="shared" si="6"/>
        <v>111</v>
      </c>
      <c r="R14" s="1338" t="s">
        <v>63</v>
      </c>
      <c r="S14" s="1339">
        <f t="shared" si="0"/>
        <v>100</v>
      </c>
      <c r="T14" s="1338" t="s">
        <v>63</v>
      </c>
      <c r="U14" s="1339">
        <f t="shared" si="1"/>
        <v>100</v>
      </c>
      <c r="V14" s="1338" t="s">
        <v>63</v>
      </c>
      <c r="W14" s="1339">
        <f t="shared" si="2"/>
        <v>100</v>
      </c>
      <c r="X14" s="287"/>
      <c r="Y14" s="3430"/>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63" t="s">
        <v>67</v>
      </c>
      <c r="Q15" s="1347" t="str">
        <f t="shared" si="6"/>
        <v>产业集聚程度</v>
      </c>
      <c r="R15" s="1348" t="s">
        <v>63</v>
      </c>
      <c r="S15" s="1349">
        <f t="shared" si="0"/>
        <v>100</v>
      </c>
      <c r="T15" s="1348" t="s">
        <v>63</v>
      </c>
      <c r="U15" s="1349">
        <f t="shared" si="1"/>
        <v>100</v>
      </c>
      <c r="V15" s="1348" t="s">
        <v>63</v>
      </c>
      <c r="W15" s="1349">
        <f t="shared" si="2"/>
        <v>100</v>
      </c>
      <c r="X15" s="1336"/>
      <c r="Y15" s="3663"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64"/>
      <c r="Q16" s="1347"/>
      <c r="R16" s="1348"/>
      <c r="S16" s="1349"/>
      <c r="T16" s="1348"/>
      <c r="U16" s="1349"/>
      <c r="V16" s="1348"/>
      <c r="W16" s="1349"/>
      <c r="X16" s="1336"/>
      <c r="Y16" s="3664"/>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64"/>
      <c r="Q17" s="1347" t="str">
        <f>B17</f>
        <v>交通便捷度</v>
      </c>
      <c r="R17" s="1348" t="s">
        <v>63</v>
      </c>
      <c r="S17" s="1349">
        <f>F17</f>
        <v>100</v>
      </c>
      <c r="T17" s="1348" t="s">
        <v>63</v>
      </c>
      <c r="U17" s="1349">
        <f>H17</f>
        <v>100</v>
      </c>
      <c r="V17" s="1348" t="s">
        <v>63</v>
      </c>
      <c r="W17" s="1349">
        <f>J17</f>
        <v>100</v>
      </c>
      <c r="X17" s="1336"/>
      <c r="Y17" s="3664"/>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64"/>
      <c r="Q18" s="1347"/>
      <c r="R18" s="1348"/>
      <c r="S18" s="1349"/>
      <c r="T18" s="1348"/>
      <c r="U18" s="1349"/>
      <c r="V18" s="1348"/>
      <c r="W18" s="1349"/>
      <c r="X18" s="1336"/>
      <c r="Y18" s="3664"/>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64"/>
      <c r="Q19" s="1347" t="str">
        <f>B19</f>
        <v>公共配套设施</v>
      </c>
      <c r="R19" s="1348" t="s">
        <v>63</v>
      </c>
      <c r="S19" s="1349">
        <f>F19</f>
        <v>100</v>
      </c>
      <c r="T19" s="1348" t="s">
        <v>63</v>
      </c>
      <c r="U19" s="1349">
        <f>H19</f>
        <v>100</v>
      </c>
      <c r="V19" s="1348" t="s">
        <v>63</v>
      </c>
      <c r="W19" s="1349">
        <f>J19</f>
        <v>100</v>
      </c>
      <c r="X19" s="1336"/>
      <c r="Y19" s="3664"/>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64"/>
      <c r="Q20" s="1347"/>
      <c r="R20" s="1348"/>
      <c r="S20" s="1349"/>
      <c r="T20" s="1348"/>
      <c r="U20" s="1349"/>
      <c r="V20" s="1348"/>
      <c r="W20" s="1349"/>
      <c r="X20" s="1336"/>
      <c r="Y20" s="3664"/>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64"/>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64"/>
      <c r="Q22" s="2742"/>
      <c r="R22" s="1348"/>
      <c r="S22" s="1349"/>
      <c r="T22" s="1348"/>
      <c r="U22" s="1349"/>
      <c r="V22" s="1348"/>
      <c r="W22" s="1349"/>
      <c r="X22" s="2744"/>
      <c r="Y22" s="3664"/>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64"/>
      <c r="Q23" s="1347" t="str">
        <f>B23</f>
        <v>环境质量</v>
      </c>
      <c r="R23" s="1348" t="s">
        <v>63</v>
      </c>
      <c r="S23" s="1349">
        <f>F23</f>
        <v>100</v>
      </c>
      <c r="T23" s="1348" t="s">
        <v>63</v>
      </c>
      <c r="U23" s="1349">
        <f>H23</f>
        <v>100</v>
      </c>
      <c r="V23" s="1348" t="s">
        <v>63</v>
      </c>
      <c r="W23" s="1349">
        <f>J23</f>
        <v>100</v>
      </c>
      <c r="X23" s="1336"/>
      <c r="Y23" s="3664"/>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64"/>
      <c r="Q24" s="1347"/>
      <c r="R24" s="1348"/>
      <c r="S24" s="1349"/>
      <c r="T24" s="1348"/>
      <c r="U24" s="1349"/>
      <c r="V24" s="1348"/>
      <c r="W24" s="1349"/>
      <c r="X24" s="1336"/>
      <c r="Y24" s="3664"/>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64"/>
      <c r="Q25" s="1347">
        <f>B25</f>
        <v>111</v>
      </c>
      <c r="R25" s="1348" t="s">
        <v>63</v>
      </c>
      <c r="S25" s="1349">
        <f>F25</f>
        <v>100</v>
      </c>
      <c r="T25" s="1348" t="s">
        <v>63</v>
      </c>
      <c r="U25" s="1349">
        <f>H25</f>
        <v>100</v>
      </c>
      <c r="V25" s="1348" t="s">
        <v>63</v>
      </c>
      <c r="W25" s="1349">
        <f>J25</f>
        <v>100</v>
      </c>
      <c r="X25" s="1336"/>
      <c r="Y25" s="3664"/>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64"/>
      <c r="Q26" s="1347">
        <f t="shared" ref="Q26:Q40" si="11">B26</f>
        <v>111</v>
      </c>
      <c r="R26" s="1348" t="s">
        <v>63</v>
      </c>
      <c r="S26" s="1349">
        <f>F26</f>
        <v>100</v>
      </c>
      <c r="T26" s="1348" t="s">
        <v>63</v>
      </c>
      <c r="U26" s="1349">
        <f>H26</f>
        <v>100</v>
      </c>
      <c r="V26" s="1348" t="s">
        <v>63</v>
      </c>
      <c r="W26" s="1349">
        <f>J26</f>
        <v>100</v>
      </c>
      <c r="X26" s="1336"/>
      <c r="Y26" s="3664"/>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64"/>
      <c r="Q27" s="7">
        <f t="shared" si="11"/>
        <v>111</v>
      </c>
      <c r="R27" s="1338" t="s">
        <v>63</v>
      </c>
      <c r="S27" s="1339">
        <f>F27</f>
        <v>100</v>
      </c>
      <c r="T27" s="1338" t="s">
        <v>63</v>
      </c>
      <c r="U27" s="1339">
        <f>H27</f>
        <v>100</v>
      </c>
      <c r="V27" s="1338" t="s">
        <v>63</v>
      </c>
      <c r="W27" s="1339">
        <f>J27</f>
        <v>100</v>
      </c>
      <c r="X27" s="287"/>
      <c r="Y27" s="3664"/>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64"/>
      <c r="Q28" s="1347">
        <f t="shared" si="11"/>
        <v>111</v>
      </c>
      <c r="R28" s="1348" t="s">
        <v>63</v>
      </c>
      <c r="S28" s="1349">
        <f t="shared" ref="S28:S40" si="12">F28</f>
        <v>100</v>
      </c>
      <c r="T28" s="1348" t="s">
        <v>63</v>
      </c>
      <c r="U28" s="1349">
        <f t="shared" ref="U28:U40" si="13">H28</f>
        <v>100</v>
      </c>
      <c r="V28" s="1348" t="s">
        <v>63</v>
      </c>
      <c r="W28" s="1349">
        <f t="shared" ref="W28:W40" si="14">J28</f>
        <v>100</v>
      </c>
      <c r="X28" s="1336"/>
      <c r="Y28" s="3664"/>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87" t="s">
        <v>1117</v>
      </c>
      <c r="Q29" s="1347" t="str">
        <f t="shared" si="11"/>
        <v>建筑类型</v>
      </c>
      <c r="R29" s="1348" t="s">
        <v>63</v>
      </c>
      <c r="S29" s="1349">
        <f t="shared" si="12"/>
        <v>100</v>
      </c>
      <c r="T29" s="1348" t="s">
        <v>63</v>
      </c>
      <c r="U29" s="1349">
        <f t="shared" si="13"/>
        <v>100</v>
      </c>
      <c r="V29" s="1348" t="s">
        <v>63</v>
      </c>
      <c r="W29" s="1349">
        <f t="shared" si="14"/>
        <v>100</v>
      </c>
      <c r="X29" s="1336"/>
      <c r="Y29" s="3668"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68"/>
      <c r="Q30" s="1355" t="str">
        <f t="shared" si="11"/>
        <v>项目建筑规模</v>
      </c>
      <c r="R30" s="1356" t="s">
        <v>63</v>
      </c>
      <c r="S30" s="1357" t="e">
        <f t="shared" si="12"/>
        <v>#N/A</v>
      </c>
      <c r="T30" s="1356" t="s">
        <v>63</v>
      </c>
      <c r="U30" s="1357" t="e">
        <f t="shared" si="13"/>
        <v>#N/A</v>
      </c>
      <c r="V30" s="1356" t="s">
        <v>63</v>
      </c>
      <c r="W30" s="1357" t="e">
        <f t="shared" si="14"/>
        <v>#N/A</v>
      </c>
      <c r="X30" s="1358"/>
      <c r="Y30" s="3668"/>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68"/>
      <c r="Q31" s="1347" t="str">
        <f t="shared" si="11"/>
        <v>建筑结构</v>
      </c>
      <c r="R31" s="1348" t="s">
        <v>63</v>
      </c>
      <c r="S31" s="1349">
        <f t="shared" si="12"/>
        <v>100</v>
      </c>
      <c r="T31" s="1348" t="s">
        <v>63</v>
      </c>
      <c r="U31" s="1349">
        <f t="shared" si="13"/>
        <v>100</v>
      </c>
      <c r="V31" s="1348" t="s">
        <v>63</v>
      </c>
      <c r="W31" s="1349">
        <f t="shared" si="14"/>
        <v>100</v>
      </c>
      <c r="X31" s="1336"/>
      <c r="Y31" s="3668"/>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68"/>
      <c r="Q32" s="1347" t="str">
        <f t="shared" si="11"/>
        <v>公共部分装修</v>
      </c>
      <c r="R32" s="1348" t="s">
        <v>63</v>
      </c>
      <c r="S32" s="1349">
        <f t="shared" si="12"/>
        <v>100</v>
      </c>
      <c r="T32" s="1348" t="s">
        <v>63</v>
      </c>
      <c r="U32" s="1349">
        <f t="shared" si="13"/>
        <v>100</v>
      </c>
      <c r="V32" s="1348" t="s">
        <v>63</v>
      </c>
      <c r="W32" s="1349">
        <f t="shared" si="14"/>
        <v>100</v>
      </c>
      <c r="X32" s="1336"/>
      <c r="Y32" s="3668"/>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68"/>
      <c r="Q33" s="1347" t="str">
        <f t="shared" si="11"/>
        <v>成新度</v>
      </c>
      <c r="R33" s="1348" t="s">
        <v>63</v>
      </c>
      <c r="S33" s="1349" t="e">
        <f t="shared" si="12"/>
        <v>#N/A</v>
      </c>
      <c r="T33" s="1348" t="s">
        <v>63</v>
      </c>
      <c r="U33" s="1349" t="e">
        <f t="shared" si="13"/>
        <v>#N/A</v>
      </c>
      <c r="V33" s="1348" t="s">
        <v>63</v>
      </c>
      <c r="W33" s="1349" t="e">
        <f t="shared" si="14"/>
        <v>#N/A</v>
      </c>
      <c r="X33" s="1336"/>
      <c r="Y33" s="3668"/>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68"/>
      <c r="Q34" s="7" t="str">
        <f t="shared" si="11"/>
        <v>物业管理</v>
      </c>
      <c r="R34" s="1338" t="s">
        <v>63</v>
      </c>
      <c r="S34" s="1339">
        <f t="shared" si="12"/>
        <v>100</v>
      </c>
      <c r="T34" s="1338" t="s">
        <v>63</v>
      </c>
      <c r="U34" s="1339">
        <f t="shared" si="13"/>
        <v>100</v>
      </c>
      <c r="V34" s="1338" t="s">
        <v>63</v>
      </c>
      <c r="W34" s="1339">
        <f t="shared" si="14"/>
        <v>100</v>
      </c>
      <c r="X34" s="287"/>
      <c r="Y34" s="3668"/>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68" t="s">
        <v>68</v>
      </c>
      <c r="Q35" s="1347" t="str">
        <f t="shared" si="11"/>
        <v>市政基础设施</v>
      </c>
      <c r="R35" s="1348" t="s">
        <v>63</v>
      </c>
      <c r="S35" s="1349">
        <f t="shared" si="12"/>
        <v>100</v>
      </c>
      <c r="T35" s="1348" t="s">
        <v>63</v>
      </c>
      <c r="U35" s="1349">
        <f t="shared" si="13"/>
        <v>100</v>
      </c>
      <c r="V35" s="1348" t="s">
        <v>63</v>
      </c>
      <c r="W35" s="1349">
        <f t="shared" si="14"/>
        <v>100</v>
      </c>
      <c r="X35" s="1336"/>
      <c r="Y35" s="3668"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68"/>
      <c r="Q36" s="1347" t="str">
        <f t="shared" si="11"/>
        <v>内部装修</v>
      </c>
      <c r="R36" s="1348" t="s">
        <v>63</v>
      </c>
      <c r="S36" s="1349">
        <f t="shared" si="12"/>
        <v>100</v>
      </c>
      <c r="T36" s="1348" t="s">
        <v>63</v>
      </c>
      <c r="U36" s="1349">
        <f t="shared" si="13"/>
        <v>100</v>
      </c>
      <c r="V36" s="1348" t="s">
        <v>63</v>
      </c>
      <c r="W36" s="1349">
        <f t="shared" si="14"/>
        <v>100</v>
      </c>
      <c r="X36" s="1336"/>
      <c r="Y36" s="3668"/>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68"/>
      <c r="Q37" s="1347" t="str">
        <f t="shared" si="11"/>
        <v>内部装修状况</v>
      </c>
      <c r="R37" s="1348" t="s">
        <v>63</v>
      </c>
      <c r="S37" s="1349">
        <f t="shared" si="12"/>
        <v>100</v>
      </c>
      <c r="T37" s="1348" t="s">
        <v>63</v>
      </c>
      <c r="U37" s="1349">
        <f t="shared" si="13"/>
        <v>100</v>
      </c>
      <c r="V37" s="1348" t="s">
        <v>63</v>
      </c>
      <c r="W37" s="1349">
        <f t="shared" si="14"/>
        <v>100</v>
      </c>
      <c r="X37" s="1336"/>
      <c r="Y37" s="3668"/>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68"/>
      <c r="Q38" s="1355">
        <f t="shared" si="11"/>
        <v>111</v>
      </c>
      <c r="R38" s="1356" t="s">
        <v>63</v>
      </c>
      <c r="S38" s="1357">
        <f t="shared" si="12"/>
        <v>100</v>
      </c>
      <c r="T38" s="1356" t="s">
        <v>63</v>
      </c>
      <c r="U38" s="1357">
        <f t="shared" si="13"/>
        <v>100</v>
      </c>
      <c r="V38" s="1356" t="s">
        <v>63</v>
      </c>
      <c r="W38" s="1357">
        <f t="shared" si="14"/>
        <v>100</v>
      </c>
      <c r="X38" s="1358"/>
      <c r="Y38" s="3668"/>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68"/>
      <c r="Q39" s="1347">
        <f t="shared" si="11"/>
        <v>111</v>
      </c>
      <c r="R39" s="1348" t="s">
        <v>63</v>
      </c>
      <c r="S39" s="1349">
        <f t="shared" si="12"/>
        <v>100</v>
      </c>
      <c r="T39" s="1348" t="s">
        <v>63</v>
      </c>
      <c r="U39" s="1349">
        <f t="shared" si="13"/>
        <v>100</v>
      </c>
      <c r="V39" s="1348" t="s">
        <v>63</v>
      </c>
      <c r="W39" s="1349">
        <f t="shared" si="14"/>
        <v>100</v>
      </c>
      <c r="X39" s="1336"/>
      <c r="Y39" s="3668"/>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69"/>
      <c r="Q40" s="1347">
        <f t="shared" si="11"/>
        <v>111</v>
      </c>
      <c r="R40" s="1348" t="s">
        <v>63</v>
      </c>
      <c r="S40" s="1349">
        <f t="shared" si="12"/>
        <v>100</v>
      </c>
      <c r="T40" s="1348" t="s">
        <v>63</v>
      </c>
      <c r="U40" s="1349">
        <f t="shared" si="13"/>
        <v>100</v>
      </c>
      <c r="V40" s="1348" t="s">
        <v>63</v>
      </c>
      <c r="W40" s="1349">
        <f t="shared" si="14"/>
        <v>100</v>
      </c>
      <c r="X40" s="1336"/>
      <c r="Y40" s="3669"/>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61" t="str">
        <f>A41</f>
        <v>成交单价（元/平方米）</v>
      </c>
      <c r="Q41" s="3661"/>
      <c r="R41" s="3662">
        <f>E41</f>
        <v>0</v>
      </c>
      <c r="S41" s="3662"/>
      <c r="T41" s="3662">
        <f>G41</f>
        <v>0</v>
      </c>
      <c r="U41" s="3662"/>
      <c r="V41" s="3662">
        <f>I41</f>
        <v>0</v>
      </c>
      <c r="W41" s="3662"/>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58" t="str">
        <f>A43</f>
        <v>估价对象XX用房的比较价值（楼面单价，元/平方米）</v>
      </c>
      <c r="Q43" s="3659"/>
      <c r="R43" s="3660" t="e">
        <f>IF(F1="售价",ROUND(AVERAGE(R42:V42),0),ROUND(AVERAGE(R42:V42),1))</f>
        <v>#DIV/0!</v>
      </c>
      <c r="S43" s="3660"/>
      <c r="T43" s="3660"/>
      <c r="U43" s="3660"/>
      <c r="V43" s="3660"/>
      <c r="W43" s="3660"/>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691" t="s">
        <v>2378</v>
      </c>
      <c r="D1" s="3692"/>
      <c r="E1" s="3692"/>
      <c r="F1" s="3692"/>
      <c r="G1" s="3692"/>
      <c r="H1" s="3692"/>
      <c r="I1" s="3692"/>
      <c r="J1" s="3692"/>
      <c r="K1" s="3692"/>
      <c r="L1" s="3692"/>
      <c r="M1" s="3692"/>
      <c r="N1" s="3692"/>
      <c r="O1" s="3692"/>
      <c r="P1" s="3692"/>
      <c r="Q1" s="3692"/>
      <c r="R1" s="3692"/>
      <c r="S1" s="3693"/>
      <c r="T1" s="2437" t="s">
        <v>2379</v>
      </c>
    </row>
    <row r="2" spans="1:45" s="1112" customFormat="1" ht="38.25">
      <c r="A2" s="2438"/>
      <c r="B2" s="1108" t="s">
        <v>2380</v>
      </c>
      <c r="C2" s="1109" t="str">
        <f t="shared" ref="C2:L2" si="0">C3&amp;"(含)"&amp;"-"&amp;D3</f>
        <v>2000(含)-5000</v>
      </c>
      <c r="D2" s="1110" t="str">
        <f t="shared" si="0"/>
        <v>5000(含)-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2000</v>
      </c>
      <c r="D3" s="1115">
        <v>5000</v>
      </c>
      <c r="E3" s="1115"/>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4"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5"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5"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4"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4"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4"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3398</v>
      </c>
      <c r="D17" s="2465" t="s">
        <v>3399</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35466</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36019</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9846.4500000000007</v>
      </c>
      <c r="C22" s="3688" t="s">
        <v>167</v>
      </c>
      <c r="D22" s="3689"/>
      <c r="E22" s="3689"/>
      <c r="F22" s="3689"/>
      <c r="G22" s="3689"/>
      <c r="H22" s="3689"/>
      <c r="I22" s="3689"/>
      <c r="J22" s="3689"/>
      <c r="K22" s="3689"/>
      <c r="L22" s="3689"/>
      <c r="M22" s="3689"/>
      <c r="N22" s="3689"/>
      <c r="O22" s="3689"/>
      <c r="P22" s="3689"/>
      <c r="Q22" s="3690"/>
      <c r="R22" s="1121">
        <f>ROUND(S22*10000/B22,0)</f>
        <v>36019</v>
      </c>
      <c r="S22" s="313">
        <f>SUM(S24:S10000)</f>
        <v>35466</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2" t="s">
        <v>3396</v>
      </c>
      <c r="B24" s="1123">
        <f>'数据-汇总表'!F20</f>
        <v>4770.78</v>
      </c>
      <c r="C24" s="1124">
        <v>1</v>
      </c>
      <c r="D24" s="1125"/>
      <c r="E24" s="1124">
        <v>1</v>
      </c>
      <c r="F24" s="1125"/>
      <c r="G24" s="1124">
        <v>1</v>
      </c>
      <c r="H24" s="1125"/>
      <c r="I24" s="1124">
        <v>1</v>
      </c>
      <c r="J24" s="1125"/>
      <c r="K24" s="1124">
        <v>1</v>
      </c>
      <c r="L24" s="1125"/>
      <c r="M24" s="1124">
        <v>1</v>
      </c>
      <c r="N24" s="1125"/>
      <c r="O24" s="1124">
        <v>1</v>
      </c>
      <c r="P24" s="1125" t="s">
        <v>3400</v>
      </c>
      <c r="Q24" s="1124">
        <v>1</v>
      </c>
      <c r="R24" s="1126">
        <f>'比较法-商业'!C48</f>
        <v>45375</v>
      </c>
      <c r="S24" s="1124">
        <f t="shared" ref="S24:S54" si="11">ROUND(R24*B24/10000,0)</f>
        <v>21647</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3" t="s">
        <v>3397</v>
      </c>
      <c r="B25" s="348">
        <f>'数据-汇总表'!G20</f>
        <v>5075.67</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3401</v>
      </c>
      <c r="Q25" s="313">
        <f>(SUMIF($17:$17,P25,$18:$18)-SUMIF($17:$17,$P$24,$18:$18)+100)/100</f>
        <v>0.6</v>
      </c>
      <c r="R25" s="1121">
        <f>IF(B25="",0,ROUND($R$24*C25*E25*G25*I25*K25*M25*O25*Q25,0))</f>
        <v>27225</v>
      </c>
      <c r="S25" s="698">
        <f t="shared" si="11"/>
        <v>13819</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5487</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6669.35</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0" t="s">
        <v>446</v>
      </c>
      <c r="D4" s="3581"/>
      <c r="E4" s="3582" t="s">
        <v>447</v>
      </c>
      <c r="F4" s="3583"/>
      <c r="G4" s="3580" t="s">
        <v>448</v>
      </c>
      <c r="H4" s="3581"/>
      <c r="I4" s="3580" t="s">
        <v>449</v>
      </c>
      <c r="J4" s="3581"/>
      <c r="K4" s="950" t="s">
        <v>450</v>
      </c>
      <c r="L4" s="2344"/>
      <c r="M4" s="2345"/>
      <c r="N4" s="2345"/>
      <c r="O4" s="2345"/>
      <c r="P4" s="3584" t="s">
        <v>451</v>
      </c>
      <c r="Q4" s="3585"/>
      <c r="R4" s="3567" t="s">
        <v>447</v>
      </c>
      <c r="S4" s="3568"/>
      <c r="T4" s="3567" t="s">
        <v>448</v>
      </c>
      <c r="U4" s="3568"/>
      <c r="V4" s="3592" t="s">
        <v>449</v>
      </c>
      <c r="W4" s="3592"/>
      <c r="X4" s="2829"/>
      <c r="Y4" s="3567" t="s">
        <v>451</v>
      </c>
      <c r="Z4" s="3568"/>
      <c r="AA4" s="3562" t="s">
        <v>447</v>
      </c>
      <c r="AB4" s="3563" t="s">
        <v>448</v>
      </c>
      <c r="AC4" s="3562" t="s">
        <v>449</v>
      </c>
    </row>
    <row r="5" spans="1:29" ht="15">
      <c r="A5" s="747"/>
      <c r="B5" s="748"/>
      <c r="C5" s="3696" t="s">
        <v>3012</v>
      </c>
      <c r="D5" s="3697"/>
      <c r="E5" s="3694" t="str">
        <f>车库!A2</f>
        <v>北京诺德中心</v>
      </c>
      <c r="F5" s="3695"/>
      <c r="G5" s="3696" t="str">
        <f>车库!A10</f>
        <v>大成郡</v>
      </c>
      <c r="H5" s="3697"/>
      <c r="I5" s="3573" t="s">
        <v>3388</v>
      </c>
      <c r="J5" s="3697"/>
      <c r="K5" s="950"/>
      <c r="L5" s="2344"/>
      <c r="M5" s="2345"/>
      <c r="N5" s="2345"/>
      <c r="O5" s="2345"/>
      <c r="P5" s="3586"/>
      <c r="Q5" s="3587"/>
      <c r="R5" s="3569"/>
      <c r="S5" s="3570"/>
      <c r="T5" s="3569"/>
      <c r="U5" s="3570"/>
      <c r="V5" s="3592"/>
      <c r="W5" s="3592"/>
      <c r="X5" s="2829"/>
      <c r="Y5" s="3569"/>
      <c r="Z5" s="3570"/>
      <c r="AA5" s="3563"/>
      <c r="AB5" s="3563"/>
      <c r="AC5" s="3563"/>
    </row>
    <row r="6" spans="1:29" ht="15.75" thickBot="1">
      <c r="A6" s="749"/>
      <c r="B6" s="750"/>
      <c r="C6" s="3698" t="s">
        <v>3013</v>
      </c>
      <c r="D6" s="3699"/>
      <c r="E6" s="3700" t="s">
        <v>3013</v>
      </c>
      <c r="F6" s="3701"/>
      <c r="G6" s="3698" t="s">
        <v>3013</v>
      </c>
      <c r="H6" s="3699"/>
      <c r="I6" s="3698" t="s">
        <v>3013</v>
      </c>
      <c r="J6" s="3699"/>
      <c r="K6" s="950" t="s">
        <v>393</v>
      </c>
      <c r="L6" s="2344"/>
      <c r="M6" s="2345"/>
      <c r="N6" s="2345"/>
      <c r="O6" s="2345"/>
      <c r="P6" s="3588"/>
      <c r="Q6" s="3589"/>
      <c r="R6" s="3569"/>
      <c r="S6" s="3570"/>
      <c r="T6" s="3590"/>
      <c r="U6" s="3591"/>
      <c r="V6" s="3592"/>
      <c r="W6" s="3592"/>
      <c r="X6" s="2829"/>
      <c r="Y6" s="3590"/>
      <c r="Z6" s="3591"/>
      <c r="AA6" s="3564"/>
      <c r="AB6" s="3564"/>
      <c r="AC6" s="3564"/>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565" t="s">
        <v>395</v>
      </c>
      <c r="Q7" s="3593"/>
      <c r="R7" s="1315" t="s">
        <v>63</v>
      </c>
      <c r="S7" s="1316">
        <f t="shared" ref="S7:S14" si="0">F7</f>
        <v>100</v>
      </c>
      <c r="T7" s="1315" t="s">
        <v>63</v>
      </c>
      <c r="U7" s="1316">
        <f t="shared" ref="U7:U14" si="1">H7</f>
        <v>100</v>
      </c>
      <c r="V7" s="1315" t="s">
        <v>63</v>
      </c>
      <c r="W7" s="1316">
        <f t="shared" ref="W7:W14" si="2">J7</f>
        <v>100</v>
      </c>
      <c r="X7" s="1317"/>
      <c r="Y7" s="3565" t="s">
        <v>395</v>
      </c>
      <c r="Z7" s="3566"/>
      <c r="AA7" s="1318">
        <f>D7/F7</f>
        <v>1</v>
      </c>
      <c r="AB7" s="1318">
        <f>D7/H7</f>
        <v>1</v>
      </c>
      <c r="AC7" s="1318">
        <f>D7/J7</f>
        <v>1</v>
      </c>
    </row>
    <row r="8" spans="1:29" s="407" customFormat="1" ht="15.75" thickBot="1">
      <c r="A8" s="751" t="s">
        <v>396</v>
      </c>
      <c r="B8" s="752"/>
      <c r="C8" s="757" t="s">
        <v>413</v>
      </c>
      <c r="D8" s="754">
        <v>100</v>
      </c>
      <c r="E8" s="3354" t="s">
        <v>3281</v>
      </c>
      <c r="F8" s="756">
        <f>SUMIF(51:51,E8,52:52)-SUMIF(51:51,C8,52:52)+100</f>
        <v>100</v>
      </c>
      <c r="G8" s="3354" t="s">
        <v>3281</v>
      </c>
      <c r="H8" s="754">
        <f>SUMIF(51:51,G8,52:52)-SUMIF(51:51,C8,52:52)+100</f>
        <v>100</v>
      </c>
      <c r="I8" s="3354" t="s">
        <v>3272</v>
      </c>
      <c r="J8" s="754">
        <f>SUMIF(51:51,I8,52:52)-SUMIF(51:51,C8,52:52)+100</f>
        <v>100</v>
      </c>
      <c r="K8" s="951"/>
      <c r="L8" s="2346"/>
      <c r="M8" s="2347"/>
      <c r="N8" s="2347"/>
      <c r="O8" s="2347"/>
      <c r="P8" s="3565" t="s">
        <v>431</v>
      </c>
      <c r="Q8" s="3566"/>
      <c r="R8" s="1315" t="s">
        <v>63</v>
      </c>
      <c r="S8" s="1316">
        <f t="shared" si="0"/>
        <v>100</v>
      </c>
      <c r="T8" s="1315" t="s">
        <v>63</v>
      </c>
      <c r="U8" s="1316">
        <f t="shared" si="1"/>
        <v>100</v>
      </c>
      <c r="V8" s="1315" t="s">
        <v>63</v>
      </c>
      <c r="W8" s="1316">
        <f t="shared" si="2"/>
        <v>100</v>
      </c>
      <c r="X8" s="1317"/>
      <c r="Y8" s="3565" t="s">
        <v>431</v>
      </c>
      <c r="Z8" s="3566"/>
      <c r="AA8" s="1318">
        <f t="shared" ref="AA8:AA36" si="3">D8/F8</f>
        <v>1</v>
      </c>
      <c r="AB8" s="1318">
        <f t="shared" ref="AB8:AB36" si="4">D8/H8</f>
        <v>1</v>
      </c>
      <c r="AC8" s="1318">
        <f t="shared" ref="AC8:AC36" si="5">D8/J8</f>
        <v>1</v>
      </c>
    </row>
    <row r="9" spans="1:29" s="407" customFormat="1">
      <c r="A9" s="358" t="s">
        <v>397</v>
      </c>
      <c r="B9" s="980" t="s">
        <v>415</v>
      </c>
      <c r="C9" s="3348" t="s">
        <v>3378</v>
      </c>
      <c r="D9" s="425">
        <v>100</v>
      </c>
      <c r="E9" s="3355" t="s">
        <v>3378</v>
      </c>
      <c r="F9" s="425">
        <f>SUMIF(53:53,E9,54:54)-SUMIF(53:53,C9,54:54)+100</f>
        <v>100</v>
      </c>
      <c r="G9" s="3356" t="s">
        <v>3378</v>
      </c>
      <c r="H9" s="425">
        <f>SUMIF(53:53,G9,54:54)-SUMIF(53:53,C9,54:54)+100</f>
        <v>100</v>
      </c>
      <c r="I9" s="3356" t="s">
        <v>3389</v>
      </c>
      <c r="J9" s="425">
        <f>SUMIF(53:53,I9,54:54)-SUMIF(53:53,C9,54:54)+100</f>
        <v>100</v>
      </c>
      <c r="K9" s="951"/>
      <c r="L9" s="2346"/>
      <c r="M9" s="2347"/>
      <c r="N9" s="2347"/>
      <c r="O9" s="2347"/>
      <c r="P9" s="3579" t="s">
        <v>398</v>
      </c>
      <c r="Q9" s="2828" t="str">
        <f t="shared" ref="Q9:Q14" si="6">B9</f>
        <v>用途</v>
      </c>
      <c r="R9" s="1315" t="s">
        <v>63</v>
      </c>
      <c r="S9" s="1316">
        <f t="shared" si="0"/>
        <v>100</v>
      </c>
      <c r="T9" s="1315" t="s">
        <v>63</v>
      </c>
      <c r="U9" s="1316">
        <f t="shared" si="1"/>
        <v>100</v>
      </c>
      <c r="V9" s="1315" t="s">
        <v>63</v>
      </c>
      <c r="W9" s="1316">
        <f t="shared" si="2"/>
        <v>100</v>
      </c>
      <c r="X9" s="1317"/>
      <c r="Y9" s="3536" t="s">
        <v>399</v>
      </c>
      <c r="Z9" s="344" t="str">
        <f t="shared" ref="Z9:Z14" si="7">Q9</f>
        <v>用途</v>
      </c>
      <c r="AA9" s="1318">
        <f t="shared" si="3"/>
        <v>1</v>
      </c>
      <c r="AB9" s="1318">
        <f t="shared" si="4"/>
        <v>1</v>
      </c>
      <c r="AC9" s="1318">
        <f t="shared" si="5"/>
        <v>1</v>
      </c>
    </row>
    <row r="10" spans="1:29" s="768" customFormat="1" ht="27">
      <c r="A10" s="981"/>
      <c r="B10" s="982" t="s">
        <v>400</v>
      </c>
      <c r="C10" s="764" t="s">
        <v>3244</v>
      </c>
      <c r="D10" s="426">
        <v>100</v>
      </c>
      <c r="E10" s="764" t="s">
        <v>3244</v>
      </c>
      <c r="F10" s="426">
        <f>SUMIF(55:55,E10,56:56)-SUMIF(55:55,C10,56:56)+100</f>
        <v>100</v>
      </c>
      <c r="G10" s="765" t="s">
        <v>3244</v>
      </c>
      <c r="H10" s="426">
        <f>SUMIF(55:55,G10,56:56)-SUMIF(55:55,C10,56:56)+100</f>
        <v>100</v>
      </c>
      <c r="I10" s="764" t="s">
        <v>3244</v>
      </c>
      <c r="J10" s="426">
        <f>SUMIF(55:55,I10,56:56)-SUMIF(55:55,C10,56:56)+100</f>
        <v>100</v>
      </c>
      <c r="K10" s="952"/>
      <c r="L10" s="2349"/>
      <c r="M10" s="2350"/>
      <c r="N10" s="2350"/>
      <c r="O10" s="2350"/>
      <c r="P10" s="3579"/>
      <c r="Q10" s="2828" t="str">
        <f t="shared" si="6"/>
        <v>土地使用年限（年）</v>
      </c>
      <c r="R10" s="1315" t="s">
        <v>63</v>
      </c>
      <c r="S10" s="1316">
        <f t="shared" si="0"/>
        <v>100</v>
      </c>
      <c r="T10" s="1315" t="s">
        <v>63</v>
      </c>
      <c r="U10" s="1316">
        <f t="shared" si="1"/>
        <v>100</v>
      </c>
      <c r="V10" s="1315" t="s">
        <v>63</v>
      </c>
      <c r="W10" s="1316">
        <f t="shared" si="2"/>
        <v>100</v>
      </c>
      <c r="X10" s="1317"/>
      <c r="Y10" s="3536"/>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79"/>
      <c r="Q11" s="2828">
        <f t="shared" si="6"/>
        <v>111</v>
      </c>
      <c r="R11" s="1315" t="s">
        <v>63</v>
      </c>
      <c r="S11" s="1316">
        <f t="shared" si="0"/>
        <v>100</v>
      </c>
      <c r="T11" s="1315" t="s">
        <v>63</v>
      </c>
      <c r="U11" s="1316">
        <f t="shared" si="1"/>
        <v>100</v>
      </c>
      <c r="V11" s="1315" t="s">
        <v>63</v>
      </c>
      <c r="W11" s="1316">
        <f t="shared" si="2"/>
        <v>100</v>
      </c>
      <c r="X11" s="1317"/>
      <c r="Y11" s="3536"/>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79"/>
      <c r="Q12" s="2828">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79"/>
      <c r="Q13" s="2828">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94" t="s">
        <v>403</v>
      </c>
      <c r="Q14" s="2830" t="str">
        <f t="shared" si="6"/>
        <v>交通便捷度</v>
      </c>
      <c r="R14" s="1320" t="s">
        <v>63</v>
      </c>
      <c r="S14" s="1321">
        <f t="shared" si="0"/>
        <v>100</v>
      </c>
      <c r="T14" s="1320" t="s">
        <v>63</v>
      </c>
      <c r="U14" s="1321">
        <f t="shared" si="1"/>
        <v>98</v>
      </c>
      <c r="V14" s="1320" t="s">
        <v>63</v>
      </c>
      <c r="W14" s="1321">
        <f t="shared" si="2"/>
        <v>100</v>
      </c>
      <c r="X14" s="2829"/>
      <c r="Y14" s="3594" t="s">
        <v>403</v>
      </c>
      <c r="Z14" s="2831" t="str">
        <f t="shared" si="7"/>
        <v>交通便捷度</v>
      </c>
      <c r="AA14" s="1323">
        <f t="shared" si="3"/>
        <v>1</v>
      </c>
      <c r="AB14" s="1323">
        <f t="shared" si="4"/>
        <v>1.0204081632653061</v>
      </c>
      <c r="AC14" s="1323">
        <f t="shared" si="5"/>
        <v>1</v>
      </c>
    </row>
    <row r="15" spans="1:29" ht="15">
      <c r="A15" s="747"/>
      <c r="B15" s="987"/>
      <c r="C15" s="97" t="s">
        <v>3201</v>
      </c>
      <c r="D15" s="789"/>
      <c r="E15" s="788" t="s">
        <v>3201</v>
      </c>
      <c r="F15" s="790"/>
      <c r="G15" s="788" t="s">
        <v>3200</v>
      </c>
      <c r="H15" s="791"/>
      <c r="I15" s="788" t="s">
        <v>3201</v>
      </c>
      <c r="J15" s="789"/>
      <c r="K15" s="955"/>
      <c r="L15" s="2354"/>
      <c r="M15" s="2345"/>
      <c r="N15" s="2345"/>
      <c r="O15" s="2345"/>
      <c r="P15" s="3595"/>
      <c r="Q15" s="2830"/>
      <c r="R15" s="1320"/>
      <c r="S15" s="1321"/>
      <c r="T15" s="1320"/>
      <c r="U15" s="1321"/>
      <c r="V15" s="1320"/>
      <c r="W15" s="1321"/>
      <c r="X15" s="2829"/>
      <c r="Y15" s="3595"/>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95"/>
      <c r="Q16" s="2830" t="str">
        <f>B16</f>
        <v>公共配套设施</v>
      </c>
      <c r="R16" s="1320" t="s">
        <v>63</v>
      </c>
      <c r="S16" s="1321">
        <f>F16</f>
        <v>100</v>
      </c>
      <c r="T16" s="1320" t="s">
        <v>63</v>
      </c>
      <c r="U16" s="1321">
        <f>H16</f>
        <v>102</v>
      </c>
      <c r="V16" s="1320" t="s">
        <v>63</v>
      </c>
      <c r="W16" s="1321">
        <f>J16</f>
        <v>98</v>
      </c>
      <c r="X16" s="2829"/>
      <c r="Y16" s="3595"/>
      <c r="Z16" s="2831" t="str">
        <f>Q16</f>
        <v>公共配套设施</v>
      </c>
      <c r="AA16" s="1323">
        <f t="shared" si="3"/>
        <v>1</v>
      </c>
      <c r="AB16" s="1323">
        <f t="shared" si="4"/>
        <v>0.98039215686274506</v>
      </c>
      <c r="AC16" s="1323">
        <f t="shared" si="5"/>
        <v>1.0204081632653061</v>
      </c>
    </row>
    <row r="17" spans="1:29" ht="15">
      <c r="A17" s="747"/>
      <c r="B17" s="972"/>
      <c r="C17" s="102" t="s">
        <v>3200</v>
      </c>
      <c r="D17" s="789"/>
      <c r="E17" s="788" t="s">
        <v>3200</v>
      </c>
      <c r="F17" s="790"/>
      <c r="G17" s="788" t="s">
        <v>3201</v>
      </c>
      <c r="H17" s="789"/>
      <c r="I17" s="788" t="s">
        <v>3199</v>
      </c>
      <c r="J17" s="789"/>
      <c r="K17" s="955"/>
      <c r="L17" s="2354"/>
      <c r="M17" s="2345"/>
      <c r="N17" s="2345"/>
      <c r="O17" s="2345"/>
      <c r="P17" s="3595"/>
      <c r="Q17" s="2830"/>
      <c r="R17" s="1320"/>
      <c r="S17" s="1321"/>
      <c r="T17" s="1320"/>
      <c r="U17" s="1321"/>
      <c r="V17" s="1320"/>
      <c r="W17" s="1321"/>
      <c r="X17" s="2829"/>
      <c r="Y17" s="3595"/>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95"/>
      <c r="Q18" s="2830" t="str">
        <f>B18</f>
        <v>基础设施水平</v>
      </c>
      <c r="R18" s="1320" t="s">
        <v>63</v>
      </c>
      <c r="S18" s="1321">
        <f>F18</f>
        <v>100</v>
      </c>
      <c r="T18" s="1320" t="s">
        <v>63</v>
      </c>
      <c r="U18" s="1321">
        <f>H18</f>
        <v>100</v>
      </c>
      <c r="V18" s="1320" t="s">
        <v>63</v>
      </c>
      <c r="W18" s="1321">
        <f>J18</f>
        <v>100</v>
      </c>
      <c r="X18" s="2829"/>
      <c r="Y18" s="3595"/>
      <c r="Z18" s="2831" t="str">
        <f>Q18</f>
        <v>基础设施水平</v>
      </c>
      <c r="AA18" s="1323">
        <f t="shared" ref="AA18" si="8">D18/F18</f>
        <v>1</v>
      </c>
      <c r="AB18" s="1323">
        <f t="shared" ref="AB18" si="9">D18/H18</f>
        <v>1</v>
      </c>
      <c r="AC18" s="1323">
        <f t="shared" ref="AC18" si="10">D18/J18</f>
        <v>1</v>
      </c>
    </row>
    <row r="19" spans="1:29" ht="15">
      <c r="A19" s="747"/>
      <c r="B19" s="973"/>
      <c r="C19" s="102" t="s">
        <v>3202</v>
      </c>
      <c r="D19" s="791"/>
      <c r="E19" s="102" t="s">
        <v>3202</v>
      </c>
      <c r="F19" s="794"/>
      <c r="G19" s="102" t="s">
        <v>3202</v>
      </c>
      <c r="H19" s="789"/>
      <c r="I19" s="97" t="s">
        <v>3202</v>
      </c>
      <c r="J19" s="789"/>
      <c r="K19" s="2763"/>
      <c r="L19" s="2354"/>
      <c r="M19" s="2345"/>
      <c r="N19" s="2345"/>
      <c r="O19" s="2345"/>
      <c r="P19" s="3595"/>
      <c r="Q19" s="2830"/>
      <c r="R19" s="1320"/>
      <c r="S19" s="1321"/>
      <c r="T19" s="1320"/>
      <c r="U19" s="1321"/>
      <c r="V19" s="1320"/>
      <c r="W19" s="1321"/>
      <c r="X19" s="2829"/>
      <c r="Y19" s="3595"/>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95"/>
      <c r="Q20" s="2830" t="str">
        <f>B20</f>
        <v>自然及人文环境</v>
      </c>
      <c r="R20" s="1320" t="s">
        <v>63</v>
      </c>
      <c r="S20" s="1321">
        <f>F20</f>
        <v>100</v>
      </c>
      <c r="T20" s="1320" t="s">
        <v>63</v>
      </c>
      <c r="U20" s="1321">
        <f>H20</f>
        <v>100</v>
      </c>
      <c r="V20" s="1320" t="s">
        <v>63</v>
      </c>
      <c r="W20" s="1321">
        <f>J20</f>
        <v>98</v>
      </c>
      <c r="X20" s="2829"/>
      <c r="Y20" s="3595"/>
      <c r="Z20" s="2831" t="str">
        <f>Q20</f>
        <v>自然及人文环境</v>
      </c>
      <c r="AA20" s="1323">
        <f t="shared" si="3"/>
        <v>1</v>
      </c>
      <c r="AB20" s="1323">
        <f t="shared" si="4"/>
        <v>1</v>
      </c>
      <c r="AC20" s="1323">
        <f t="shared" si="5"/>
        <v>1.0204081632653061</v>
      </c>
    </row>
    <row r="21" spans="1:29" ht="15">
      <c r="A21" s="747"/>
      <c r="B21" s="972"/>
      <c r="C21" s="788" t="s">
        <v>3200</v>
      </c>
      <c r="D21" s="789"/>
      <c r="E21" s="788" t="s">
        <v>3200</v>
      </c>
      <c r="F21" s="790"/>
      <c r="G21" s="788" t="s">
        <v>3200</v>
      </c>
      <c r="H21" s="789"/>
      <c r="I21" s="788" t="s">
        <v>3199</v>
      </c>
      <c r="J21" s="789"/>
      <c r="K21" s="955"/>
      <c r="L21" s="2354"/>
      <c r="M21" s="2345"/>
      <c r="N21" s="2345"/>
      <c r="O21" s="2345"/>
      <c r="P21" s="3595"/>
      <c r="Q21" s="2830"/>
      <c r="R21" s="1320"/>
      <c r="S21" s="1321"/>
      <c r="T21" s="1320"/>
      <c r="U21" s="1321"/>
      <c r="V21" s="1320"/>
      <c r="W21" s="1321"/>
      <c r="X21" s="2829"/>
      <c r="Y21" s="3595"/>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95"/>
      <c r="Q22" s="2830" t="str">
        <f>B22</f>
        <v>楼层</v>
      </c>
      <c r="R22" s="1320" t="s">
        <v>63</v>
      </c>
      <c r="S22" s="1321">
        <f>F22</f>
        <v>100</v>
      </c>
      <c r="T22" s="1320" t="s">
        <v>63</v>
      </c>
      <c r="U22" s="1321">
        <f>H22</f>
        <v>100</v>
      </c>
      <c r="V22" s="1320" t="s">
        <v>63</v>
      </c>
      <c r="W22" s="1321">
        <f>J22</f>
        <v>100</v>
      </c>
      <c r="X22" s="2829"/>
      <c r="Y22" s="3595"/>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95"/>
      <c r="Q23" s="2830">
        <f>B23</f>
        <v>111</v>
      </c>
      <c r="R23" s="1320" t="s">
        <v>63</v>
      </c>
      <c r="S23" s="1321">
        <f>F23</f>
        <v>100</v>
      </c>
      <c r="T23" s="1320" t="s">
        <v>63</v>
      </c>
      <c r="U23" s="1321">
        <f>H23</f>
        <v>100</v>
      </c>
      <c r="V23" s="1320" t="s">
        <v>63</v>
      </c>
      <c r="W23" s="1321">
        <f>J23</f>
        <v>100</v>
      </c>
      <c r="X23" s="2829"/>
      <c r="Y23" s="3595"/>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95"/>
      <c r="Q24" s="2830">
        <f t="shared" ref="Q24:Q36" si="11">B24</f>
        <v>111</v>
      </c>
      <c r="R24" s="1320" t="s">
        <v>63</v>
      </c>
      <c r="S24" s="1321">
        <f>F24</f>
        <v>100</v>
      </c>
      <c r="T24" s="1320" t="s">
        <v>63</v>
      </c>
      <c r="U24" s="1321">
        <f>H24</f>
        <v>100</v>
      </c>
      <c r="V24" s="1320" t="s">
        <v>63</v>
      </c>
      <c r="W24" s="1321">
        <f>J24</f>
        <v>100</v>
      </c>
      <c r="X24" s="2829"/>
      <c r="Y24" s="3595"/>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95"/>
      <c r="Q25" s="2828">
        <f t="shared" si="11"/>
        <v>111</v>
      </c>
      <c r="R25" s="1315" t="s">
        <v>63</v>
      </c>
      <c r="S25" s="1316">
        <f>F25</f>
        <v>100</v>
      </c>
      <c r="T25" s="1315" t="s">
        <v>63</v>
      </c>
      <c r="U25" s="1316">
        <f>H25</f>
        <v>100</v>
      </c>
      <c r="V25" s="1315" t="s">
        <v>63</v>
      </c>
      <c r="W25" s="1316">
        <f>J25</f>
        <v>100</v>
      </c>
      <c r="X25" s="1317"/>
      <c r="Y25" s="3595"/>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96"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97" t="s">
        <v>405</v>
      </c>
      <c r="Z26" s="2831" t="str">
        <f t="shared" ref="Z26:Z36" si="15">Q26</f>
        <v>配套类型</v>
      </c>
      <c r="AA26" s="1323">
        <f t="shared" si="3"/>
        <v>1</v>
      </c>
      <c r="AB26" s="1323">
        <f t="shared" si="4"/>
        <v>1</v>
      </c>
      <c r="AC26" s="1323">
        <f t="shared" si="5"/>
        <v>1</v>
      </c>
    </row>
    <row r="27" spans="1:29" s="811" customFormat="1" ht="15">
      <c r="A27" s="993"/>
      <c r="B27" s="994" t="s">
        <v>456</v>
      </c>
      <c r="C27" s="3349" t="s">
        <v>3379</v>
      </c>
      <c r="D27" s="426">
        <v>100</v>
      </c>
      <c r="E27" s="3349" t="s">
        <v>3379</v>
      </c>
      <c r="F27" s="802">
        <f>SUMIF(81:81,E27,82:82)-SUMIF(81:81,C27,82:82)+100</f>
        <v>100</v>
      </c>
      <c r="G27" s="3349" t="s">
        <v>3386</v>
      </c>
      <c r="H27" s="776">
        <f>SUMIF(81:81,G27,82:82)-SUMIF(81:81,C27,82:82)+100</f>
        <v>95</v>
      </c>
      <c r="I27" s="3349" t="s">
        <v>3387</v>
      </c>
      <c r="J27" s="776">
        <f>SUMIF(81:81,I27,82:82)-SUMIF(81:81,C27,82:82)+100</f>
        <v>100</v>
      </c>
      <c r="K27" s="953"/>
      <c r="L27" s="2352"/>
      <c r="M27" s="2355"/>
      <c r="N27" s="2355"/>
      <c r="O27" s="2355"/>
      <c r="P27" s="3597"/>
      <c r="Q27" s="1324" t="str">
        <f t="shared" si="11"/>
        <v>项目停车位配比</v>
      </c>
      <c r="R27" s="1325" t="s">
        <v>63</v>
      </c>
      <c r="S27" s="1326">
        <f t="shared" si="12"/>
        <v>100</v>
      </c>
      <c r="T27" s="1325" t="s">
        <v>63</v>
      </c>
      <c r="U27" s="1326">
        <f t="shared" si="13"/>
        <v>95</v>
      </c>
      <c r="V27" s="1325" t="s">
        <v>63</v>
      </c>
      <c r="W27" s="1326">
        <f t="shared" si="14"/>
        <v>100</v>
      </c>
      <c r="X27" s="1327"/>
      <c r="Y27" s="3597"/>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97"/>
      <c r="Q28" s="2830" t="str">
        <f t="shared" si="11"/>
        <v>公共部分装修</v>
      </c>
      <c r="R28" s="1320" t="s">
        <v>63</v>
      </c>
      <c r="S28" s="1321">
        <f t="shared" si="12"/>
        <v>100</v>
      </c>
      <c r="T28" s="1320" t="s">
        <v>63</v>
      </c>
      <c r="U28" s="1321">
        <f t="shared" si="13"/>
        <v>100</v>
      </c>
      <c r="V28" s="1320" t="s">
        <v>63</v>
      </c>
      <c r="W28" s="1321">
        <f t="shared" si="14"/>
        <v>100</v>
      </c>
      <c r="X28" s="2829"/>
      <c r="Y28" s="3597"/>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97"/>
      <c r="Q29" s="2830" t="str">
        <f t="shared" si="11"/>
        <v>成新率</v>
      </c>
      <c r="R29" s="1320" t="s">
        <v>63</v>
      </c>
      <c r="S29" s="1321">
        <f t="shared" si="12"/>
        <v>100</v>
      </c>
      <c r="T29" s="1320" t="s">
        <v>63</v>
      </c>
      <c r="U29" s="1321">
        <f t="shared" si="13"/>
        <v>100</v>
      </c>
      <c r="V29" s="1320" t="s">
        <v>63</v>
      </c>
      <c r="W29" s="1321">
        <f t="shared" si="14"/>
        <v>100</v>
      </c>
      <c r="X29" s="2829"/>
      <c r="Y29" s="3597"/>
      <c r="Z29" s="2831" t="str">
        <f t="shared" si="15"/>
        <v>成新率</v>
      </c>
      <c r="AA29" s="1323">
        <f t="shared" si="3"/>
        <v>1</v>
      </c>
      <c r="AB29" s="1323">
        <f t="shared" si="4"/>
        <v>1</v>
      </c>
      <c r="AC29" s="1323">
        <f t="shared" si="5"/>
        <v>1</v>
      </c>
    </row>
    <row r="30" spans="1:29" ht="15">
      <c r="A30" s="995"/>
      <c r="B30" s="994" t="s">
        <v>459</v>
      </c>
      <c r="C30" s="3350" t="s">
        <v>3262</v>
      </c>
      <c r="D30" s="776">
        <v>100</v>
      </c>
      <c r="E30" s="996" t="s">
        <v>3262</v>
      </c>
      <c r="F30" s="802">
        <f>SUMIF(88:88,E30,89:89)-SUMIF(88:88,C30,89:89)+100</f>
        <v>100</v>
      </c>
      <c r="G30" s="3350" t="s">
        <v>3263</v>
      </c>
      <c r="H30" s="776">
        <f>SUMIF(88:88,E30,89:89)-SUMIF(88:88,C30,89:89)+100</f>
        <v>100</v>
      </c>
      <c r="I30" s="3350" t="s">
        <v>3263</v>
      </c>
      <c r="J30" s="776">
        <f>SUMIF(88:88,E30,89:89)-SUMIF(88:88,C30,89:89)+100</f>
        <v>100</v>
      </c>
      <c r="K30" s="952">
        <v>2</v>
      </c>
      <c r="L30" s="2354"/>
      <c r="M30" s="2345"/>
      <c r="N30" s="2345"/>
      <c r="O30" s="2345"/>
      <c r="P30" s="3597"/>
      <c r="Q30" s="2830" t="str">
        <f t="shared" si="11"/>
        <v>物业等级</v>
      </c>
      <c r="R30" s="1320" t="s">
        <v>63</v>
      </c>
      <c r="S30" s="1321">
        <f t="shared" si="12"/>
        <v>100</v>
      </c>
      <c r="T30" s="1320" t="s">
        <v>63</v>
      </c>
      <c r="U30" s="1321">
        <f t="shared" si="13"/>
        <v>100</v>
      </c>
      <c r="V30" s="1320" t="s">
        <v>63</v>
      </c>
      <c r="W30" s="1321">
        <f t="shared" si="14"/>
        <v>100</v>
      </c>
      <c r="X30" s="2829"/>
      <c r="Y30" s="3597"/>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97"/>
      <c r="Q31" s="2828" t="str">
        <f t="shared" si="11"/>
        <v>停车位面积</v>
      </c>
      <c r="R31" s="1315" t="s">
        <v>63</v>
      </c>
      <c r="S31" s="1316">
        <f t="shared" si="12"/>
        <v>102</v>
      </c>
      <c r="T31" s="1315" t="s">
        <v>63</v>
      </c>
      <c r="U31" s="1316">
        <f t="shared" si="13"/>
        <v>100</v>
      </c>
      <c r="V31" s="1315" t="s">
        <v>63</v>
      </c>
      <c r="W31" s="1316">
        <f t="shared" si="14"/>
        <v>100</v>
      </c>
      <c r="X31" s="1317"/>
      <c r="Y31" s="3597"/>
      <c r="Z31" s="344" t="str">
        <f t="shared" si="15"/>
        <v>停车位面积</v>
      </c>
      <c r="AA31" s="1318">
        <f t="shared" si="3"/>
        <v>0.98039215686274506</v>
      </c>
      <c r="AB31" s="1318">
        <f t="shared" si="4"/>
        <v>1</v>
      </c>
      <c r="AC31" s="1318">
        <f t="shared" si="5"/>
        <v>1</v>
      </c>
    </row>
    <row r="32" spans="1:29" ht="15">
      <c r="A32" s="995"/>
      <c r="B32" s="994" t="s">
        <v>461</v>
      </c>
      <c r="C32" s="801" t="s">
        <v>3380</v>
      </c>
      <c r="D32" s="776">
        <v>100</v>
      </c>
      <c r="E32" s="801" t="s">
        <v>3380</v>
      </c>
      <c r="F32" s="802">
        <f>SUMIF(93:93,E32,94:94)-SUMIF(93:93,C32,94:94)+100</f>
        <v>100</v>
      </c>
      <c r="G32" s="801" t="s">
        <v>3380</v>
      </c>
      <c r="H32" s="776">
        <f>SUMIF(93:93,G32,94:94)-SUMIF(93:93,C32,94:94)+100</f>
        <v>100</v>
      </c>
      <c r="I32" s="3358" t="s">
        <v>3390</v>
      </c>
      <c r="J32" s="776">
        <f>SUMIF(93:93,I32,94:94)-SUMIF(93:93,C32,94:94)+100</f>
        <v>100</v>
      </c>
      <c r="K32" s="952">
        <v>5</v>
      </c>
      <c r="L32" s="2354"/>
      <c r="M32" s="2345"/>
      <c r="N32" s="2345"/>
      <c r="O32" s="2345"/>
      <c r="P32" s="3597" t="s">
        <v>405</v>
      </c>
      <c r="Q32" s="2830" t="str">
        <f t="shared" si="11"/>
        <v>车位类型</v>
      </c>
      <c r="R32" s="1320" t="s">
        <v>63</v>
      </c>
      <c r="S32" s="1321">
        <f t="shared" si="12"/>
        <v>100</v>
      </c>
      <c r="T32" s="1320" t="s">
        <v>63</v>
      </c>
      <c r="U32" s="1321">
        <f t="shared" si="13"/>
        <v>100</v>
      </c>
      <c r="V32" s="1320" t="s">
        <v>63</v>
      </c>
      <c r="W32" s="1321">
        <f t="shared" si="14"/>
        <v>100</v>
      </c>
      <c r="X32" s="2829"/>
      <c r="Y32" s="3597"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8" t="s">
        <v>3391</v>
      </c>
      <c r="J33" s="776">
        <f>SUMIF(95:95,I33,96:96)-SUMIF(95:95,C33,96:96)+100</f>
        <v>100</v>
      </c>
      <c r="K33" s="952"/>
      <c r="L33" s="2354"/>
      <c r="M33" s="2345"/>
      <c r="N33" s="2345"/>
      <c r="O33" s="2345"/>
      <c r="P33" s="3597"/>
      <c r="Q33" s="2830" t="str">
        <f t="shared" si="11"/>
        <v>是否直接入户</v>
      </c>
      <c r="R33" s="1320" t="s">
        <v>63</v>
      </c>
      <c r="S33" s="1321">
        <f t="shared" si="12"/>
        <v>100</v>
      </c>
      <c r="T33" s="1320" t="s">
        <v>63</v>
      </c>
      <c r="U33" s="1321">
        <f t="shared" si="13"/>
        <v>100</v>
      </c>
      <c r="V33" s="1320" t="s">
        <v>63</v>
      </c>
      <c r="W33" s="1321">
        <f t="shared" si="14"/>
        <v>100</v>
      </c>
      <c r="X33" s="2829"/>
      <c r="Y33" s="3597"/>
      <c r="Z33" s="2831" t="str">
        <f t="shared" si="15"/>
        <v>是否直接入户</v>
      </c>
      <c r="AA33" s="1323">
        <f t="shared" si="3"/>
        <v>1</v>
      </c>
      <c r="AB33" s="1323">
        <f t="shared" si="4"/>
        <v>1</v>
      </c>
      <c r="AC33" s="1323">
        <f t="shared" si="5"/>
        <v>1</v>
      </c>
    </row>
    <row r="34" spans="1:29" ht="15">
      <c r="A34" s="995"/>
      <c r="B34" s="3359" t="s">
        <v>3392</v>
      </c>
      <c r="C34" s="3360" t="s">
        <v>3273</v>
      </c>
      <c r="D34" s="776">
        <v>100</v>
      </c>
      <c r="E34" s="3360" t="s">
        <v>3273</v>
      </c>
      <c r="F34" s="802">
        <f>SUMIF(97:97,E34,98:98)-SUMIF(97:97,C34,98:98)+100</f>
        <v>100</v>
      </c>
      <c r="G34" s="3360" t="s">
        <v>3394</v>
      </c>
      <c r="H34" s="776">
        <f>SUMIF(97:97,G34,98:98)-SUMIF(97:97,C34,98:98)+100</f>
        <v>94</v>
      </c>
      <c r="I34" s="3360" t="s">
        <v>3395</v>
      </c>
      <c r="J34" s="776">
        <f>SUMIF(97:97,I34,98:98)-SUMIF(97:97,C34,98:98)+100</f>
        <v>97</v>
      </c>
      <c r="K34" s="953"/>
      <c r="L34" s="2354"/>
      <c r="M34" s="2345"/>
      <c r="N34" s="2345"/>
      <c r="O34" s="2345"/>
      <c r="P34" s="3597"/>
      <c r="Q34" s="2830" t="str">
        <f t="shared" si="11"/>
        <v>地上配套</v>
      </c>
      <c r="R34" s="1320" t="s">
        <v>63</v>
      </c>
      <c r="S34" s="1321">
        <f t="shared" si="12"/>
        <v>100</v>
      </c>
      <c r="T34" s="1320" t="s">
        <v>63</v>
      </c>
      <c r="U34" s="1321">
        <f t="shared" si="13"/>
        <v>94</v>
      </c>
      <c r="V34" s="1320" t="s">
        <v>63</v>
      </c>
      <c r="W34" s="1321">
        <f t="shared" si="14"/>
        <v>97</v>
      </c>
      <c r="X34" s="2829"/>
      <c r="Y34" s="3597"/>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97"/>
      <c r="Q35" s="1324">
        <f t="shared" si="11"/>
        <v>111</v>
      </c>
      <c r="R35" s="1325" t="s">
        <v>63</v>
      </c>
      <c r="S35" s="1326">
        <f t="shared" si="12"/>
        <v>100</v>
      </c>
      <c r="T35" s="1325" t="s">
        <v>63</v>
      </c>
      <c r="U35" s="1326">
        <f t="shared" si="13"/>
        <v>100</v>
      </c>
      <c r="V35" s="1325" t="s">
        <v>63</v>
      </c>
      <c r="W35" s="1326">
        <f t="shared" si="14"/>
        <v>100</v>
      </c>
      <c r="X35" s="1327"/>
      <c r="Y35" s="3597"/>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97"/>
      <c r="Q36" s="2830">
        <f t="shared" si="11"/>
        <v>111</v>
      </c>
      <c r="R36" s="1320" t="s">
        <v>63</v>
      </c>
      <c r="S36" s="1321">
        <f t="shared" si="12"/>
        <v>100</v>
      </c>
      <c r="T36" s="1320" t="s">
        <v>63</v>
      </c>
      <c r="U36" s="1321">
        <f t="shared" si="13"/>
        <v>100</v>
      </c>
      <c r="V36" s="1320" t="s">
        <v>63</v>
      </c>
      <c r="W36" s="1321">
        <f t="shared" si="14"/>
        <v>100</v>
      </c>
      <c r="X36" s="2829"/>
      <c r="Y36" s="3597"/>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79" t="str">
        <f>A37</f>
        <v>成交单价</v>
      </c>
      <c r="Q37" s="3579"/>
      <c r="R37" s="3702">
        <f>E37</f>
        <v>7915</v>
      </c>
      <c r="S37" s="3702"/>
      <c r="T37" s="3702">
        <f>G37</f>
        <v>6975</v>
      </c>
      <c r="U37" s="3702"/>
      <c r="V37" s="3702">
        <f>I37</f>
        <v>8483</v>
      </c>
      <c r="W37" s="3702"/>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79" t="str">
        <f>A38</f>
        <v>比较价值（元/平方米）</v>
      </c>
      <c r="Q38" s="3579"/>
      <c r="R38" s="3702">
        <f>IF(F1="售价",ROUND(PRODUCT(R37,AA7:AA36),0),ROUND(PRODUCT(R37,AA7:AA36),1))</f>
        <v>7760</v>
      </c>
      <c r="S38" s="3702"/>
      <c r="T38" s="3702">
        <f>IF(F1="售价",ROUND(PRODUCT(T37,AB7:AB36),0),ROUND(PRODUCT(T37,AB7:AB36),1))</f>
        <v>7814</v>
      </c>
      <c r="U38" s="3702"/>
      <c r="V38" s="3702">
        <f>IF(F1="售价",ROUND(PRODUCT(V37,AC7:AC36),0),ROUND(PRODUCT(V37,AC7:AC36),1))</f>
        <v>9106</v>
      </c>
      <c r="W38" s="3702"/>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599" t="str">
        <f>A39</f>
        <v>估价对象XX用房的比较价值（楼面单价，元/平方米）</v>
      </c>
      <c r="Q39" s="3600"/>
      <c r="R39" s="3703">
        <f>IF(F1="售价",ROUND(AVERAGE(R38:V38),0),ROUND(AVERAGE(R38:V38),1))</f>
        <v>8227</v>
      </c>
      <c r="S39" s="3703"/>
      <c r="T39" s="3703"/>
      <c r="U39" s="3703"/>
      <c r="V39" s="3703"/>
      <c r="W39" s="3703"/>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7" t="s">
        <v>3387</v>
      </c>
      <c r="D81" s="3357" t="s">
        <v>3386</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3" t="s">
        <v>3288</v>
      </c>
      <c r="D88" s="3353" t="s">
        <v>3385</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1">
        <v>0</v>
      </c>
      <c r="D91" s="3351">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2" t="s">
        <v>3381</v>
      </c>
      <c r="D93" s="3352" t="s">
        <v>3382</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3" t="s">
        <v>3383</v>
      </c>
      <c r="D95" s="3353" t="s">
        <v>3384</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1" t="s">
        <v>3273</v>
      </c>
      <c r="D97" s="3361" t="s">
        <v>3393</v>
      </c>
      <c r="E97" s="3361" t="s">
        <v>3394</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0" t="s">
        <v>446</v>
      </c>
      <c r="D4" s="3581"/>
      <c r="E4" s="3582" t="s">
        <v>447</v>
      </c>
      <c r="F4" s="3583"/>
      <c r="G4" s="3580" t="s">
        <v>448</v>
      </c>
      <c r="H4" s="3581"/>
      <c r="I4" s="3580" t="s">
        <v>449</v>
      </c>
      <c r="J4" s="3581"/>
      <c r="K4" s="950" t="s">
        <v>450</v>
      </c>
      <c r="L4" s="2344"/>
      <c r="M4" s="2345"/>
      <c r="N4" s="2345"/>
      <c r="O4" s="2345"/>
      <c r="P4" s="3584" t="s">
        <v>451</v>
      </c>
      <c r="Q4" s="3585"/>
      <c r="R4" s="3567" t="s">
        <v>447</v>
      </c>
      <c r="S4" s="3568"/>
      <c r="T4" s="3567" t="s">
        <v>448</v>
      </c>
      <c r="U4" s="3568"/>
      <c r="V4" s="3592" t="s">
        <v>449</v>
      </c>
      <c r="W4" s="3592"/>
      <c r="X4" s="1314"/>
      <c r="Y4" s="3567" t="s">
        <v>451</v>
      </c>
      <c r="Z4" s="3568"/>
      <c r="AA4" s="3562" t="s">
        <v>447</v>
      </c>
      <c r="AB4" s="3563" t="s">
        <v>448</v>
      </c>
      <c r="AC4" s="3562" t="s">
        <v>449</v>
      </c>
    </row>
    <row r="5" spans="1:29" ht="15">
      <c r="A5" s="747"/>
      <c r="B5" s="748"/>
      <c r="C5" s="3573" t="s">
        <v>1120</v>
      </c>
      <c r="D5" s="3574"/>
      <c r="E5" s="3571" t="s">
        <v>1121</v>
      </c>
      <c r="F5" s="3572"/>
      <c r="G5" s="3573" t="s">
        <v>60</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29" ht="15.75" thickBot="1">
      <c r="A6" s="749"/>
      <c r="B6" s="750"/>
      <c r="C6" s="3575" t="s">
        <v>1123</v>
      </c>
      <c r="D6" s="3576"/>
      <c r="E6" s="3577" t="s">
        <v>1123</v>
      </c>
      <c r="F6" s="3578"/>
      <c r="G6" s="3575" t="s">
        <v>1123</v>
      </c>
      <c r="H6" s="3576"/>
      <c r="I6" s="3575" t="s">
        <v>1123</v>
      </c>
      <c r="J6" s="3576"/>
      <c r="K6" s="950" t="s">
        <v>393</v>
      </c>
      <c r="L6" s="2344"/>
      <c r="M6" s="2345"/>
      <c r="N6" s="2345"/>
      <c r="O6" s="2345"/>
      <c r="P6" s="3588"/>
      <c r="Q6" s="3589"/>
      <c r="R6" s="3569"/>
      <c r="S6" s="3570"/>
      <c r="T6" s="3590"/>
      <c r="U6" s="3591"/>
      <c r="V6" s="3592"/>
      <c r="W6" s="3592"/>
      <c r="X6" s="1314"/>
      <c r="Y6" s="3590"/>
      <c r="Z6" s="3591"/>
      <c r="AA6" s="3564"/>
      <c r="AB6" s="3564"/>
      <c r="AC6" s="3564"/>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565" t="s">
        <v>395</v>
      </c>
      <c r="Q7" s="3593"/>
      <c r="R7" s="1315" t="s">
        <v>63</v>
      </c>
      <c r="S7" s="1316">
        <f t="shared" ref="S7:S14" si="0">F7</f>
        <v>0</v>
      </c>
      <c r="T7" s="1315" t="s">
        <v>63</v>
      </c>
      <c r="U7" s="1316">
        <f t="shared" ref="U7:U14" si="1">H7</f>
        <v>0</v>
      </c>
      <c r="V7" s="1315" t="s">
        <v>63</v>
      </c>
      <c r="W7" s="1316">
        <f t="shared" ref="W7:W14" si="2">J7</f>
        <v>0</v>
      </c>
      <c r="X7" s="1317"/>
      <c r="Y7" s="3565" t="s">
        <v>395</v>
      </c>
      <c r="Z7" s="3566"/>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565" t="s">
        <v>431</v>
      </c>
      <c r="Q8" s="3566"/>
      <c r="R8" s="1315" t="s">
        <v>63</v>
      </c>
      <c r="S8" s="1316">
        <f t="shared" si="0"/>
        <v>0</v>
      </c>
      <c r="T8" s="1315" t="s">
        <v>63</v>
      </c>
      <c r="U8" s="1316">
        <f t="shared" si="1"/>
        <v>0</v>
      </c>
      <c r="V8" s="1315" t="s">
        <v>63</v>
      </c>
      <c r="W8" s="1316">
        <f t="shared" si="2"/>
        <v>0</v>
      </c>
      <c r="X8" s="1317"/>
      <c r="Y8" s="3565" t="s">
        <v>431</v>
      </c>
      <c r="Z8" s="3566"/>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79" t="s">
        <v>398</v>
      </c>
      <c r="Q9" s="296" t="str">
        <f t="shared" ref="Q9:Q14" si="6">B9</f>
        <v>用途</v>
      </c>
      <c r="R9" s="1315" t="s">
        <v>63</v>
      </c>
      <c r="S9" s="1316">
        <f t="shared" si="0"/>
        <v>100</v>
      </c>
      <c r="T9" s="1315" t="s">
        <v>63</v>
      </c>
      <c r="U9" s="1316">
        <f t="shared" si="1"/>
        <v>100</v>
      </c>
      <c r="V9" s="1315" t="s">
        <v>63</v>
      </c>
      <c r="W9" s="1316">
        <f t="shared" si="2"/>
        <v>100</v>
      </c>
      <c r="X9" s="1317"/>
      <c r="Y9" s="3536"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79"/>
      <c r="Q10" s="296" t="str">
        <f t="shared" si="6"/>
        <v>土地使用年限（年）</v>
      </c>
      <c r="R10" s="1315" t="s">
        <v>63</v>
      </c>
      <c r="S10" s="1316">
        <f t="shared" si="0"/>
        <v>100</v>
      </c>
      <c r="T10" s="1315" t="s">
        <v>63</v>
      </c>
      <c r="U10" s="1316">
        <f t="shared" si="1"/>
        <v>100</v>
      </c>
      <c r="V10" s="1315" t="s">
        <v>63</v>
      </c>
      <c r="W10" s="1316">
        <f t="shared" si="2"/>
        <v>100</v>
      </c>
      <c r="X10" s="1317"/>
      <c r="Y10" s="3536"/>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79"/>
      <c r="Q11" s="296">
        <f t="shared" si="6"/>
        <v>111</v>
      </c>
      <c r="R11" s="1315" t="s">
        <v>63</v>
      </c>
      <c r="S11" s="1316">
        <f t="shared" si="0"/>
        <v>100</v>
      </c>
      <c r="T11" s="1315" t="s">
        <v>63</v>
      </c>
      <c r="U11" s="1316">
        <f t="shared" si="1"/>
        <v>100</v>
      </c>
      <c r="V11" s="1315" t="s">
        <v>63</v>
      </c>
      <c r="W11" s="1316">
        <f t="shared" si="2"/>
        <v>100</v>
      </c>
      <c r="X11" s="1317"/>
      <c r="Y11" s="3536"/>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79"/>
      <c r="Q12" s="296">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94" t="s">
        <v>403</v>
      </c>
      <c r="Q14" s="1319" t="str">
        <f t="shared" si="6"/>
        <v>交通便捷度</v>
      </c>
      <c r="R14" s="1320" t="s">
        <v>63</v>
      </c>
      <c r="S14" s="1321">
        <f t="shared" si="0"/>
        <v>100</v>
      </c>
      <c r="T14" s="1320" t="s">
        <v>63</v>
      </c>
      <c r="U14" s="1321">
        <f t="shared" si="1"/>
        <v>100</v>
      </c>
      <c r="V14" s="1320" t="s">
        <v>63</v>
      </c>
      <c r="W14" s="1321">
        <f t="shared" si="2"/>
        <v>100</v>
      </c>
      <c r="X14" s="1314"/>
      <c r="Y14" s="3594"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95"/>
      <c r="Q15" s="1319"/>
      <c r="R15" s="1320"/>
      <c r="S15" s="1321"/>
      <c r="T15" s="1320"/>
      <c r="U15" s="1321"/>
      <c r="V15" s="1320"/>
      <c r="W15" s="1321"/>
      <c r="X15" s="1314"/>
      <c r="Y15" s="3595"/>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95"/>
      <c r="Q16" s="1319" t="str">
        <f>B16</f>
        <v>公共配套设施</v>
      </c>
      <c r="R16" s="1320" t="s">
        <v>63</v>
      </c>
      <c r="S16" s="1321">
        <f>F16</f>
        <v>100</v>
      </c>
      <c r="T16" s="1320" t="s">
        <v>63</v>
      </c>
      <c r="U16" s="1321">
        <f>H16</f>
        <v>100</v>
      </c>
      <c r="V16" s="1320" t="s">
        <v>63</v>
      </c>
      <c r="W16" s="1321">
        <f>J16</f>
        <v>100</v>
      </c>
      <c r="X16" s="1314"/>
      <c r="Y16" s="3595"/>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95"/>
      <c r="Q17" s="1319"/>
      <c r="R17" s="1320"/>
      <c r="S17" s="1321"/>
      <c r="T17" s="1320"/>
      <c r="U17" s="1321"/>
      <c r="V17" s="1320"/>
      <c r="W17" s="1321"/>
      <c r="X17" s="1314"/>
      <c r="Y17" s="3595"/>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95"/>
      <c r="Q18" s="2745" t="str">
        <f>B18</f>
        <v>基础设施水平</v>
      </c>
      <c r="R18" s="1320" t="s">
        <v>63</v>
      </c>
      <c r="S18" s="1321">
        <f>F18</f>
        <v>100</v>
      </c>
      <c r="T18" s="1320" t="s">
        <v>63</v>
      </c>
      <c r="U18" s="1321">
        <f>H18</f>
        <v>100</v>
      </c>
      <c r="V18" s="1320" t="s">
        <v>63</v>
      </c>
      <c r="W18" s="1321">
        <f>J18</f>
        <v>100</v>
      </c>
      <c r="X18" s="2747"/>
      <c r="Y18" s="3595"/>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95"/>
      <c r="Q19" s="2745"/>
      <c r="R19" s="1320"/>
      <c r="S19" s="1321"/>
      <c r="T19" s="1320"/>
      <c r="U19" s="1321"/>
      <c r="V19" s="1320"/>
      <c r="W19" s="1321"/>
      <c r="X19" s="2747"/>
      <c r="Y19" s="3595"/>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95"/>
      <c r="Q20" s="1319" t="str">
        <f>B20</f>
        <v>自然及人文环境</v>
      </c>
      <c r="R20" s="1320" t="s">
        <v>63</v>
      </c>
      <c r="S20" s="1321">
        <f>F20</f>
        <v>100</v>
      </c>
      <c r="T20" s="1320" t="s">
        <v>63</v>
      </c>
      <c r="U20" s="1321">
        <f>H20</f>
        <v>100</v>
      </c>
      <c r="V20" s="1320" t="s">
        <v>63</v>
      </c>
      <c r="W20" s="1321">
        <f>J20</f>
        <v>100</v>
      </c>
      <c r="X20" s="1314"/>
      <c r="Y20" s="3595"/>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95"/>
      <c r="Q21" s="1319"/>
      <c r="R21" s="1320"/>
      <c r="S21" s="1321"/>
      <c r="T21" s="1320"/>
      <c r="U21" s="1321"/>
      <c r="V21" s="1320"/>
      <c r="W21" s="1321"/>
      <c r="X21" s="1314"/>
      <c r="Y21" s="3595"/>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95"/>
      <c r="Q22" s="1319" t="str">
        <f>B22</f>
        <v>楼层</v>
      </c>
      <c r="R22" s="1320" t="s">
        <v>63</v>
      </c>
      <c r="S22" s="1321">
        <f>F22</f>
        <v>100</v>
      </c>
      <c r="T22" s="1320" t="s">
        <v>63</v>
      </c>
      <c r="U22" s="1321">
        <f>H22</f>
        <v>100</v>
      </c>
      <c r="V22" s="1320" t="s">
        <v>63</v>
      </c>
      <c r="W22" s="1321">
        <f>J22</f>
        <v>100</v>
      </c>
      <c r="X22" s="1314"/>
      <c r="Y22" s="3595"/>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95"/>
      <c r="Q23" s="1319">
        <f>B23</f>
        <v>111</v>
      </c>
      <c r="R23" s="1320" t="s">
        <v>63</v>
      </c>
      <c r="S23" s="1321">
        <f>F23</f>
        <v>100</v>
      </c>
      <c r="T23" s="1320" t="s">
        <v>63</v>
      </c>
      <c r="U23" s="1321">
        <f>H23</f>
        <v>100</v>
      </c>
      <c r="V23" s="1320" t="s">
        <v>63</v>
      </c>
      <c r="W23" s="1321">
        <f>J23</f>
        <v>100</v>
      </c>
      <c r="X23" s="1314"/>
      <c r="Y23" s="3595"/>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95"/>
      <c r="Q24" s="1319">
        <f t="shared" ref="Q24:Q34" si="11">B24</f>
        <v>111</v>
      </c>
      <c r="R24" s="1320" t="s">
        <v>63</v>
      </c>
      <c r="S24" s="1321">
        <f>F24</f>
        <v>100</v>
      </c>
      <c r="T24" s="1320" t="s">
        <v>63</v>
      </c>
      <c r="U24" s="1321">
        <f>H24</f>
        <v>100</v>
      </c>
      <c r="V24" s="1320" t="s">
        <v>63</v>
      </c>
      <c r="W24" s="1321">
        <f>J24</f>
        <v>100</v>
      </c>
      <c r="X24" s="1314"/>
      <c r="Y24" s="3595"/>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95"/>
      <c r="Q25" s="296">
        <f t="shared" si="11"/>
        <v>111</v>
      </c>
      <c r="R25" s="1315" t="s">
        <v>63</v>
      </c>
      <c r="S25" s="1316">
        <f>F25</f>
        <v>100</v>
      </c>
      <c r="T25" s="1315" t="s">
        <v>63</v>
      </c>
      <c r="U25" s="1316">
        <f>H25</f>
        <v>100</v>
      </c>
      <c r="V25" s="1315" t="s">
        <v>63</v>
      </c>
      <c r="W25" s="1316">
        <f>J25</f>
        <v>100</v>
      </c>
      <c r="X25" s="1317"/>
      <c r="Y25" s="3595"/>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96"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97"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97"/>
      <c r="Q27" s="1324" t="str">
        <f t="shared" si="11"/>
        <v>成新率</v>
      </c>
      <c r="R27" s="1325" t="s">
        <v>63</v>
      </c>
      <c r="S27" s="1326" t="e">
        <f t="shared" si="12"/>
        <v>#N/A</v>
      </c>
      <c r="T27" s="1325" t="s">
        <v>63</v>
      </c>
      <c r="U27" s="1326" t="e">
        <f t="shared" si="13"/>
        <v>#N/A</v>
      </c>
      <c r="V27" s="1325" t="s">
        <v>63</v>
      </c>
      <c r="W27" s="1326" t="e">
        <f t="shared" si="14"/>
        <v>#N/A</v>
      </c>
      <c r="X27" s="1327"/>
      <c r="Y27" s="3597"/>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97"/>
      <c r="Q28" s="1319" t="str">
        <f t="shared" si="11"/>
        <v>物业等级</v>
      </c>
      <c r="R28" s="1320" t="s">
        <v>63</v>
      </c>
      <c r="S28" s="1321">
        <f t="shared" si="12"/>
        <v>100</v>
      </c>
      <c r="T28" s="1320" t="s">
        <v>63</v>
      </c>
      <c r="U28" s="1321">
        <f t="shared" si="13"/>
        <v>100</v>
      </c>
      <c r="V28" s="1320" t="s">
        <v>63</v>
      </c>
      <c r="W28" s="1321">
        <f t="shared" si="14"/>
        <v>100</v>
      </c>
      <c r="X28" s="1314"/>
      <c r="Y28" s="3597"/>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97"/>
      <c r="Q29" s="1319" t="str">
        <f t="shared" si="11"/>
        <v>有无电梯</v>
      </c>
      <c r="R29" s="1320" t="s">
        <v>63</v>
      </c>
      <c r="S29" s="1321">
        <f t="shared" si="12"/>
        <v>100</v>
      </c>
      <c r="T29" s="1320" t="s">
        <v>63</v>
      </c>
      <c r="U29" s="1321">
        <f t="shared" si="13"/>
        <v>100</v>
      </c>
      <c r="V29" s="1320" t="s">
        <v>63</v>
      </c>
      <c r="W29" s="1321">
        <f t="shared" si="14"/>
        <v>100</v>
      </c>
      <c r="X29" s="1314"/>
      <c r="Y29" s="3597"/>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97"/>
      <c r="Q30" s="1319" t="str">
        <f t="shared" si="11"/>
        <v>建筑面积</v>
      </c>
      <c r="R30" s="1320" t="s">
        <v>63</v>
      </c>
      <c r="S30" s="1321" t="e">
        <f t="shared" si="12"/>
        <v>#N/A</v>
      </c>
      <c r="T30" s="1320" t="s">
        <v>63</v>
      </c>
      <c r="U30" s="1321" t="e">
        <f t="shared" si="13"/>
        <v>#N/A</v>
      </c>
      <c r="V30" s="1320" t="s">
        <v>63</v>
      </c>
      <c r="W30" s="1321" t="e">
        <f t="shared" si="14"/>
        <v>#N/A</v>
      </c>
      <c r="X30" s="1314"/>
      <c r="Y30" s="3597"/>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97"/>
      <c r="Q31" s="296" t="str">
        <f t="shared" si="11"/>
        <v>是否封闭</v>
      </c>
      <c r="R31" s="1315" t="s">
        <v>63</v>
      </c>
      <c r="S31" s="1316">
        <f t="shared" si="12"/>
        <v>100</v>
      </c>
      <c r="T31" s="1315" t="s">
        <v>63</v>
      </c>
      <c r="U31" s="1316">
        <f t="shared" si="13"/>
        <v>100</v>
      </c>
      <c r="V31" s="1315" t="s">
        <v>63</v>
      </c>
      <c r="W31" s="1316">
        <f t="shared" si="14"/>
        <v>100</v>
      </c>
      <c r="X31" s="1317"/>
      <c r="Y31" s="3597"/>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97" t="s">
        <v>405</v>
      </c>
      <c r="Q32" s="1319">
        <f t="shared" si="11"/>
        <v>111</v>
      </c>
      <c r="R32" s="1320" t="s">
        <v>63</v>
      </c>
      <c r="S32" s="1321">
        <f t="shared" si="12"/>
        <v>100</v>
      </c>
      <c r="T32" s="1320" t="s">
        <v>63</v>
      </c>
      <c r="U32" s="1321">
        <f t="shared" si="13"/>
        <v>100</v>
      </c>
      <c r="V32" s="1320" t="s">
        <v>63</v>
      </c>
      <c r="W32" s="1321">
        <f t="shared" si="14"/>
        <v>100</v>
      </c>
      <c r="X32" s="1314"/>
      <c r="Y32" s="3597"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97"/>
      <c r="Q33" s="1319">
        <f t="shared" si="11"/>
        <v>111</v>
      </c>
      <c r="R33" s="1320" t="s">
        <v>63</v>
      </c>
      <c r="S33" s="1321">
        <f t="shared" si="12"/>
        <v>100</v>
      </c>
      <c r="T33" s="1320" t="s">
        <v>63</v>
      </c>
      <c r="U33" s="1321">
        <f t="shared" si="13"/>
        <v>100</v>
      </c>
      <c r="V33" s="1320" t="s">
        <v>63</v>
      </c>
      <c r="W33" s="1321">
        <f t="shared" si="14"/>
        <v>100</v>
      </c>
      <c r="X33" s="1314"/>
      <c r="Y33" s="3597"/>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97"/>
      <c r="Q34" s="1319">
        <f t="shared" si="11"/>
        <v>111</v>
      </c>
      <c r="R34" s="1320" t="s">
        <v>63</v>
      </c>
      <c r="S34" s="1321">
        <f t="shared" si="12"/>
        <v>100</v>
      </c>
      <c r="T34" s="1320" t="s">
        <v>63</v>
      </c>
      <c r="U34" s="1321">
        <f t="shared" si="13"/>
        <v>100</v>
      </c>
      <c r="V34" s="1320" t="s">
        <v>63</v>
      </c>
      <c r="W34" s="1321">
        <f t="shared" si="14"/>
        <v>100</v>
      </c>
      <c r="X34" s="1314"/>
      <c r="Y34" s="3597"/>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79" t="str">
        <f>A35</f>
        <v>成交单价（元/平方米）</v>
      </c>
      <c r="Q35" s="3579"/>
      <c r="R35" s="3702">
        <f>E35</f>
        <v>0</v>
      </c>
      <c r="S35" s="3702"/>
      <c r="T35" s="3702">
        <f>G35</f>
        <v>0</v>
      </c>
      <c r="U35" s="3702"/>
      <c r="V35" s="3702">
        <f>I35</f>
        <v>0</v>
      </c>
      <c r="W35" s="3702"/>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79" t="str">
        <f>A36</f>
        <v>比较价值（元/平方米）</v>
      </c>
      <c r="Q36" s="3579"/>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599" t="str">
        <f>A37</f>
        <v>估价对象XX用房的比较价值（楼面单价，元/平方米）</v>
      </c>
      <c r="Q37" s="3600"/>
      <c r="R37" s="3703" t="e">
        <f>IF(F1="售价",ROUND(AVERAGE(R36:V36),0),ROUND(AVERAGE(R36:V36),1))</f>
        <v>#DIV/0!</v>
      </c>
      <c r="S37" s="3703"/>
      <c r="T37" s="3703"/>
      <c r="U37" s="3703"/>
      <c r="V37" s="3703"/>
      <c r="W37" s="3703"/>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0" t="s">
        <v>387</v>
      </c>
      <c r="D4" s="3581"/>
      <c r="E4" s="3582" t="s">
        <v>388</v>
      </c>
      <c r="F4" s="3583"/>
      <c r="G4" s="3580" t="s">
        <v>389</v>
      </c>
      <c r="H4" s="3581"/>
      <c r="I4" s="3580" t="s">
        <v>390</v>
      </c>
      <c r="J4" s="3581"/>
      <c r="K4" s="950" t="s">
        <v>391</v>
      </c>
      <c r="L4" s="2344"/>
      <c r="M4" s="2345"/>
      <c r="N4" s="2345"/>
      <c r="O4" s="2345"/>
      <c r="P4" s="3584" t="s">
        <v>392</v>
      </c>
      <c r="Q4" s="3585"/>
      <c r="R4" s="3567" t="s">
        <v>388</v>
      </c>
      <c r="S4" s="3568"/>
      <c r="T4" s="3567" t="s">
        <v>389</v>
      </c>
      <c r="U4" s="3568"/>
      <c r="V4" s="3592" t="s">
        <v>390</v>
      </c>
      <c r="W4" s="3592"/>
      <c r="X4" s="1314"/>
      <c r="Y4" s="3567" t="s">
        <v>392</v>
      </c>
      <c r="Z4" s="3568"/>
      <c r="AA4" s="3562" t="s">
        <v>388</v>
      </c>
      <c r="AB4" s="3563" t="s">
        <v>389</v>
      </c>
      <c r="AC4" s="3562" t="s">
        <v>390</v>
      </c>
    </row>
    <row r="5" spans="1:29" ht="15">
      <c r="A5" s="747"/>
      <c r="B5" s="748"/>
      <c r="C5" s="3573" t="s">
        <v>1120</v>
      </c>
      <c r="D5" s="3574"/>
      <c r="E5" s="3571" t="s">
        <v>1121</v>
      </c>
      <c r="F5" s="3572"/>
      <c r="G5" s="3573" t="s">
        <v>1124</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29" ht="15.75" thickBot="1">
      <c r="A6" s="749"/>
      <c r="B6" s="750"/>
      <c r="C6" s="3704" t="s">
        <v>1123</v>
      </c>
      <c r="D6" s="3705"/>
      <c r="E6" s="3706" t="s">
        <v>1123</v>
      </c>
      <c r="F6" s="3707"/>
      <c r="G6" s="3704" t="s">
        <v>1123</v>
      </c>
      <c r="H6" s="3705"/>
      <c r="I6" s="3704" t="s">
        <v>1123</v>
      </c>
      <c r="J6" s="3705"/>
      <c r="K6" s="950" t="s">
        <v>393</v>
      </c>
      <c r="L6" s="2344"/>
      <c r="M6" s="2345"/>
      <c r="N6" s="2345"/>
      <c r="O6" s="2345"/>
      <c r="P6" s="3588"/>
      <c r="Q6" s="3589"/>
      <c r="R6" s="3569"/>
      <c r="S6" s="3570"/>
      <c r="T6" s="3590"/>
      <c r="U6" s="3591"/>
      <c r="V6" s="3592"/>
      <c r="W6" s="3592"/>
      <c r="X6" s="1314"/>
      <c r="Y6" s="3590"/>
      <c r="Z6" s="3591"/>
      <c r="AA6" s="3564"/>
      <c r="AB6" s="3564"/>
      <c r="AC6" s="3564"/>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565" t="s">
        <v>395</v>
      </c>
      <c r="Q7" s="3593"/>
      <c r="R7" s="1315" t="s">
        <v>63</v>
      </c>
      <c r="S7" s="1316">
        <f t="shared" ref="S7:S15" si="0">F7</f>
        <v>0</v>
      </c>
      <c r="T7" s="1315" t="s">
        <v>63</v>
      </c>
      <c r="U7" s="1316">
        <f t="shared" ref="U7:U15" si="1">H7</f>
        <v>0</v>
      </c>
      <c r="V7" s="1315" t="s">
        <v>63</v>
      </c>
      <c r="W7" s="1316">
        <f t="shared" ref="W7:W15" si="2">J7</f>
        <v>0</v>
      </c>
      <c r="X7" s="1317"/>
      <c r="Y7" s="3565" t="s">
        <v>395</v>
      </c>
      <c r="Z7" s="3566"/>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565" t="s">
        <v>431</v>
      </c>
      <c r="Q8" s="3566"/>
      <c r="R8" s="1315" t="s">
        <v>63</v>
      </c>
      <c r="S8" s="1316">
        <f t="shared" si="0"/>
        <v>0</v>
      </c>
      <c r="T8" s="1315" t="s">
        <v>63</v>
      </c>
      <c r="U8" s="1316">
        <f t="shared" si="1"/>
        <v>0</v>
      </c>
      <c r="V8" s="1315" t="s">
        <v>63</v>
      </c>
      <c r="W8" s="1316">
        <f t="shared" si="2"/>
        <v>0</v>
      </c>
      <c r="X8" s="1317"/>
      <c r="Y8" s="3565" t="s">
        <v>431</v>
      </c>
      <c r="Z8" s="3566"/>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79" t="s">
        <v>398</v>
      </c>
      <c r="Q9" s="296" t="str">
        <f t="shared" ref="Q9:Q15" si="6">B9</f>
        <v>用途</v>
      </c>
      <c r="R9" s="1315" t="s">
        <v>63</v>
      </c>
      <c r="S9" s="1316">
        <f t="shared" si="0"/>
        <v>100</v>
      </c>
      <c r="T9" s="1315" t="s">
        <v>63</v>
      </c>
      <c r="U9" s="1316">
        <f t="shared" si="1"/>
        <v>100</v>
      </c>
      <c r="V9" s="1315" t="s">
        <v>63</v>
      </c>
      <c r="W9" s="1316">
        <f t="shared" si="2"/>
        <v>100</v>
      </c>
      <c r="X9" s="1317"/>
      <c r="Y9" s="3536"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79"/>
      <c r="Q10" s="296" t="str">
        <f t="shared" si="6"/>
        <v>土地使用年限（年）</v>
      </c>
      <c r="R10" s="1315" t="s">
        <v>63</v>
      </c>
      <c r="S10" s="1316">
        <f t="shared" si="0"/>
        <v>101</v>
      </c>
      <c r="T10" s="1315" t="s">
        <v>63</v>
      </c>
      <c r="U10" s="1316">
        <f t="shared" si="1"/>
        <v>101</v>
      </c>
      <c r="V10" s="1315" t="s">
        <v>63</v>
      </c>
      <c r="W10" s="1316">
        <f t="shared" si="2"/>
        <v>101</v>
      </c>
      <c r="X10" s="1317"/>
      <c r="Y10" s="3536"/>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79"/>
      <c r="Q11" s="296" t="str">
        <f t="shared" si="6"/>
        <v>容积率</v>
      </c>
      <c r="R11" s="1315" t="s">
        <v>63</v>
      </c>
      <c r="S11" s="1316" t="e">
        <f t="shared" si="0"/>
        <v>#N/A</v>
      </c>
      <c r="T11" s="1315" t="s">
        <v>63</v>
      </c>
      <c r="U11" s="1316" t="e">
        <f t="shared" si="1"/>
        <v>#N/A</v>
      </c>
      <c r="V11" s="1315" t="s">
        <v>63</v>
      </c>
      <c r="W11" s="1316" t="e">
        <f t="shared" si="2"/>
        <v>#N/A</v>
      </c>
      <c r="X11" s="1317"/>
      <c r="Y11" s="3536"/>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79"/>
      <c r="Q12" s="296">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79"/>
      <c r="Q14" s="296">
        <f t="shared" si="6"/>
        <v>111</v>
      </c>
      <c r="R14" s="1315" t="s">
        <v>63</v>
      </c>
      <c r="S14" s="1316">
        <f t="shared" si="0"/>
        <v>100</v>
      </c>
      <c r="T14" s="1315" t="s">
        <v>63</v>
      </c>
      <c r="U14" s="1316">
        <f t="shared" si="1"/>
        <v>100</v>
      </c>
      <c r="V14" s="1315" t="s">
        <v>63</v>
      </c>
      <c r="W14" s="1316">
        <f t="shared" si="2"/>
        <v>100</v>
      </c>
      <c r="X14" s="1317"/>
      <c r="Y14" s="3536"/>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94" t="s">
        <v>403</v>
      </c>
      <c r="Q15" s="1319" t="str">
        <f t="shared" si="6"/>
        <v>产业集聚程度</v>
      </c>
      <c r="R15" s="1320" t="s">
        <v>63</v>
      </c>
      <c r="S15" s="1321">
        <f t="shared" si="0"/>
        <v>100</v>
      </c>
      <c r="T15" s="1320" t="s">
        <v>63</v>
      </c>
      <c r="U15" s="1321">
        <f t="shared" si="1"/>
        <v>100</v>
      </c>
      <c r="V15" s="1320" t="s">
        <v>63</v>
      </c>
      <c r="W15" s="1321">
        <f t="shared" si="2"/>
        <v>100</v>
      </c>
      <c r="X15" s="1314"/>
      <c r="Y15" s="3594"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95"/>
      <c r="Q16" s="1319"/>
      <c r="R16" s="1320"/>
      <c r="S16" s="1321"/>
      <c r="T16" s="1320"/>
      <c r="U16" s="1321"/>
      <c r="V16" s="1320"/>
      <c r="W16" s="1321"/>
      <c r="X16" s="1314"/>
      <c r="Y16" s="3595"/>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95"/>
      <c r="Q17" s="1319" t="str">
        <f>B17</f>
        <v>交通便捷度</v>
      </c>
      <c r="R17" s="1320" t="s">
        <v>63</v>
      </c>
      <c r="S17" s="1321">
        <f>F17</f>
        <v>100</v>
      </c>
      <c r="T17" s="1320" t="s">
        <v>63</v>
      </c>
      <c r="U17" s="1321">
        <f>H17</f>
        <v>100</v>
      </c>
      <c r="V17" s="1320" t="s">
        <v>63</v>
      </c>
      <c r="W17" s="1321">
        <f>J17</f>
        <v>100</v>
      </c>
      <c r="X17" s="1314"/>
      <c r="Y17" s="3595"/>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95"/>
      <c r="Q18" s="1319"/>
      <c r="R18" s="1320"/>
      <c r="S18" s="1321"/>
      <c r="T18" s="1320"/>
      <c r="U18" s="1321"/>
      <c r="V18" s="1320"/>
      <c r="W18" s="1321"/>
      <c r="X18" s="1314"/>
      <c r="Y18" s="3595"/>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95"/>
      <c r="Q19" s="1319" t="str">
        <f t="shared" ref="Q19:Q33" si="8">B19</f>
        <v>区域土地利用方向</v>
      </c>
      <c r="R19" s="1320" t="s">
        <v>63</v>
      </c>
      <c r="S19" s="1321">
        <f>F19</f>
        <v>100</v>
      </c>
      <c r="T19" s="1320" t="s">
        <v>63</v>
      </c>
      <c r="U19" s="1321">
        <f>H19</f>
        <v>100</v>
      </c>
      <c r="V19" s="1320" t="s">
        <v>63</v>
      </c>
      <c r="W19" s="1321">
        <f>J19</f>
        <v>100</v>
      </c>
      <c r="X19" s="1314"/>
      <c r="Y19" s="3595"/>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95"/>
      <c r="Q20" s="1466"/>
      <c r="R20" s="1320"/>
      <c r="S20" s="1321"/>
      <c r="T20" s="1320"/>
      <c r="U20" s="1321"/>
      <c r="V20" s="1320"/>
      <c r="W20" s="1321"/>
      <c r="X20" s="1465"/>
      <c r="Y20" s="3595"/>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95"/>
      <c r="Q21" s="1319" t="str">
        <f t="shared" si="8"/>
        <v>环境状况</v>
      </c>
      <c r="R21" s="1320" t="s">
        <v>63</v>
      </c>
      <c r="S21" s="1321">
        <f>F21</f>
        <v>100</v>
      </c>
      <c r="T21" s="1320" t="s">
        <v>63</v>
      </c>
      <c r="U21" s="1321">
        <f>H21</f>
        <v>100</v>
      </c>
      <c r="V21" s="1320" t="s">
        <v>63</v>
      </c>
      <c r="W21" s="1321">
        <f>J21</f>
        <v>100</v>
      </c>
      <c r="X21" s="1314"/>
      <c r="Y21" s="3595"/>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95"/>
      <c r="Q22" s="1319"/>
      <c r="R22" s="1320"/>
      <c r="S22" s="1321"/>
      <c r="T22" s="1320"/>
      <c r="U22" s="1321"/>
      <c r="V22" s="1320"/>
      <c r="W22" s="1321"/>
      <c r="X22" s="1314"/>
      <c r="Y22" s="3595"/>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95"/>
      <c r="Q23" s="296" t="str">
        <f t="shared" si="8"/>
        <v>公共配套设施</v>
      </c>
      <c r="R23" s="1315" t="s">
        <v>63</v>
      </c>
      <c r="S23" s="1316">
        <f>F23</f>
        <v>100</v>
      </c>
      <c r="T23" s="1315" t="s">
        <v>63</v>
      </c>
      <c r="U23" s="1316">
        <f>H23</f>
        <v>100</v>
      </c>
      <c r="V23" s="1315" t="s">
        <v>63</v>
      </c>
      <c r="W23" s="1316">
        <f>J23</f>
        <v>100</v>
      </c>
      <c r="X23" s="1317"/>
      <c r="Y23" s="3595"/>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95"/>
      <c r="Q24" s="296"/>
      <c r="R24" s="1315"/>
      <c r="S24" s="1316"/>
      <c r="T24" s="1315"/>
      <c r="U24" s="1316"/>
      <c r="V24" s="1315"/>
      <c r="W24" s="1316"/>
      <c r="X24" s="1317"/>
      <c r="Y24" s="3595"/>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95"/>
      <c r="Q25" s="2740" t="str">
        <f t="shared" ref="Q25" si="9">B25</f>
        <v>基础设施水平</v>
      </c>
      <c r="R25" s="1315" t="s">
        <v>63</v>
      </c>
      <c r="S25" s="1316">
        <f>F25</f>
        <v>100</v>
      </c>
      <c r="T25" s="1315" t="s">
        <v>63</v>
      </c>
      <c r="U25" s="1316">
        <f>H25</f>
        <v>100</v>
      </c>
      <c r="V25" s="1315" t="s">
        <v>63</v>
      </c>
      <c r="W25" s="1316">
        <f>J25</f>
        <v>100</v>
      </c>
      <c r="X25" s="1317"/>
      <c r="Y25" s="3595"/>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95"/>
      <c r="Q26" s="2740"/>
      <c r="R26" s="1315"/>
      <c r="S26" s="1316"/>
      <c r="T26" s="1315"/>
      <c r="U26" s="1316"/>
      <c r="V26" s="1315"/>
      <c r="W26" s="1316"/>
      <c r="X26" s="1317"/>
      <c r="Y26" s="3595"/>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95"/>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95"/>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95"/>
      <c r="Q28" s="1319" t="str">
        <f t="shared" si="8"/>
        <v>毗邻道路的类型与等级</v>
      </c>
      <c r="R28" s="1320" t="s">
        <v>63</v>
      </c>
      <c r="S28" s="1321">
        <f t="shared" si="10"/>
        <v>100</v>
      </c>
      <c r="T28" s="1320" t="s">
        <v>63</v>
      </c>
      <c r="U28" s="1321">
        <f t="shared" si="11"/>
        <v>100</v>
      </c>
      <c r="V28" s="1320" t="s">
        <v>63</v>
      </c>
      <c r="W28" s="1321">
        <f t="shared" si="12"/>
        <v>100</v>
      </c>
      <c r="X28" s="1314"/>
      <c r="Y28" s="3595"/>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95"/>
      <c r="Q29" s="1319"/>
      <c r="R29" s="1320"/>
      <c r="S29" s="1321"/>
      <c r="T29" s="1320"/>
      <c r="U29" s="1321"/>
      <c r="V29" s="1320"/>
      <c r="W29" s="1321"/>
      <c r="X29" s="1314"/>
      <c r="Y29" s="3595"/>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95"/>
      <c r="Q30" s="1319" t="str">
        <f t="shared" si="8"/>
        <v>土地级别</v>
      </c>
      <c r="R30" s="1320" t="s">
        <v>63</v>
      </c>
      <c r="S30" s="1321">
        <f t="shared" si="10"/>
        <v>100</v>
      </c>
      <c r="T30" s="1320" t="s">
        <v>63</v>
      </c>
      <c r="U30" s="1321">
        <f t="shared" si="11"/>
        <v>100</v>
      </c>
      <c r="V30" s="1320" t="s">
        <v>63</v>
      </c>
      <c r="W30" s="1321">
        <f t="shared" si="12"/>
        <v>100</v>
      </c>
      <c r="X30" s="1314"/>
      <c r="Y30" s="3595"/>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95"/>
      <c r="Q31" s="1319">
        <f t="shared" si="8"/>
        <v>111</v>
      </c>
      <c r="R31" s="1320" t="s">
        <v>63</v>
      </c>
      <c r="S31" s="1321">
        <f t="shared" si="10"/>
        <v>100</v>
      </c>
      <c r="T31" s="1320" t="s">
        <v>63</v>
      </c>
      <c r="U31" s="1321">
        <f t="shared" si="11"/>
        <v>100</v>
      </c>
      <c r="V31" s="1320" t="s">
        <v>63</v>
      </c>
      <c r="W31" s="1321">
        <f t="shared" si="12"/>
        <v>100</v>
      </c>
      <c r="X31" s="1314"/>
      <c r="Y31" s="3595"/>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96" t="s">
        <v>405</v>
      </c>
      <c r="Q32" s="1319">
        <f t="shared" si="8"/>
        <v>111</v>
      </c>
      <c r="R32" s="1320" t="s">
        <v>63</v>
      </c>
      <c r="S32" s="1321">
        <f t="shared" si="10"/>
        <v>100</v>
      </c>
      <c r="T32" s="1320" t="s">
        <v>63</v>
      </c>
      <c r="U32" s="1321">
        <f t="shared" si="11"/>
        <v>100</v>
      </c>
      <c r="V32" s="1320" t="s">
        <v>63</v>
      </c>
      <c r="W32" s="1321">
        <f t="shared" si="12"/>
        <v>100</v>
      </c>
      <c r="X32" s="1314"/>
      <c r="Y32" s="3597" t="s">
        <v>405</v>
      </c>
      <c r="Z32" s="1322">
        <f t="shared" si="13"/>
        <v>111</v>
      </c>
      <c r="AA32" s="1323">
        <f t="shared" si="3"/>
        <v>1</v>
      </c>
      <c r="AB32" s="1323">
        <f t="shared" si="4"/>
        <v>1</v>
      </c>
      <c r="AC32" s="1323">
        <f t="shared" si="5"/>
        <v>1</v>
      </c>
    </row>
    <row r="33" spans="1:29" s="811" customFormat="1" ht="15.75" thickBot="1">
      <c r="A33" s="1081"/>
      <c r="B33" s="3297">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97"/>
      <c r="Q33" s="1319">
        <f t="shared" si="8"/>
        <v>111</v>
      </c>
      <c r="R33" s="1325" t="s">
        <v>63</v>
      </c>
      <c r="S33" s="1326">
        <f t="shared" si="10"/>
        <v>100</v>
      </c>
      <c r="T33" s="1325" t="s">
        <v>63</v>
      </c>
      <c r="U33" s="1326">
        <f t="shared" si="11"/>
        <v>100</v>
      </c>
      <c r="V33" s="1325" t="s">
        <v>63</v>
      </c>
      <c r="W33" s="1326">
        <f t="shared" si="12"/>
        <v>100</v>
      </c>
      <c r="X33" s="1327"/>
      <c r="Y33" s="3597"/>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97"/>
      <c r="Q34" s="1319" t="str">
        <f>B34</f>
        <v>宗地面积</v>
      </c>
      <c r="R34" s="1320" t="s">
        <v>63</v>
      </c>
      <c r="S34" s="1321" t="e">
        <f t="shared" si="10"/>
        <v>#N/A</v>
      </c>
      <c r="T34" s="1320" t="s">
        <v>63</v>
      </c>
      <c r="U34" s="1321" t="e">
        <f t="shared" si="11"/>
        <v>#N/A</v>
      </c>
      <c r="V34" s="1320" t="s">
        <v>63</v>
      </c>
      <c r="W34" s="1321" t="e">
        <f t="shared" si="12"/>
        <v>#N/A</v>
      </c>
      <c r="X34" s="1314"/>
      <c r="Y34" s="3597"/>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97"/>
      <c r="Q35" s="1319" t="str">
        <f t="shared" ref="Q35:Q40" si="14">B35</f>
        <v>宗地形状</v>
      </c>
      <c r="R35" s="1320" t="s">
        <v>63</v>
      </c>
      <c r="S35" s="1321">
        <f t="shared" si="10"/>
        <v>100</v>
      </c>
      <c r="T35" s="1320" t="s">
        <v>63</v>
      </c>
      <c r="U35" s="1321">
        <f t="shared" si="11"/>
        <v>100</v>
      </c>
      <c r="V35" s="1320" t="s">
        <v>63</v>
      </c>
      <c r="W35" s="1321">
        <f t="shared" si="12"/>
        <v>100</v>
      </c>
      <c r="X35" s="1314"/>
      <c r="Y35" s="3597"/>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97"/>
      <c r="Q36" s="1319" t="str">
        <f t="shared" si="14"/>
        <v>宗地开发程度</v>
      </c>
      <c r="R36" s="1315" t="s">
        <v>63</v>
      </c>
      <c r="S36" s="1316">
        <f t="shared" si="10"/>
        <v>100</v>
      </c>
      <c r="T36" s="1315" t="s">
        <v>63</v>
      </c>
      <c r="U36" s="1316">
        <f t="shared" si="11"/>
        <v>100</v>
      </c>
      <c r="V36" s="1315" t="s">
        <v>63</v>
      </c>
      <c r="W36" s="1316">
        <f t="shared" si="12"/>
        <v>100</v>
      </c>
      <c r="X36" s="1317"/>
      <c r="Y36" s="3597"/>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97" t="s">
        <v>516</v>
      </c>
      <c r="Q37" s="1319" t="str">
        <f t="shared" si="14"/>
        <v>工程地质条件</v>
      </c>
      <c r="R37" s="1320" t="s">
        <v>63</v>
      </c>
      <c r="S37" s="1321">
        <f t="shared" si="10"/>
        <v>100</v>
      </c>
      <c r="T37" s="1320" t="s">
        <v>63</v>
      </c>
      <c r="U37" s="1321">
        <f t="shared" si="11"/>
        <v>100</v>
      </c>
      <c r="V37" s="1320" t="s">
        <v>63</v>
      </c>
      <c r="W37" s="1321">
        <f t="shared" si="12"/>
        <v>100</v>
      </c>
      <c r="X37" s="1314"/>
      <c r="Y37" s="3597"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97"/>
      <c r="Q38" s="1319">
        <f t="shared" si="14"/>
        <v>111</v>
      </c>
      <c r="R38" s="1320" t="s">
        <v>63</v>
      </c>
      <c r="S38" s="1321">
        <f t="shared" si="10"/>
        <v>100</v>
      </c>
      <c r="T38" s="1320" t="s">
        <v>63</v>
      </c>
      <c r="U38" s="1321">
        <f t="shared" si="11"/>
        <v>100</v>
      </c>
      <c r="V38" s="1320" t="s">
        <v>63</v>
      </c>
      <c r="W38" s="1321">
        <f t="shared" si="12"/>
        <v>100</v>
      </c>
      <c r="X38" s="1314"/>
      <c r="Y38" s="3597"/>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97"/>
      <c r="Q39" s="1319">
        <f t="shared" si="14"/>
        <v>111</v>
      </c>
      <c r="R39" s="1320" t="s">
        <v>63</v>
      </c>
      <c r="S39" s="1321">
        <f t="shared" si="10"/>
        <v>100</v>
      </c>
      <c r="T39" s="1320" t="s">
        <v>63</v>
      </c>
      <c r="U39" s="1321">
        <f t="shared" si="11"/>
        <v>100</v>
      </c>
      <c r="V39" s="1320" t="s">
        <v>63</v>
      </c>
      <c r="W39" s="1321">
        <f t="shared" si="12"/>
        <v>100</v>
      </c>
      <c r="X39" s="1314"/>
      <c r="Y39" s="3597"/>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97"/>
      <c r="Q40" s="1319">
        <f t="shared" si="14"/>
        <v>111</v>
      </c>
      <c r="R40" s="1325" t="s">
        <v>63</v>
      </c>
      <c r="S40" s="1326">
        <f t="shared" si="10"/>
        <v>100</v>
      </c>
      <c r="T40" s="1325" t="s">
        <v>63</v>
      </c>
      <c r="U40" s="1326">
        <f t="shared" si="11"/>
        <v>100</v>
      </c>
      <c r="V40" s="1325" t="s">
        <v>63</v>
      </c>
      <c r="W40" s="1326">
        <f t="shared" si="12"/>
        <v>100</v>
      </c>
      <c r="X40" s="1327"/>
      <c r="Y40" s="3597"/>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79" t="str">
        <f>A41</f>
        <v>成交单价</v>
      </c>
      <c r="Q41" s="3579"/>
      <c r="R41" s="3592">
        <f>E41</f>
        <v>0</v>
      </c>
      <c r="S41" s="3592"/>
      <c r="T41" s="3592">
        <f>G41</f>
        <v>0</v>
      </c>
      <c r="U41" s="3592"/>
      <c r="V41" s="3592">
        <f>I41</f>
        <v>0</v>
      </c>
      <c r="W41" s="3592"/>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79" t="str">
        <f>A42</f>
        <v>比较价值（元/平方米）</v>
      </c>
      <c r="Q42" s="3579"/>
      <c r="R42" s="3598" t="e">
        <f>ROUND(PRODUCT(R41,AA7:AA40),0)</f>
        <v>#DIV/0!</v>
      </c>
      <c r="S42" s="3598"/>
      <c r="T42" s="3598" t="e">
        <f>ROUND(PRODUCT(T41,AB7:AB40),0)</f>
        <v>#DIV/0!</v>
      </c>
      <c r="U42" s="3598"/>
      <c r="V42" s="3598" t="e">
        <f>ROUND(PRODUCT(V41,AC7:AC40),0)</f>
        <v>#DIV/0!</v>
      </c>
      <c r="W42" s="3598"/>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599" t="str">
        <f>A43</f>
        <v>估价对象XX用房的比较价值（楼面单价，元/平方米）</v>
      </c>
      <c r="Q43" s="3600"/>
      <c r="R43" s="3601" t="e">
        <f>ROUND(AVERAGE(R42:V42),0)</f>
        <v>#DIV/0!</v>
      </c>
      <c r="S43" s="3601"/>
      <c r="T43" s="3601"/>
      <c r="U43" s="3601"/>
      <c r="V43" s="3601"/>
      <c r="W43" s="3601"/>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602" t="s">
        <v>2311</v>
      </c>
      <c r="H50" s="3603"/>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76256.08</v>
      </c>
      <c r="F51" s="1096" t="e">
        <f t="shared" ref="F51:F60" si="15">ROUND(B51*E51/10000,0)</f>
        <v>#DIV/0!</v>
      </c>
      <c r="G51" s="3604"/>
      <c r="H51" s="3605"/>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606"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606"/>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606"/>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606"/>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6669.35</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17026.16</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8" t="str">
        <f t="shared" si="25"/>
        <v>(含)-</v>
      </c>
      <c r="L107" s="3298" t="str">
        <f t="shared" si="25"/>
        <v>(含)-</v>
      </c>
      <c r="M107" s="3299"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21"/>
      <c r="B4" s="3722"/>
      <c r="C4" s="3722"/>
      <c r="D4" s="3723"/>
      <c r="E4" s="3723"/>
      <c r="F4" s="3723"/>
      <c r="G4" s="3723"/>
      <c r="H4" s="3723"/>
      <c r="I4" s="3723"/>
      <c r="J4" s="3724"/>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08"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09"/>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18" t="s">
        <v>2892</v>
      </c>
      <c r="X8" s="3719"/>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09"/>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20" t="s">
        <v>2893</v>
      </c>
      <c r="X9" s="3089" t="s">
        <v>1757</v>
      </c>
      <c r="Y9" s="3312"/>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09"/>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20"/>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09"/>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20"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08"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20"/>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5"/>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20"/>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25"/>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26"/>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08"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09"/>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0">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3"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2"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3"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2"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2"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1"/>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2"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10" t="s">
        <v>1753</v>
      </c>
      <c r="B90" s="3710"/>
      <c r="C90" s="3710"/>
      <c r="D90" s="3710"/>
      <c r="E90" s="3710"/>
      <c r="F90" s="3710"/>
      <c r="G90" s="3710"/>
      <c r="H90" s="3710"/>
      <c r="I90" s="3710"/>
      <c r="J90" s="3710"/>
      <c r="K90" s="2604"/>
      <c r="L90" s="2604"/>
      <c r="M90" s="2604"/>
      <c r="N90" s="2604"/>
    </row>
    <row r="91" spans="1:37">
      <c r="A91" s="3712" t="s">
        <v>66</v>
      </c>
      <c r="B91" s="3712" t="s">
        <v>1754</v>
      </c>
      <c r="C91" s="1583" t="s">
        <v>1755</v>
      </c>
      <c r="D91" s="1584"/>
      <c r="E91" s="1584"/>
      <c r="F91" s="1584"/>
      <c r="G91" s="1584"/>
      <c r="H91" s="1584"/>
      <c r="I91" s="1584"/>
      <c r="J91" s="1585"/>
      <c r="K91" s="1573"/>
      <c r="L91" s="1573"/>
      <c r="M91" s="1573"/>
      <c r="N91" s="1573"/>
    </row>
    <row r="92" spans="1:37">
      <c r="A92" s="3712"/>
      <c r="B92" s="3712"/>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13"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4"/>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4"/>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4"/>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4"/>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4"/>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4"/>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5"/>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3"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14"/>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14"/>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14"/>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14"/>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14"/>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14"/>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14"/>
      <c r="B108" s="3716"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5"/>
      <c r="B109" s="3717"/>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11" t="s">
        <v>1761</v>
      </c>
      <c r="B110" s="3711"/>
      <c r="C110" s="3711"/>
      <c r="D110" s="3711"/>
      <c r="E110" s="3711"/>
      <c r="F110" s="3711"/>
      <c r="G110" s="3711"/>
      <c r="H110" s="3711"/>
      <c r="I110" s="3711"/>
      <c r="J110" s="3711"/>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12" t="s">
        <v>1190</v>
      </c>
      <c r="B18" s="1569" t="s">
        <v>1567</v>
      </c>
      <c r="C18" s="1570" t="s">
        <v>1568</v>
      </c>
      <c r="D18" s="1571"/>
      <c r="E18" s="1569">
        <v>1</v>
      </c>
      <c r="F18" s="1572" t="s">
        <v>1569</v>
      </c>
      <c r="G18" s="1573"/>
      <c r="H18" s="1565"/>
      <c r="I18" s="1565"/>
    </row>
    <row r="19" spans="1:9" s="1574" customFormat="1" ht="19.5" customHeight="1">
      <c r="A19" s="3712"/>
      <c r="B19" s="3712" t="s">
        <v>1570</v>
      </c>
      <c r="C19" s="1570" t="s">
        <v>1571</v>
      </c>
      <c r="D19" s="1571"/>
      <c r="E19" s="1569">
        <v>0.9</v>
      </c>
      <c r="F19" s="1572" t="s">
        <v>1572</v>
      </c>
      <c r="G19" s="1573"/>
      <c r="H19" s="1565"/>
      <c r="I19" s="1565"/>
    </row>
    <row r="20" spans="1:9" s="1574" customFormat="1" ht="19.5" customHeight="1">
      <c r="A20" s="3712"/>
      <c r="B20" s="3712"/>
      <c r="C20" s="1570" t="s">
        <v>1573</v>
      </c>
      <c r="D20" s="1571"/>
      <c r="E20" s="1569">
        <v>1.1000000000000001</v>
      </c>
      <c r="F20" s="1572" t="s">
        <v>1574</v>
      </c>
      <c r="G20" s="1573"/>
      <c r="H20" s="1565"/>
      <c r="I20" s="1565"/>
    </row>
    <row r="21" spans="1:9" s="1574" customFormat="1" ht="19.5" customHeight="1">
      <c r="A21" s="3712"/>
      <c r="B21" s="3712"/>
      <c r="C21" s="1570" t="s">
        <v>1575</v>
      </c>
      <c r="D21" s="1571"/>
      <c r="E21" s="1569">
        <v>0.8</v>
      </c>
      <c r="F21" s="1572" t="s">
        <v>1576</v>
      </c>
      <c r="G21" s="1573"/>
      <c r="H21" s="1565"/>
      <c r="I21" s="1565"/>
    </row>
    <row r="22" spans="1:9" s="1574" customFormat="1" ht="19.5" customHeight="1">
      <c r="A22" s="3712"/>
      <c r="B22" s="3712"/>
      <c r="C22" s="1570" t="s">
        <v>1577</v>
      </c>
      <c r="D22" s="1571"/>
      <c r="E22" s="1569">
        <v>0.5</v>
      </c>
      <c r="F22" s="1572"/>
      <c r="G22" s="1573"/>
      <c r="H22" s="1565"/>
      <c r="I22" s="1565"/>
    </row>
    <row r="23" spans="1:9" s="1574" customFormat="1" ht="19.5" customHeight="1">
      <c r="A23" s="3712" t="s">
        <v>1191</v>
      </c>
      <c r="B23" s="1569" t="s">
        <v>1567</v>
      </c>
      <c r="C23" s="1570" t="s">
        <v>1578</v>
      </c>
      <c r="D23" s="1571"/>
      <c r="E23" s="1569">
        <v>1</v>
      </c>
      <c r="F23" s="1572" t="s">
        <v>1579</v>
      </c>
      <c r="G23" s="1573"/>
      <c r="H23" s="1565"/>
      <c r="I23" s="1565"/>
    </row>
    <row r="24" spans="1:9" s="1574" customFormat="1" ht="19.5" customHeight="1">
      <c r="A24" s="3712"/>
      <c r="B24" s="3712" t="s">
        <v>1570</v>
      </c>
      <c r="C24" s="1570" t="s">
        <v>1580</v>
      </c>
      <c r="D24" s="1571"/>
      <c r="E24" s="1569">
        <v>0.5</v>
      </c>
      <c r="F24" s="1572"/>
      <c r="G24" s="1573"/>
      <c r="H24" s="1565"/>
      <c r="I24" s="1565"/>
    </row>
    <row r="25" spans="1:9" s="1574" customFormat="1" ht="19.5" customHeight="1">
      <c r="A25" s="3712"/>
      <c r="B25" s="3712"/>
      <c r="C25" s="1570" t="s">
        <v>1581</v>
      </c>
      <c r="D25" s="1571"/>
      <c r="E25" s="1569">
        <v>1.1000000000000001</v>
      </c>
      <c r="F25" s="1572"/>
      <c r="G25" s="1573"/>
      <c r="H25" s="1565"/>
      <c r="I25" s="1565"/>
    </row>
    <row r="26" spans="1:9" s="1574" customFormat="1" ht="19.5" customHeight="1">
      <c r="A26" s="3712"/>
      <c r="B26" s="3712"/>
      <c r="C26" s="1570" t="s">
        <v>1582</v>
      </c>
      <c r="D26" s="1571"/>
      <c r="E26" s="1569">
        <v>1.1000000000000001</v>
      </c>
      <c r="F26" s="1572"/>
      <c r="G26" s="1573"/>
      <c r="H26" s="1565"/>
      <c r="I26" s="1565"/>
    </row>
    <row r="27" spans="1:9" s="1574" customFormat="1" ht="19.5" customHeight="1">
      <c r="A27" s="3712"/>
      <c r="B27" s="3712"/>
      <c r="C27" s="1570" t="s">
        <v>1583</v>
      </c>
      <c r="D27" s="1571"/>
      <c r="E27" s="1569">
        <v>0.9</v>
      </c>
      <c r="F27" s="1572" t="s">
        <v>1584</v>
      </c>
      <c r="G27" s="1573"/>
      <c r="H27" s="1565"/>
      <c r="I27" s="1565"/>
    </row>
    <row r="28" spans="1:9" s="1574" customFormat="1" ht="19.5" customHeight="1">
      <c r="A28" s="3712"/>
      <c r="B28" s="3712"/>
      <c r="C28" s="1570" t="s">
        <v>1585</v>
      </c>
      <c r="D28" s="1571"/>
      <c r="E28" s="1569">
        <v>0.9</v>
      </c>
      <c r="F28" s="1572" t="s">
        <v>1586</v>
      </c>
      <c r="G28" s="1573"/>
      <c r="H28" s="1565"/>
      <c r="I28" s="1565"/>
    </row>
    <row r="29" spans="1:9" s="1574" customFormat="1" ht="19.5" customHeight="1">
      <c r="A29" s="3712"/>
      <c r="B29" s="3712"/>
      <c r="C29" s="1570" t="s">
        <v>1587</v>
      </c>
      <c r="D29" s="1571"/>
      <c r="E29" s="1569">
        <v>0.9</v>
      </c>
      <c r="F29" s="1572" t="s">
        <v>1588</v>
      </c>
      <c r="G29" s="1573"/>
      <c r="H29" s="1565"/>
      <c r="I29" s="1565"/>
    </row>
    <row r="30" spans="1:9" s="1574" customFormat="1" ht="19.5" customHeight="1">
      <c r="A30" s="3712"/>
      <c r="B30" s="3712"/>
      <c r="C30" s="1570" t="s">
        <v>1589</v>
      </c>
      <c r="D30" s="1571"/>
      <c r="E30" s="1569">
        <v>0.9</v>
      </c>
      <c r="F30" s="1572" t="s">
        <v>1590</v>
      </c>
      <c r="G30" s="1573"/>
      <c r="H30" s="1565"/>
      <c r="I30" s="1565"/>
    </row>
    <row r="31" spans="1:9" s="1574" customFormat="1" ht="19.5" customHeight="1">
      <c r="A31" s="3712"/>
      <c r="B31" s="3712"/>
      <c r="C31" s="1570" t="s">
        <v>1591</v>
      </c>
      <c r="D31" s="1571"/>
      <c r="E31" s="1569">
        <v>0.8</v>
      </c>
      <c r="F31" s="1572" t="s">
        <v>1592</v>
      </c>
      <c r="G31" s="1573"/>
      <c r="H31" s="1565"/>
      <c r="I31" s="1565"/>
    </row>
    <row r="32" spans="1:9" s="1574" customFormat="1" ht="19.5" customHeight="1">
      <c r="A32" s="3712"/>
      <c r="B32" s="3712"/>
      <c r="C32" s="1570" t="s">
        <v>1593</v>
      </c>
      <c r="D32" s="1571"/>
      <c r="E32" s="1569">
        <v>0.8</v>
      </c>
      <c r="F32" s="1572" t="s">
        <v>1594</v>
      </c>
      <c r="G32" s="1573"/>
      <c r="H32" s="1565"/>
      <c r="I32" s="1565"/>
    </row>
    <row r="33" spans="1:9" s="1574" customFormat="1" ht="19.5" customHeight="1">
      <c r="A33" s="3712" t="s">
        <v>1192</v>
      </c>
      <c r="B33" s="1569" t="s">
        <v>1567</v>
      </c>
      <c r="C33" s="1570" t="s">
        <v>1595</v>
      </c>
      <c r="D33" s="1571"/>
      <c r="E33" s="1569">
        <v>1</v>
      </c>
      <c r="F33" s="1572" t="s">
        <v>1596</v>
      </c>
      <c r="G33" s="1573"/>
      <c r="H33" s="1565"/>
      <c r="I33" s="1565"/>
    </row>
    <row r="34" spans="1:9" s="1574" customFormat="1" ht="19.5" customHeight="1">
      <c r="A34" s="3712"/>
      <c r="B34" s="1569" t="s">
        <v>1570</v>
      </c>
      <c r="C34" s="1570" t="s">
        <v>1597</v>
      </c>
      <c r="D34" s="1571"/>
      <c r="E34" s="1569">
        <v>1.5</v>
      </c>
      <c r="F34" s="1572" t="s">
        <v>1598</v>
      </c>
      <c r="G34" s="1573"/>
      <c r="H34" s="1565"/>
      <c r="I34" s="1565"/>
    </row>
    <row r="35" spans="1:9" s="1574" customFormat="1" ht="19.5" customHeight="1">
      <c r="A35" s="3712" t="s">
        <v>1193</v>
      </c>
      <c r="B35" s="1569" t="s">
        <v>1567</v>
      </c>
      <c r="C35" s="1570" t="s">
        <v>1599</v>
      </c>
      <c r="D35" s="1571"/>
      <c r="E35" s="1569">
        <v>1</v>
      </c>
      <c r="F35" s="1572" t="s">
        <v>1600</v>
      </c>
      <c r="G35" s="1573"/>
      <c r="H35" s="1565"/>
      <c r="I35" s="1565"/>
    </row>
    <row r="36" spans="1:9" s="1574" customFormat="1" ht="19.5" customHeight="1">
      <c r="A36" s="3712"/>
      <c r="B36" s="3712" t="s">
        <v>1570</v>
      </c>
      <c r="C36" s="1570" t="s">
        <v>1601</v>
      </c>
      <c r="D36" s="1571"/>
      <c r="E36" s="1569">
        <v>1</v>
      </c>
      <c r="F36" s="1572" t="s">
        <v>1602</v>
      </c>
      <c r="G36" s="1573"/>
      <c r="H36" s="1565"/>
      <c r="I36" s="1565"/>
    </row>
    <row r="37" spans="1:9" s="1574" customFormat="1" ht="19.5" customHeight="1">
      <c r="A37" s="3712"/>
      <c r="B37" s="3712"/>
      <c r="C37" s="1570" t="s">
        <v>1603</v>
      </c>
      <c r="D37" s="1571"/>
      <c r="E37" s="1569">
        <v>1.5</v>
      </c>
      <c r="F37" s="1572" t="s">
        <v>1604</v>
      </c>
      <c r="G37" s="1573"/>
      <c r="H37" s="1565"/>
      <c r="I37" s="1565"/>
    </row>
    <row r="38" spans="1:9" s="1574" customFormat="1" ht="19.5" customHeight="1">
      <c r="A38" s="3712"/>
      <c r="B38" s="3712"/>
      <c r="C38" s="1570" t="s">
        <v>1605</v>
      </c>
      <c r="D38" s="1571"/>
      <c r="E38" s="1569">
        <v>1</v>
      </c>
      <c r="F38" s="1572" t="s">
        <v>1606</v>
      </c>
      <c r="G38" s="1573"/>
      <c r="H38" s="1565"/>
      <c r="I38" s="1565"/>
    </row>
    <row r="39" spans="1:9" s="1574" customFormat="1" ht="19.5" customHeight="1">
      <c r="A39" s="3712"/>
      <c r="B39" s="3712"/>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12" t="s">
        <v>1621</v>
      </c>
      <c r="C61" s="1495" t="s">
        <v>1622</v>
      </c>
      <c r="D61" s="1495" t="s">
        <v>1623</v>
      </c>
      <c r="E61" s="1582">
        <v>0.5</v>
      </c>
      <c r="F61" s="1569">
        <v>80</v>
      </c>
    </row>
    <row r="62" spans="1:8" s="1565" customFormat="1" ht="24">
      <c r="A62" s="1569">
        <v>2</v>
      </c>
      <c r="B62" s="3712"/>
      <c r="C62" s="1495" t="s">
        <v>1624</v>
      </c>
      <c r="D62" s="1495" t="s">
        <v>1625</v>
      </c>
      <c r="E62" s="1582">
        <v>0.5</v>
      </c>
      <c r="F62" s="1569">
        <v>80</v>
      </c>
    </row>
    <row r="63" spans="1:8" s="1565" customFormat="1" ht="36">
      <c r="A63" s="1569">
        <v>3</v>
      </c>
      <c r="B63" s="3712"/>
      <c r="C63" s="1495" t="s">
        <v>1626</v>
      </c>
      <c r="D63" s="1495" t="s">
        <v>1627</v>
      </c>
      <c r="E63" s="1582">
        <v>0.5</v>
      </c>
      <c r="F63" s="1569">
        <v>80</v>
      </c>
    </row>
    <row r="64" spans="1:8" s="1565" customFormat="1" ht="36">
      <c r="A64" s="1569">
        <v>4</v>
      </c>
      <c r="B64" s="3712"/>
      <c r="C64" s="1495" t="s">
        <v>1628</v>
      </c>
      <c r="D64" s="1495" t="s">
        <v>1629</v>
      </c>
      <c r="E64" s="1582">
        <v>0.4</v>
      </c>
      <c r="F64" s="1569">
        <v>60</v>
      </c>
    </row>
    <row r="65" spans="1:6" s="1565" customFormat="1" ht="36">
      <c r="A65" s="1569">
        <v>5</v>
      </c>
      <c r="B65" s="3712"/>
      <c r="C65" s="1495" t="s">
        <v>1630</v>
      </c>
      <c r="D65" s="1495" t="s">
        <v>1631</v>
      </c>
      <c r="E65" s="1582">
        <v>0.2</v>
      </c>
      <c r="F65" s="1569">
        <v>30</v>
      </c>
    </row>
    <row r="66" spans="1:6" s="1565" customFormat="1" ht="36">
      <c r="A66" s="1569">
        <v>6</v>
      </c>
      <c r="B66" s="3712"/>
      <c r="C66" s="1495" t="s">
        <v>1632</v>
      </c>
      <c r="D66" s="1495" t="s">
        <v>1633</v>
      </c>
      <c r="E66" s="1582">
        <v>0.3</v>
      </c>
      <c r="F66" s="1569">
        <v>50</v>
      </c>
    </row>
    <row r="67" spans="1:6" s="1565" customFormat="1" ht="36">
      <c r="A67" s="1569">
        <v>7</v>
      </c>
      <c r="B67" s="3712"/>
      <c r="C67" s="1495" t="s">
        <v>1634</v>
      </c>
      <c r="D67" s="1495" t="s">
        <v>1635</v>
      </c>
      <c r="E67" s="1582">
        <v>0.2</v>
      </c>
      <c r="F67" s="1569">
        <v>30</v>
      </c>
    </row>
    <row r="68" spans="1:6" s="1565" customFormat="1" ht="36">
      <c r="A68" s="1569">
        <v>8</v>
      </c>
      <c r="B68" s="3712"/>
      <c r="C68" s="1495" t="s">
        <v>1636</v>
      </c>
      <c r="D68" s="1495" t="s">
        <v>1637</v>
      </c>
      <c r="E68" s="1582">
        <v>0.2</v>
      </c>
      <c r="F68" s="1569">
        <v>30</v>
      </c>
    </row>
    <row r="69" spans="1:6" s="1565" customFormat="1" ht="36">
      <c r="A69" s="1569">
        <v>9</v>
      </c>
      <c r="B69" s="3712"/>
      <c r="C69" s="1495" t="s">
        <v>1638</v>
      </c>
      <c r="D69" s="1495" t="s">
        <v>1639</v>
      </c>
      <c r="E69" s="1582">
        <v>0.2</v>
      </c>
      <c r="F69" s="1569">
        <v>30</v>
      </c>
    </row>
    <row r="70" spans="1:6" s="1565" customFormat="1" ht="48">
      <c r="A70" s="1569">
        <v>10</v>
      </c>
      <c r="B70" s="3712"/>
      <c r="C70" s="1495" t="s">
        <v>1640</v>
      </c>
      <c r="D70" s="1495" t="s">
        <v>1641</v>
      </c>
      <c r="E70" s="1582">
        <v>0.2</v>
      </c>
      <c r="F70" s="1569">
        <v>30</v>
      </c>
    </row>
    <row r="71" spans="1:6" s="1565" customFormat="1" ht="48">
      <c r="A71" s="1569">
        <v>11</v>
      </c>
      <c r="B71" s="3712"/>
      <c r="C71" s="1495" t="s">
        <v>1642</v>
      </c>
      <c r="D71" s="1495" t="s">
        <v>1643</v>
      </c>
      <c r="E71" s="1582">
        <v>0.2</v>
      </c>
      <c r="F71" s="1569">
        <v>30</v>
      </c>
    </row>
    <row r="72" spans="1:6" s="1565" customFormat="1" ht="36">
      <c r="A72" s="1569">
        <v>12</v>
      </c>
      <c r="B72" s="3712"/>
      <c r="C72" s="1495" t="s">
        <v>1644</v>
      </c>
      <c r="D72" s="1495" t="s">
        <v>1645</v>
      </c>
      <c r="E72" s="1582">
        <v>0.5</v>
      </c>
      <c r="F72" s="1569">
        <v>80</v>
      </c>
    </row>
    <row r="73" spans="1:6" s="1565" customFormat="1" ht="24">
      <c r="A73" s="1569">
        <v>13</v>
      </c>
      <c r="B73" s="3712"/>
      <c r="C73" s="1495" t="s">
        <v>1646</v>
      </c>
      <c r="D73" s="1495" t="s">
        <v>1647</v>
      </c>
      <c r="E73" s="1582">
        <v>0.4</v>
      </c>
      <c r="F73" s="1569">
        <v>60</v>
      </c>
    </row>
    <row r="74" spans="1:6" s="1565" customFormat="1" ht="24">
      <c r="A74" s="1569">
        <v>14</v>
      </c>
      <c r="B74" s="3712"/>
      <c r="C74" s="1495" t="s">
        <v>1648</v>
      </c>
      <c r="D74" s="1495" t="s">
        <v>1649</v>
      </c>
      <c r="E74" s="1582">
        <v>0.2</v>
      </c>
      <c r="F74" s="1569">
        <v>30</v>
      </c>
    </row>
    <row r="75" spans="1:6" s="1565" customFormat="1" ht="24">
      <c r="A75" s="1569">
        <v>15</v>
      </c>
      <c r="B75" s="3712"/>
      <c r="C75" s="1495" t="s">
        <v>1650</v>
      </c>
      <c r="D75" s="1495" t="s">
        <v>1651</v>
      </c>
      <c r="E75" s="1582">
        <v>0.2</v>
      </c>
      <c r="F75" s="1569">
        <v>30</v>
      </c>
    </row>
    <row r="76" spans="1:6" s="1565" customFormat="1" ht="24">
      <c r="A76" s="1569">
        <v>16</v>
      </c>
      <c r="B76" s="3712" t="s">
        <v>1652</v>
      </c>
      <c r="C76" s="1495" t="s">
        <v>1653</v>
      </c>
      <c r="D76" s="1495" t="s">
        <v>1654</v>
      </c>
      <c r="E76" s="1582">
        <v>0.5</v>
      </c>
      <c r="F76" s="1569">
        <v>80</v>
      </c>
    </row>
    <row r="77" spans="1:6" s="1565" customFormat="1" ht="24">
      <c r="A77" s="1569">
        <v>17</v>
      </c>
      <c r="B77" s="3712"/>
      <c r="C77" s="1495" t="s">
        <v>1655</v>
      </c>
      <c r="D77" s="1495" t="s">
        <v>1656</v>
      </c>
      <c r="E77" s="1582">
        <v>0.5</v>
      </c>
      <c r="F77" s="1569">
        <v>80</v>
      </c>
    </row>
    <row r="78" spans="1:6" s="1565" customFormat="1" ht="24">
      <c r="A78" s="1569">
        <v>18</v>
      </c>
      <c r="B78" s="3712"/>
      <c r="C78" s="1495" t="s">
        <v>1657</v>
      </c>
      <c r="D78" s="1495" t="s">
        <v>1658</v>
      </c>
      <c r="E78" s="1582">
        <v>0.2</v>
      </c>
      <c r="F78" s="1569">
        <v>30</v>
      </c>
    </row>
    <row r="79" spans="1:6" s="1565" customFormat="1" ht="24">
      <c r="A79" s="1569">
        <v>19</v>
      </c>
      <c r="B79" s="3712"/>
      <c r="C79" s="1495" t="s">
        <v>1659</v>
      </c>
      <c r="D79" s="1495" t="s">
        <v>1660</v>
      </c>
      <c r="E79" s="1582">
        <v>0.5</v>
      </c>
      <c r="F79" s="1569">
        <v>80</v>
      </c>
    </row>
    <row r="80" spans="1:6" s="1565" customFormat="1" ht="36">
      <c r="A80" s="1569">
        <v>20</v>
      </c>
      <c r="B80" s="3712"/>
      <c r="C80" s="1495" t="s">
        <v>1661</v>
      </c>
      <c r="D80" s="1495" t="s">
        <v>1662</v>
      </c>
      <c r="E80" s="1582">
        <v>0.2</v>
      </c>
      <c r="F80" s="1569">
        <v>30</v>
      </c>
    </row>
    <row r="81" spans="1:6" s="1565" customFormat="1" ht="36">
      <c r="A81" s="1569">
        <v>21</v>
      </c>
      <c r="B81" s="3712"/>
      <c r="C81" s="1495" t="s">
        <v>1663</v>
      </c>
      <c r="D81" s="1495" t="s">
        <v>1664</v>
      </c>
      <c r="E81" s="1582">
        <v>0.2</v>
      </c>
      <c r="F81" s="1569">
        <v>30</v>
      </c>
    </row>
    <row r="82" spans="1:6" s="1565" customFormat="1" ht="48">
      <c r="A82" s="1569">
        <v>22</v>
      </c>
      <c r="B82" s="3712"/>
      <c r="C82" s="1495" t="s">
        <v>1665</v>
      </c>
      <c r="D82" s="1495" t="s">
        <v>1666</v>
      </c>
      <c r="E82" s="1582">
        <v>0.2</v>
      </c>
      <c r="F82" s="1569">
        <v>30</v>
      </c>
    </row>
    <row r="83" spans="1:6" s="1565" customFormat="1" ht="48">
      <c r="A83" s="1569">
        <v>23</v>
      </c>
      <c r="B83" s="3712"/>
      <c r="C83" s="1495" t="s">
        <v>1667</v>
      </c>
      <c r="D83" s="1495" t="s">
        <v>1668</v>
      </c>
      <c r="E83" s="1582">
        <v>0.2</v>
      </c>
      <c r="F83" s="1569">
        <v>30</v>
      </c>
    </row>
    <row r="84" spans="1:6" s="1565" customFormat="1" ht="36">
      <c r="A84" s="1569">
        <v>24</v>
      </c>
      <c r="B84" s="3712"/>
      <c r="C84" s="1495" t="s">
        <v>1669</v>
      </c>
      <c r="D84" s="1495" t="s">
        <v>1670</v>
      </c>
      <c r="E84" s="1582">
        <v>0.2</v>
      </c>
      <c r="F84" s="1569">
        <v>30</v>
      </c>
    </row>
    <row r="85" spans="1:6" s="1565" customFormat="1" ht="36">
      <c r="A85" s="1569">
        <v>25</v>
      </c>
      <c r="B85" s="3712"/>
      <c r="C85" s="1495" t="s">
        <v>1671</v>
      </c>
      <c r="D85" s="1495" t="s">
        <v>1672</v>
      </c>
      <c r="E85" s="1582">
        <v>0.5</v>
      </c>
      <c r="F85" s="1569">
        <v>80</v>
      </c>
    </row>
    <row r="86" spans="1:6" s="1565" customFormat="1" ht="36">
      <c r="A86" s="1569">
        <v>26</v>
      </c>
      <c r="B86" s="3712"/>
      <c r="C86" s="1495" t="s">
        <v>1673</v>
      </c>
      <c r="D86" s="1495" t="s">
        <v>1674</v>
      </c>
      <c r="E86" s="1582">
        <v>0.2</v>
      </c>
      <c r="F86" s="1569">
        <v>30</v>
      </c>
    </row>
    <row r="87" spans="1:6" s="1565" customFormat="1" ht="36">
      <c r="A87" s="1569">
        <v>27</v>
      </c>
      <c r="B87" s="3712"/>
      <c r="C87" s="1495" t="s">
        <v>1675</v>
      </c>
      <c r="D87" s="1495" t="s">
        <v>1676</v>
      </c>
      <c r="E87" s="1582">
        <v>0.2</v>
      </c>
      <c r="F87" s="1569">
        <v>30</v>
      </c>
    </row>
    <row r="88" spans="1:6" s="1565" customFormat="1" ht="36">
      <c r="A88" s="1569">
        <v>28</v>
      </c>
      <c r="B88" s="3712"/>
      <c r="C88" s="1495" t="s">
        <v>1677</v>
      </c>
      <c r="D88" s="1495" t="s">
        <v>1678</v>
      </c>
      <c r="E88" s="1582">
        <v>0.2</v>
      </c>
      <c r="F88" s="1569">
        <v>30</v>
      </c>
    </row>
    <row r="89" spans="1:6" s="1565" customFormat="1" ht="24">
      <c r="A89" s="1569">
        <v>29</v>
      </c>
      <c r="B89" s="3712"/>
      <c r="C89" s="1495" t="s">
        <v>1679</v>
      </c>
      <c r="D89" s="1495" t="s">
        <v>1680</v>
      </c>
      <c r="E89" s="1582">
        <v>0.2</v>
      </c>
      <c r="F89" s="1569">
        <v>30</v>
      </c>
    </row>
    <row r="90" spans="1:6" s="1565" customFormat="1" ht="24">
      <c r="A90" s="1569">
        <v>30</v>
      </c>
      <c r="B90" s="3712"/>
      <c r="C90" s="1495" t="s">
        <v>1681</v>
      </c>
      <c r="D90" s="1495" t="s">
        <v>1682</v>
      </c>
      <c r="E90" s="1582">
        <v>0.2</v>
      </c>
      <c r="F90" s="1569">
        <v>30</v>
      </c>
    </row>
    <row r="91" spans="1:6" s="1565" customFormat="1" ht="36">
      <c r="A91" s="1569">
        <v>31</v>
      </c>
      <c r="B91" s="3712"/>
      <c r="C91" s="1495" t="s">
        <v>1683</v>
      </c>
      <c r="D91" s="1495" t="s">
        <v>1684</v>
      </c>
      <c r="E91" s="1582">
        <v>0.2</v>
      </c>
      <c r="F91" s="1569">
        <v>30</v>
      </c>
    </row>
    <row r="92" spans="1:6" s="1565" customFormat="1" ht="24">
      <c r="A92" s="1569">
        <v>32</v>
      </c>
      <c r="B92" s="3712" t="s">
        <v>1685</v>
      </c>
      <c r="C92" s="1569" t="s">
        <v>1686</v>
      </c>
      <c r="D92" s="1495" t="s">
        <v>1687</v>
      </c>
      <c r="E92" s="1582">
        <v>0.2</v>
      </c>
      <c r="F92" s="1569">
        <v>30</v>
      </c>
    </row>
    <row r="93" spans="1:6" s="1565" customFormat="1" ht="36">
      <c r="A93" s="1569">
        <v>33</v>
      </c>
      <c r="B93" s="3712"/>
      <c r="C93" s="1569" t="s">
        <v>1688</v>
      </c>
      <c r="D93" s="1495" t="s">
        <v>1689</v>
      </c>
      <c r="E93" s="1582">
        <v>0.2</v>
      </c>
      <c r="F93" s="1569">
        <v>30</v>
      </c>
    </row>
    <row r="94" spans="1:6" s="1565" customFormat="1" ht="48">
      <c r="A94" s="1569">
        <v>34</v>
      </c>
      <c r="B94" s="3712"/>
      <c r="C94" s="1569" t="s">
        <v>1690</v>
      </c>
      <c r="D94" s="1495" t="s">
        <v>1691</v>
      </c>
      <c r="E94" s="1582">
        <v>0.2</v>
      </c>
      <c r="F94" s="1569">
        <v>30</v>
      </c>
    </row>
    <row r="95" spans="1:6" s="1565" customFormat="1" ht="36">
      <c r="A95" s="1569">
        <v>35</v>
      </c>
      <c r="B95" s="3712"/>
      <c r="C95" s="1569" t="s">
        <v>1692</v>
      </c>
      <c r="D95" s="1495" t="s">
        <v>1693</v>
      </c>
      <c r="E95" s="1582">
        <v>0.2</v>
      </c>
      <c r="F95" s="1569">
        <v>30</v>
      </c>
    </row>
    <row r="96" spans="1:6" s="1565" customFormat="1" ht="48">
      <c r="A96" s="1569">
        <v>36</v>
      </c>
      <c r="B96" s="3712"/>
      <c r="C96" s="1495" t="s">
        <v>1694</v>
      </c>
      <c r="D96" s="1495" t="s">
        <v>1695</v>
      </c>
      <c r="E96" s="1582">
        <v>0.2</v>
      </c>
      <c r="F96" s="1569">
        <v>30</v>
      </c>
    </row>
    <row r="97" spans="1:6" s="1565" customFormat="1" ht="36">
      <c r="A97" s="1569">
        <v>37</v>
      </c>
      <c r="B97" s="3712"/>
      <c r="C97" s="1569" t="s">
        <v>1696</v>
      </c>
      <c r="D97" s="1495" t="s">
        <v>1697</v>
      </c>
      <c r="E97" s="1582">
        <v>0.2</v>
      </c>
      <c r="F97" s="1569">
        <v>30</v>
      </c>
    </row>
    <row r="98" spans="1:6" s="1565" customFormat="1" ht="36">
      <c r="A98" s="1569">
        <v>38</v>
      </c>
      <c r="B98" s="3712"/>
      <c r="C98" s="1569" t="s">
        <v>1698</v>
      </c>
      <c r="D98" s="1495" t="s">
        <v>1699</v>
      </c>
      <c r="E98" s="1582">
        <v>0.2</v>
      </c>
      <c r="F98" s="1569">
        <v>30</v>
      </c>
    </row>
    <row r="99" spans="1:6" s="1565" customFormat="1" ht="36">
      <c r="A99" s="1569">
        <v>39</v>
      </c>
      <c r="B99" s="3712" t="s">
        <v>1700</v>
      </c>
      <c r="C99" s="1569" t="s">
        <v>1701</v>
      </c>
      <c r="D99" s="1495" t="s">
        <v>1702</v>
      </c>
      <c r="E99" s="1582">
        <v>0.3</v>
      </c>
      <c r="F99" s="1569">
        <v>50</v>
      </c>
    </row>
    <row r="100" spans="1:6" s="1565" customFormat="1" ht="24">
      <c r="A100" s="1569">
        <v>40</v>
      </c>
      <c r="B100" s="3712"/>
      <c r="C100" s="1569" t="s">
        <v>1703</v>
      </c>
      <c r="D100" s="1495" t="s">
        <v>1704</v>
      </c>
      <c r="E100" s="1582">
        <v>0.2</v>
      </c>
      <c r="F100" s="1569">
        <v>30</v>
      </c>
    </row>
    <row r="101" spans="1:6" s="1565" customFormat="1" ht="36">
      <c r="A101" s="1569">
        <v>41</v>
      </c>
      <c r="B101" s="3712"/>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12" t="s">
        <v>1715</v>
      </c>
      <c r="C105" s="1569" t="s">
        <v>1716</v>
      </c>
      <c r="D105" s="1495" t="s">
        <v>1717</v>
      </c>
      <c r="E105" s="1582">
        <v>0.2</v>
      </c>
      <c r="F105" s="1569">
        <v>30</v>
      </c>
    </row>
    <row r="106" spans="1:6" s="1565" customFormat="1" ht="36">
      <c r="A106" s="1569">
        <v>46</v>
      </c>
      <c r="B106" s="3712"/>
      <c r="C106" s="1569" t="s">
        <v>1718</v>
      </c>
      <c r="D106" s="1495" t="s">
        <v>1719</v>
      </c>
      <c r="E106" s="1582">
        <v>0.2</v>
      </c>
      <c r="F106" s="1569">
        <v>30</v>
      </c>
    </row>
    <row r="107" spans="1:6" s="1565" customFormat="1" ht="36">
      <c r="A107" s="1569">
        <v>47</v>
      </c>
      <c r="B107" s="3712" t="s">
        <v>1720</v>
      </c>
      <c r="C107" s="1569" t="s">
        <v>1721</v>
      </c>
      <c r="D107" s="1495" t="s">
        <v>1722</v>
      </c>
      <c r="E107" s="1582">
        <v>0.3</v>
      </c>
      <c r="F107" s="1569">
        <v>50</v>
      </c>
    </row>
    <row r="108" spans="1:6" s="1565" customFormat="1" ht="36">
      <c r="A108" s="1569">
        <v>48</v>
      </c>
      <c r="B108" s="3712"/>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12" t="s">
        <v>1731</v>
      </c>
      <c r="C111" s="1569" t="s">
        <v>1732</v>
      </c>
      <c r="D111" s="1495" t="s">
        <v>1733</v>
      </c>
      <c r="E111" s="1582">
        <v>0.2</v>
      </c>
      <c r="F111" s="1569">
        <v>30</v>
      </c>
    </row>
    <row r="112" spans="1:6" s="1565" customFormat="1" ht="24">
      <c r="A112" s="1569">
        <v>52</v>
      </c>
      <c r="B112" s="3712"/>
      <c r="C112" s="1569" t="s">
        <v>1734</v>
      </c>
      <c r="D112" s="1495" t="s">
        <v>1735</v>
      </c>
      <c r="E112" s="1582">
        <v>0.2</v>
      </c>
      <c r="F112" s="1569">
        <v>30</v>
      </c>
    </row>
    <row r="113" spans="1:6" s="1565" customFormat="1" ht="24">
      <c r="A113" s="1569">
        <v>53</v>
      </c>
      <c r="B113" s="3712"/>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12" t="s">
        <v>1744</v>
      </c>
      <c r="C116" s="1569" t="s">
        <v>1745</v>
      </c>
      <c r="D116" s="1495" t="s">
        <v>1746</v>
      </c>
      <c r="E116" s="1582">
        <v>0.2</v>
      </c>
      <c r="F116" s="1569">
        <v>30</v>
      </c>
    </row>
    <row r="117" spans="1:6" ht="36">
      <c r="A117" s="1569">
        <v>57</v>
      </c>
      <c r="B117" s="3712"/>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32" t="s">
        <v>2706</v>
      </c>
      <c r="C1" s="3732"/>
      <c r="D1" s="3732"/>
      <c r="E1" s="3732"/>
      <c r="F1" s="3732"/>
      <c r="G1" s="3728" t="s">
        <v>2707</v>
      </c>
      <c r="H1" s="3728"/>
      <c r="I1" s="3728"/>
      <c r="J1" s="3728"/>
      <c r="K1" s="3728"/>
      <c r="L1" s="3728"/>
      <c r="N1" s="3728" t="s">
        <v>2708</v>
      </c>
      <c r="O1" s="3728"/>
      <c r="P1" s="3728"/>
      <c r="Q1" s="3728"/>
      <c r="R1" s="2899"/>
      <c r="S1" s="3728" t="s">
        <v>2709</v>
      </c>
      <c r="T1" s="3728"/>
      <c r="U1" s="3728"/>
      <c r="V1" s="3728"/>
      <c r="X1" s="3727" t="s">
        <v>2710</v>
      </c>
      <c r="Y1" s="3728"/>
      <c r="Z1" s="3728"/>
      <c r="AA1" s="3728"/>
      <c r="AB1" s="3728"/>
      <c r="AD1" s="3727" t="s">
        <v>2711</v>
      </c>
      <c r="AE1" s="3728"/>
      <c r="AF1" s="3728"/>
      <c r="AG1" s="3728"/>
      <c r="AH1" s="3728"/>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33">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3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30"/>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3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33">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3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3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3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2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3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3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3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2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3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3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3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34">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5"/>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5"/>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6"/>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2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3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3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3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2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3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3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3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2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3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3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3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2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3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3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3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2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3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3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3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2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3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3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3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2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3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3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3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2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3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3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3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2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3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3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3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29">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30">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30">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31">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29">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30">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30">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3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44982</v>
      </c>
      <c r="C2" s="85" t="s">
        <v>861</v>
      </c>
      <c r="D2" s="575"/>
      <c r="E2" s="575"/>
      <c r="F2" s="575"/>
      <c r="G2" s="575"/>
    </row>
    <row r="3" spans="1:7" s="576" customFormat="1" ht="18" customHeight="1" thickBot="1">
      <c r="A3" s="579" t="s">
        <v>813</v>
      </c>
      <c r="B3" s="580">
        <f ca="1">ROUND(B2*10000/'数据-汇总表'!E3,0)</f>
        <v>4749</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1895</v>
      </c>
      <c r="D10" s="1906">
        <f>'数据-汇总表'!E6</f>
        <v>94727.57</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1895</v>
      </c>
      <c r="D19" s="1910">
        <f>'数据-汇总表'!E3</f>
        <v>94727.57</v>
      </c>
      <c r="E19" s="587">
        <f>'数据-取费表'!B31</f>
        <v>200</v>
      </c>
      <c r="F19" s="607"/>
      <c r="G19" s="84" t="s">
        <v>2522</v>
      </c>
    </row>
    <row r="20" spans="1:7" s="590" customFormat="1" ht="13.5" customHeight="1">
      <c r="A20" s="1800" t="s">
        <v>2502</v>
      </c>
      <c r="B20" s="586" t="s">
        <v>832</v>
      </c>
      <c r="C20" s="608">
        <f>ROUND((C5+C19)*F20,0)</f>
        <v>450</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750</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680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63</v>
      </c>
      <c r="D24" s="614"/>
      <c r="E24" s="614"/>
      <c r="F24" s="615"/>
      <c r="G24" s="616" t="s">
        <v>837</v>
      </c>
    </row>
    <row r="25" spans="1:7" s="590" customFormat="1" ht="24">
      <c r="A25" s="1803" t="s">
        <v>1916</v>
      </c>
      <c r="B25" s="591" t="s">
        <v>2503</v>
      </c>
      <c r="C25" s="2696">
        <f ca="1">ROUND(IF('数据-取费表'!B22&lt;=1,C20*F22*'数据-取费表'!B23/2,C20*(POWER((1+F22),'数据-取费表'!B23/2)-1)),0)</f>
        <v>7</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C28</f>
        <v>1285</v>
      </c>
      <c r="D27" s="611">
        <f>C29</f>
        <v>1.1000000000000001E-3</v>
      </c>
      <c r="E27" s="612" t="s">
        <v>854</v>
      </c>
      <c r="F27" s="622">
        <f>'数据-取费表'!Q16</f>
        <v>0.24</v>
      </c>
      <c r="G27" s="623" t="s">
        <v>2514</v>
      </c>
    </row>
    <row r="28" spans="1:7" s="590" customFormat="1" ht="13.5" customHeight="1">
      <c r="A28" s="1803" t="s">
        <v>1917</v>
      </c>
      <c r="B28" s="624" t="s">
        <v>2507</v>
      </c>
      <c r="C28" s="625">
        <f>ROUND((C5+C19+C20)*F27*'数据-取费表'!B21/'数据-取费表'!B20,0)</f>
        <v>1285</v>
      </c>
      <c r="D28" s="611"/>
      <c r="E28" s="612"/>
      <c r="F28" s="622"/>
      <c r="G28" s="623"/>
    </row>
    <row r="29" spans="1:7" s="590" customFormat="1" ht="13.5" customHeight="1">
      <c r="A29" s="1803" t="s">
        <v>1915</v>
      </c>
      <c r="B29" s="624" t="s">
        <v>2508</v>
      </c>
      <c r="C29" s="614">
        <f>ROUND(C21*F27*'数据-取费表'!B21/'数据-取费表'!B20,4)</f>
        <v>1.1000000000000001E-3</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27008</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12925</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11643</v>
      </c>
      <c r="D34" s="593"/>
      <c r="E34" s="596"/>
      <c r="F34" s="633">
        <f>IF('数据-取费表'!B24=0,1,'数据-取费表'!N16)</f>
        <v>0.4</v>
      </c>
      <c r="G34" s="595" t="s">
        <v>844</v>
      </c>
    </row>
    <row r="35" spans="1:7" ht="13.5" customHeight="1">
      <c r="A35" s="1803" t="s">
        <v>1919</v>
      </c>
      <c r="B35" s="591" t="s">
        <v>346</v>
      </c>
      <c r="C35" s="596">
        <f>ROUND(C34*F35,0)</f>
        <v>349</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758</v>
      </c>
      <c r="D37" s="593">
        <f>'数据-汇总表'!E3</f>
        <v>94727.57</v>
      </c>
      <c r="E37" s="625">
        <f>'数据-取费表'!B35</f>
        <v>200</v>
      </c>
      <c r="F37" s="635"/>
      <c r="G37" s="637" t="s">
        <v>847</v>
      </c>
    </row>
    <row r="38" spans="1:7" ht="13.5" customHeight="1">
      <c r="A38" s="1803" t="s">
        <v>1922</v>
      </c>
      <c r="B38" s="591" t="s">
        <v>349</v>
      </c>
      <c r="C38" s="596">
        <f>ROUND(C34*F38,0)</f>
        <v>175</v>
      </c>
      <c r="D38" s="596"/>
      <c r="E38" s="596"/>
      <c r="F38" s="635">
        <f>'数据-取费表'!B36</f>
        <v>1.4999999999999999E-2</v>
      </c>
      <c r="G38" s="595" t="s">
        <v>845</v>
      </c>
    </row>
    <row r="39" spans="1:7" s="590" customFormat="1" ht="13.5" customHeight="1">
      <c r="A39" s="1800" t="s">
        <v>1906</v>
      </c>
      <c r="B39" s="586" t="s">
        <v>832</v>
      </c>
      <c r="C39" s="608">
        <f>ROUND(C33*F20,0)</f>
        <v>259</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212</v>
      </c>
      <c r="D42" s="614"/>
      <c r="E42" s="614"/>
      <c r="F42" s="615"/>
      <c r="G42" s="3558" t="s">
        <v>849</v>
      </c>
    </row>
    <row r="43" spans="1:7" ht="13.5" customHeight="1">
      <c r="A43" s="1803" t="s">
        <v>1915</v>
      </c>
      <c r="B43" s="591" t="s">
        <v>2509</v>
      </c>
      <c r="C43" s="614">
        <f ca="1">ROUND(IF('数据-取费表'!B22&lt;=1,C39*F22*'数据-取费表'!B21/2,C39*(POWER((1+F22),'数据-取费表'!B21/2)-1)),0)</f>
        <v>4</v>
      </c>
      <c r="D43" s="614"/>
      <c r="E43" s="614"/>
      <c r="F43" s="615"/>
      <c r="G43" s="3559"/>
    </row>
    <row r="44" spans="1:7" ht="13.5" customHeight="1">
      <c r="A44" s="1803" t="s">
        <v>1916</v>
      </c>
      <c r="B44" s="591" t="s">
        <v>2511</v>
      </c>
      <c r="C44" s="614">
        <f ca="1">ROUND(IF('数据-取费表'!B22&lt;=1,C40*F22*'数据-取费表'!B21/2,C40*(POWER((1+F22),'数据-取费表'!B21/2)-1)),4)</f>
        <v>2.9999999999999997E-4</v>
      </c>
      <c r="D44" s="614"/>
      <c r="E44" s="614"/>
      <c r="F44" s="615"/>
      <c r="G44" s="3560"/>
    </row>
    <row r="45" spans="1:7" s="590" customFormat="1" ht="13.5" customHeight="1">
      <c r="A45" s="1800" t="s">
        <v>1909</v>
      </c>
      <c r="B45" s="620" t="s">
        <v>840</v>
      </c>
      <c r="C45" s="621">
        <f>C46</f>
        <v>3164</v>
      </c>
      <c r="D45" s="611">
        <f>C47</f>
        <v>4.7999999999999996E-3</v>
      </c>
      <c r="E45" s="612" t="s">
        <v>857</v>
      </c>
      <c r="F45" s="622"/>
      <c r="G45" s="623" t="s">
        <v>2517</v>
      </c>
    </row>
    <row r="46" spans="1:7" s="590" customFormat="1" ht="13.5" customHeight="1">
      <c r="A46" s="1803" t="s">
        <v>1917</v>
      </c>
      <c r="B46" s="624" t="s">
        <v>2510</v>
      </c>
      <c r="C46" s="625">
        <f>ROUND((C33+C39)*F27,0)</f>
        <v>3164</v>
      </c>
      <c r="D46" s="639"/>
      <c r="E46" s="612"/>
      <c r="F46" s="622"/>
      <c r="G46" s="623"/>
    </row>
    <row r="47" spans="1:7" s="590" customFormat="1" ht="13.5" customHeight="1">
      <c r="A47" s="1803" t="s">
        <v>1915</v>
      </c>
      <c r="B47" s="624" t="s">
        <v>2512</v>
      </c>
      <c r="C47" s="614">
        <f>ROUND(C40*F27,4)</f>
        <v>4.7999999999999996E-3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17974</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17974</v>
      </c>
      <c r="D51" s="608"/>
      <c r="E51" s="608"/>
      <c r="F51" s="640"/>
      <c r="G51" s="610" t="s">
        <v>350</v>
      </c>
    </row>
    <row r="52" spans="1:7" s="584" customFormat="1" ht="16.5" thickBot="1">
      <c r="A52" s="641" t="s">
        <v>351</v>
      </c>
      <c r="B52" s="642"/>
      <c r="C52" s="643">
        <f ca="1">C31+C51</f>
        <v>44982</v>
      </c>
      <c r="D52" s="642"/>
      <c r="E52" s="642"/>
      <c r="F52" s="642"/>
      <c r="G52" s="644"/>
    </row>
    <row r="55" spans="1:7" ht="15">
      <c r="B55" s="646" t="s">
        <v>352</v>
      </c>
      <c r="C55" s="647"/>
    </row>
    <row r="56" spans="1:7">
      <c r="B56" s="649" t="s">
        <v>353</v>
      </c>
      <c r="C56" s="650">
        <f ca="1">ROUND(C51/C52,3)</f>
        <v>0.4</v>
      </c>
    </row>
    <row r="57" spans="1:7">
      <c r="B57" s="649" t="s">
        <v>354</v>
      </c>
      <c r="C57" s="651">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2025</v>
      </c>
      <c r="B3" s="3371"/>
      <c r="C3" s="3371"/>
      <c r="D3" s="3371"/>
      <c r="E3" s="3371"/>
    </row>
    <row r="4" spans="1:5" ht="19.5" thickBot="1">
      <c r="A4" s="1973"/>
      <c r="B4" s="3369" t="s">
        <v>2030</v>
      </c>
      <c r="C4" s="3369"/>
      <c r="D4" s="3369"/>
      <c r="E4" s="1973"/>
    </row>
    <row r="5" spans="1:5" ht="16.5" thickTop="1">
      <c r="A5" s="1961"/>
      <c r="B5" s="3367" t="s">
        <v>2026</v>
      </c>
      <c r="C5" s="1963" t="s">
        <v>2031</v>
      </c>
      <c r="D5" s="1964">
        <f ca="1">结果表!H101</f>
        <v>315470</v>
      </c>
      <c r="E5" s="1961"/>
    </row>
    <row r="6" spans="1:5" ht="15.75">
      <c r="A6" s="1961"/>
      <c r="B6" s="3367"/>
      <c r="C6" s="1963" t="s">
        <v>2869</v>
      </c>
      <c r="D6" s="1964" t="str">
        <f ca="1">NUMBERSTRING(INT(D5*10000),2)&amp;"元整"</f>
        <v>叁拾壹亿伍仟肆佰柒拾万元整</v>
      </c>
      <c r="E6" s="1961"/>
    </row>
    <row r="7" spans="1:5" ht="15.75">
      <c r="A7" s="1961"/>
      <c r="B7" s="3372"/>
      <c r="C7" s="1965" t="s">
        <v>2032</v>
      </c>
      <c r="D7" s="1966">
        <f ca="1">结果表!H102</f>
        <v>33303</v>
      </c>
      <c r="E7" s="1961"/>
    </row>
    <row r="8" spans="1:5" ht="15.75">
      <c r="A8" s="1961"/>
      <c r="B8" s="3373" t="str">
        <f>结果表!E103</f>
        <v>2.估价师知悉的法定优先受偿款</v>
      </c>
      <c r="C8" s="1967" t="s">
        <v>2033</v>
      </c>
      <c r="D8" s="1966">
        <f>结果表!H103</f>
        <v>0</v>
      </c>
      <c r="E8" s="1961"/>
    </row>
    <row r="9" spans="1:5" ht="15.75">
      <c r="A9" s="1961"/>
      <c r="B9" s="3375"/>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6" t="str">
        <f>结果表!E107</f>
        <v>3.房地产抵押价值</v>
      </c>
      <c r="C13" s="1971" t="s">
        <v>2031</v>
      </c>
      <c r="D13" s="1974">
        <f ca="1">结果表!H107</f>
        <v>315470</v>
      </c>
      <c r="E13" s="1961"/>
    </row>
    <row r="14" spans="1:5" ht="15.75">
      <c r="A14" s="1961"/>
      <c r="B14" s="3367"/>
      <c r="C14" s="1963" t="s">
        <v>2869</v>
      </c>
      <c r="D14" s="1964" t="str">
        <f ca="1">NUMBERSTRING(INT(D13*10000),2)&amp;"元整"</f>
        <v>叁拾壹亿伍仟肆佰柒拾万元整</v>
      </c>
      <c r="E14" s="1961"/>
    </row>
    <row r="15" spans="1:5" ht="15">
      <c r="A15" s="1961"/>
      <c r="B15" s="3372"/>
      <c r="C15" s="1965" t="s">
        <v>2032</v>
      </c>
      <c r="D15" s="2075">
        <f ca="1">结果表!H108</f>
        <v>33303</v>
      </c>
      <c r="E15" s="1961"/>
    </row>
    <row r="16" spans="1:5" ht="14.25">
      <c r="A16" s="1961"/>
      <c r="B16" s="3373" t="str">
        <f>结果表!E109</f>
        <v>——</v>
      </c>
      <c r="C16" s="1971" t="s">
        <v>2031</v>
      </c>
      <c r="D16" s="2076" t="str">
        <f>结果表!H109</f>
        <v>——</v>
      </c>
      <c r="E16" s="1961"/>
    </row>
    <row r="17" spans="1:5" ht="15.75">
      <c r="A17" s="1961"/>
      <c r="B17" s="3374"/>
      <c r="C17" s="1963" t="s">
        <v>2869</v>
      </c>
      <c r="D17" s="1964" t="e">
        <f>NUMBERSTRING(INT(D16*10000),2)&amp;"元整"</f>
        <v>#VALUE!</v>
      </c>
      <c r="E17" s="1961"/>
    </row>
    <row r="18" spans="1:5" ht="15">
      <c r="A18" s="1961"/>
      <c r="B18" s="3375"/>
      <c r="C18" s="1965" t="s">
        <v>2032</v>
      </c>
      <c r="D18" s="2075" t="str">
        <f>结果表!H110</f>
        <v>——</v>
      </c>
      <c r="E18" s="1961"/>
    </row>
    <row r="19" spans="1:5" ht="15.75">
      <c r="A19" s="1961"/>
      <c r="B19" s="3366" t="str">
        <f>结果表!E111</f>
        <v>——</v>
      </c>
      <c r="C19" s="1971" t="s">
        <v>2031</v>
      </c>
      <c r="D19" s="1966" t="str">
        <f>结果表!H111</f>
        <v>——</v>
      </c>
      <c r="E19" s="1961"/>
    </row>
    <row r="20" spans="1:5" ht="15.75">
      <c r="A20" s="1961"/>
      <c r="B20" s="3367"/>
      <c r="C20" s="1963" t="s">
        <v>2869</v>
      </c>
      <c r="D20" s="1964" t="e">
        <f>NUMBERSTRING(INT(D19*10000),2)&amp;"元整"</f>
        <v>#VALUE!</v>
      </c>
      <c r="E20" s="1961"/>
    </row>
    <row r="21" spans="1:5" ht="15.75" thickBot="1">
      <c r="A21" s="1961"/>
      <c r="B21" s="3368"/>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37" t="s">
        <v>1163</v>
      </c>
      <c r="B1" s="3737"/>
      <c r="C1" s="3737"/>
      <c r="D1" s="3737"/>
      <c r="E1" s="3737"/>
      <c r="F1" s="3737"/>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38" t="s">
        <v>1176</v>
      </c>
      <c r="B2" s="3738"/>
      <c r="C2" s="3738"/>
      <c r="D2" s="3738"/>
      <c r="E2" s="3738"/>
      <c r="F2" s="3738"/>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39"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0"/>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37" t="s">
        <v>2128</v>
      </c>
      <c r="B1" s="3737"/>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3031</v>
      </c>
      <c r="E1" s="3324" t="s">
        <v>3035</v>
      </c>
      <c r="F1" s="3325" t="s">
        <v>3039</v>
      </c>
    </row>
    <row r="2" spans="1:13" ht="20.25">
      <c r="A2" s="3331" t="s">
        <v>3032</v>
      </c>
    </row>
    <row r="3" spans="1:13" ht="16.5">
      <c r="A3" s="3332" t="s">
        <v>3033</v>
      </c>
    </row>
    <row r="4" spans="1:13" ht="14.25">
      <c r="A4" s="3322" t="s">
        <v>3034</v>
      </c>
      <c r="B4" s="3327" t="s">
        <v>3036</v>
      </c>
      <c r="C4" s="3328"/>
      <c r="D4" s="3329"/>
      <c r="E4" s="3327" t="s">
        <v>139</v>
      </c>
      <c r="F4" s="3328"/>
      <c r="G4" s="3329"/>
      <c r="H4" s="3327" t="s">
        <v>3037</v>
      </c>
      <c r="I4" s="3328"/>
      <c r="J4" s="3329"/>
      <c r="K4" s="3327" t="s">
        <v>39</v>
      </c>
      <c r="L4" s="3328"/>
      <c r="M4" s="3329"/>
    </row>
    <row r="5" spans="1:13" ht="14.25">
      <c r="A5" s="3323" t="s">
        <v>3038</v>
      </c>
      <c r="B5" s="3322" t="s">
        <v>3040</v>
      </c>
      <c r="C5" s="3322" t="s">
        <v>3041</v>
      </c>
      <c r="D5" s="3322" t="s">
        <v>3042</v>
      </c>
      <c r="E5" s="3322" t="s">
        <v>3040</v>
      </c>
      <c r="F5" s="3322" t="s">
        <v>3041</v>
      </c>
      <c r="G5" s="3322" t="s">
        <v>3042</v>
      </c>
      <c r="H5" s="3322" t="s">
        <v>3040</v>
      </c>
      <c r="I5" s="3322" t="s">
        <v>3041</v>
      </c>
      <c r="J5" s="3322" t="s">
        <v>3042</v>
      </c>
      <c r="K5" s="3322" t="s">
        <v>3040</v>
      </c>
      <c r="L5" s="3322" t="s">
        <v>3041</v>
      </c>
      <c r="M5" s="3322" t="s">
        <v>3042</v>
      </c>
    </row>
    <row r="6" spans="1:13" ht="14.25">
      <c r="A6" s="3326" t="s">
        <v>1219</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1276</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1449</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1130</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1530</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201</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1533</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1535</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1537</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1541</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1940</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1941</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5" t="s">
        <v>3083</v>
      </c>
      <c r="B1" s="3335" t="s">
        <v>3084</v>
      </c>
      <c r="D1" s="3335" t="s">
        <v>3085</v>
      </c>
      <c r="E1" s="3335" t="s">
        <v>3086</v>
      </c>
      <c r="G1" s="3335" t="s">
        <v>3087</v>
      </c>
      <c r="H1" s="3335" t="s">
        <v>3088</v>
      </c>
    </row>
    <row r="2" spans="1:8">
      <c r="A2">
        <v>-101</v>
      </c>
      <c r="B2" s="3335">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5" t="s">
        <v>3095</v>
      </c>
    </row>
    <row r="38" spans="1:9">
      <c r="A38" s="3335" t="s">
        <v>3096</v>
      </c>
      <c r="B38" s="3335" t="s">
        <v>3097</v>
      </c>
    </row>
    <row r="39" spans="1:9">
      <c r="A39" s="3335" t="s">
        <v>3098</v>
      </c>
      <c r="B39" s="3335" t="s">
        <v>3097</v>
      </c>
    </row>
    <row r="40" spans="1:9">
      <c r="A40" s="3335" t="s">
        <v>3099</v>
      </c>
      <c r="B40" s="3335" t="s">
        <v>3100</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6" t="s">
        <v>3101</v>
      </c>
      <c r="B1" s="3336" t="s">
        <v>3102</v>
      </c>
      <c r="C1" s="3336" t="s">
        <v>3103</v>
      </c>
      <c r="D1" s="3336" t="s">
        <v>3104</v>
      </c>
      <c r="E1" s="3336" t="s">
        <v>3105</v>
      </c>
      <c r="F1" s="3336" t="s">
        <v>3106</v>
      </c>
      <c r="G1" s="3336" t="s">
        <v>3107</v>
      </c>
      <c r="H1" s="3336" t="s">
        <v>3108</v>
      </c>
      <c r="I1" s="3336" t="s">
        <v>3109</v>
      </c>
      <c r="J1" s="3336" t="s">
        <v>3110</v>
      </c>
      <c r="K1" s="3336" t="s">
        <v>3111</v>
      </c>
      <c r="L1" s="3336" t="s">
        <v>3112</v>
      </c>
      <c r="M1" s="3336" t="s">
        <v>3113</v>
      </c>
    </row>
    <row r="2" spans="1:13" s="3338" customFormat="1" ht="58.5" customHeight="1">
      <c r="A2" s="3337" t="s">
        <v>3114</v>
      </c>
      <c r="B2" s="3337" t="s">
        <v>3051</v>
      </c>
      <c r="C2" s="3337" t="s">
        <v>3115</v>
      </c>
      <c r="D2" s="3337">
        <v>27295.08</v>
      </c>
      <c r="E2" s="3337">
        <v>160000</v>
      </c>
      <c r="F2" s="3337">
        <v>5.8</v>
      </c>
      <c r="G2" s="3337" t="s">
        <v>3116</v>
      </c>
      <c r="H2" s="3337" t="s">
        <v>3117</v>
      </c>
      <c r="I2" s="3337">
        <v>432000</v>
      </c>
      <c r="J2" s="3337">
        <v>434000</v>
      </c>
      <c r="K2" s="3337">
        <v>27125</v>
      </c>
      <c r="L2" s="3337">
        <v>0.46</v>
      </c>
      <c r="M2" s="3337" t="s">
        <v>3118</v>
      </c>
    </row>
    <row r="3" spans="1:13" s="3340" customFormat="1" ht="49.5" customHeight="1">
      <c r="A3" s="3339" t="s">
        <v>3119</v>
      </c>
      <c r="B3" s="3339" t="s">
        <v>3051</v>
      </c>
      <c r="C3" s="3339" t="s">
        <v>3115</v>
      </c>
      <c r="D3" s="3339">
        <v>14788.3</v>
      </c>
      <c r="E3" s="3339">
        <v>59153</v>
      </c>
      <c r="F3" s="3339">
        <v>4</v>
      </c>
      <c r="G3" s="3339" t="s">
        <v>3116</v>
      </c>
      <c r="H3" s="3339" t="s">
        <v>3120</v>
      </c>
      <c r="I3" s="3339">
        <v>71500</v>
      </c>
      <c r="J3" s="3339">
        <v>176000</v>
      </c>
      <c r="K3" s="3339">
        <v>29753.34</v>
      </c>
      <c r="L3" s="3339">
        <v>146.15</v>
      </c>
      <c r="M3" s="3339" t="s">
        <v>3121</v>
      </c>
    </row>
    <row r="4" spans="1:13" s="3340" customFormat="1" ht="42" customHeight="1">
      <c r="A4" s="3339" t="s">
        <v>3122</v>
      </c>
      <c r="B4" s="3339" t="s">
        <v>3051</v>
      </c>
      <c r="C4" s="3339" t="s">
        <v>3115</v>
      </c>
      <c r="D4" s="3339">
        <v>29500</v>
      </c>
      <c r="E4" s="3339">
        <v>118000</v>
      </c>
      <c r="F4" s="3339">
        <v>4</v>
      </c>
      <c r="G4" s="3339" t="s">
        <v>3116</v>
      </c>
      <c r="H4" s="3339" t="s">
        <v>3120</v>
      </c>
      <c r="I4" s="3339">
        <v>142000</v>
      </c>
      <c r="J4" s="3339">
        <v>342000</v>
      </c>
      <c r="K4" s="3339">
        <v>28983.040000000001</v>
      </c>
      <c r="L4" s="3339">
        <v>140.85</v>
      </c>
      <c r="M4" s="3339" t="s">
        <v>3121</v>
      </c>
    </row>
    <row r="5" spans="1:13" ht="42.75" customHeight="1">
      <c r="A5" s="3336" t="s">
        <v>3123</v>
      </c>
      <c r="B5" s="3336" t="s">
        <v>3051</v>
      </c>
      <c r="C5" s="3336" t="s">
        <v>3115</v>
      </c>
      <c r="D5" s="3336">
        <v>15089.35</v>
      </c>
      <c r="E5" s="3336">
        <v>60357</v>
      </c>
      <c r="F5" s="3336">
        <v>4</v>
      </c>
      <c r="G5" s="3336" t="s">
        <v>3116</v>
      </c>
      <c r="H5" s="3336" t="s">
        <v>3124</v>
      </c>
      <c r="I5" s="3336">
        <v>71000</v>
      </c>
      <c r="J5" s="3336">
        <v>110000</v>
      </c>
      <c r="K5" s="3336">
        <v>18224.900000000001</v>
      </c>
      <c r="L5" s="3336">
        <v>54.93</v>
      </c>
      <c r="M5" s="3336" t="s">
        <v>3125</v>
      </c>
    </row>
    <row r="6" spans="1:13" ht="41.25" customHeight="1">
      <c r="A6" s="3336" t="s">
        <v>3126</v>
      </c>
      <c r="B6" s="3336" t="s">
        <v>3051</v>
      </c>
      <c r="C6" s="3336" t="s">
        <v>3115</v>
      </c>
      <c r="D6" s="3336">
        <v>27500</v>
      </c>
      <c r="E6" s="3336">
        <v>110000</v>
      </c>
      <c r="F6" s="3336">
        <v>4</v>
      </c>
      <c r="G6" s="3336" t="s">
        <v>3116</v>
      </c>
      <c r="H6" s="3336" t="s">
        <v>3127</v>
      </c>
      <c r="I6" s="3336">
        <v>129000</v>
      </c>
      <c r="J6" s="3336">
        <v>176000</v>
      </c>
      <c r="K6" s="3336">
        <v>16000</v>
      </c>
      <c r="L6" s="3336">
        <v>36.43</v>
      </c>
      <c r="M6" s="3336" t="s">
        <v>3128</v>
      </c>
    </row>
    <row r="7" spans="1:13" ht="25.5">
      <c r="A7" s="3336" t="s">
        <v>3129</v>
      </c>
      <c r="B7" s="3336" t="s">
        <v>3051</v>
      </c>
      <c r="C7" s="3336" t="s">
        <v>3115</v>
      </c>
      <c r="D7" s="3336">
        <v>35708.800000000003</v>
      </c>
      <c r="E7" s="3336">
        <v>336000</v>
      </c>
      <c r="F7" s="3336">
        <v>9.4</v>
      </c>
      <c r="G7" s="3336" t="s">
        <v>3116</v>
      </c>
      <c r="H7" s="3336" t="s">
        <v>3130</v>
      </c>
      <c r="I7" s="3336">
        <v>504000</v>
      </c>
      <c r="J7" s="3336">
        <v>504000</v>
      </c>
      <c r="K7" s="3336">
        <v>15000</v>
      </c>
      <c r="L7" s="3336">
        <v>0</v>
      </c>
      <c r="M7" s="3336" t="s">
        <v>3131</v>
      </c>
    </row>
    <row r="8" spans="1:13" ht="48" customHeight="1">
      <c r="A8" s="3336" t="s">
        <v>3132</v>
      </c>
      <c r="B8" s="3336" t="s">
        <v>3051</v>
      </c>
      <c r="C8" s="3336" t="s">
        <v>3115</v>
      </c>
      <c r="D8" s="3336">
        <v>35418.839999999997</v>
      </c>
      <c r="E8" s="3336">
        <v>141675</v>
      </c>
      <c r="F8" s="3336">
        <v>4</v>
      </c>
      <c r="G8" s="3336" t="s">
        <v>3133</v>
      </c>
      <c r="H8" s="3336" t="s">
        <v>3134</v>
      </c>
      <c r="I8" s="3336" t="s">
        <v>2932</v>
      </c>
      <c r="J8" s="3336">
        <v>255015</v>
      </c>
      <c r="K8" s="3336">
        <v>18000</v>
      </c>
      <c r="L8" s="3336" t="s">
        <v>2932</v>
      </c>
      <c r="M8" s="3336" t="s">
        <v>3135</v>
      </c>
    </row>
    <row r="9" spans="1:13" ht="60" customHeight="1">
      <c r="A9" s="3336" t="s">
        <v>3136</v>
      </c>
      <c r="B9" s="3336" t="s">
        <v>3051</v>
      </c>
      <c r="C9" s="3336" t="s">
        <v>3115</v>
      </c>
      <c r="D9" s="3336">
        <v>19979.490000000002</v>
      </c>
      <c r="E9" s="3336">
        <v>120000</v>
      </c>
      <c r="F9" s="3336">
        <v>6</v>
      </c>
      <c r="G9" s="3336" t="s">
        <v>3116</v>
      </c>
      <c r="H9" s="3336" t="s">
        <v>3137</v>
      </c>
      <c r="I9" s="3336">
        <v>180000</v>
      </c>
      <c r="J9" s="3336">
        <v>251000</v>
      </c>
      <c r="K9" s="3336">
        <v>20916.66</v>
      </c>
      <c r="L9" s="3336">
        <v>39.44</v>
      </c>
      <c r="M9" s="3336" t="s">
        <v>3138</v>
      </c>
    </row>
    <row r="10" spans="1:13" ht="40.5" customHeight="1">
      <c r="A10" s="3336" t="s">
        <v>3139</v>
      </c>
      <c r="B10" s="3336" t="s">
        <v>3051</v>
      </c>
      <c r="C10" s="3336" t="s">
        <v>3115</v>
      </c>
      <c r="D10" s="3336">
        <v>20070.2</v>
      </c>
      <c r="E10" s="3336">
        <v>45275</v>
      </c>
      <c r="F10" s="3336">
        <v>2.2599999999999998</v>
      </c>
      <c r="G10" s="3336" t="s">
        <v>3116</v>
      </c>
      <c r="H10" s="3336" t="s">
        <v>3140</v>
      </c>
      <c r="I10" s="3336">
        <v>55000</v>
      </c>
      <c r="J10" s="3336">
        <v>55000</v>
      </c>
      <c r="K10" s="3336">
        <v>12147.97</v>
      </c>
      <c r="L10" s="3336">
        <v>0</v>
      </c>
      <c r="M10" s="3336" t="s">
        <v>3141</v>
      </c>
    </row>
    <row r="11" spans="1:13" ht="47.25" customHeight="1">
      <c r="A11" s="3336" t="s">
        <v>3142</v>
      </c>
      <c r="B11" s="3336" t="s">
        <v>3051</v>
      </c>
      <c r="C11" s="3336" t="s">
        <v>3115</v>
      </c>
      <c r="D11" s="3336">
        <v>21137.72</v>
      </c>
      <c r="E11" s="3336">
        <v>84551</v>
      </c>
      <c r="F11" s="3336">
        <v>4</v>
      </c>
      <c r="G11" s="3336" t="s">
        <v>3116</v>
      </c>
      <c r="H11" s="3336" t="s">
        <v>3143</v>
      </c>
      <c r="I11" s="3336">
        <v>85000</v>
      </c>
      <c r="J11" s="3336">
        <v>85000</v>
      </c>
      <c r="K11" s="3336">
        <v>10053.1</v>
      </c>
      <c r="L11" s="3336">
        <v>0</v>
      </c>
      <c r="M11" s="3336" t="s">
        <v>3144</v>
      </c>
    </row>
    <row r="12" spans="1:13" ht="46.5" customHeight="1">
      <c r="A12" s="3336" t="s">
        <v>3145</v>
      </c>
      <c r="B12" s="3336" t="s">
        <v>3051</v>
      </c>
      <c r="C12" s="3336" t="s">
        <v>3115</v>
      </c>
      <c r="D12" s="3336">
        <v>54711.27</v>
      </c>
      <c r="E12" s="3336">
        <v>164134</v>
      </c>
      <c r="F12" s="3336">
        <v>3</v>
      </c>
      <c r="G12" s="3336" t="s">
        <v>3116</v>
      </c>
      <c r="H12" s="3336" t="s">
        <v>3146</v>
      </c>
      <c r="I12" s="3336">
        <v>165000</v>
      </c>
      <c r="J12" s="3336">
        <v>258000</v>
      </c>
      <c r="K12" s="3336">
        <v>15718.86</v>
      </c>
      <c r="L12" s="3336">
        <v>56.36</v>
      </c>
      <c r="M12" s="3336" t="s">
        <v>3147</v>
      </c>
    </row>
    <row r="13" spans="1:13" ht="32.25" customHeight="1">
      <c r="A13" s="3336" t="s">
        <v>3148</v>
      </c>
      <c r="B13" s="3336" t="s">
        <v>3051</v>
      </c>
      <c r="C13" s="3336" t="s">
        <v>3115</v>
      </c>
      <c r="D13" s="3336">
        <v>4435.8599999999997</v>
      </c>
      <c r="E13" s="3336">
        <v>10000</v>
      </c>
      <c r="F13" s="3336">
        <v>2.25</v>
      </c>
      <c r="G13" s="3336" t="s">
        <v>3116</v>
      </c>
      <c r="H13" s="3336" t="s">
        <v>3149</v>
      </c>
      <c r="I13" s="3336">
        <v>15350</v>
      </c>
      <c r="J13" s="3336">
        <v>15350</v>
      </c>
      <c r="K13" s="3336">
        <v>15350</v>
      </c>
      <c r="L13" s="3336">
        <v>0</v>
      </c>
      <c r="M13" s="3336" t="s">
        <v>3150</v>
      </c>
    </row>
    <row r="14" spans="1:13" s="3338" customFormat="1" ht="32.25" customHeight="1">
      <c r="A14" s="3337" t="s">
        <v>3151</v>
      </c>
      <c r="B14" s="3337" t="s">
        <v>3051</v>
      </c>
      <c r="C14" s="3337" t="s">
        <v>3115</v>
      </c>
      <c r="D14" s="3337">
        <v>18303.330000000002</v>
      </c>
      <c r="E14" s="3337">
        <v>58571</v>
      </c>
      <c r="F14" s="3337">
        <v>3.2</v>
      </c>
      <c r="G14" s="3337" t="s">
        <v>3116</v>
      </c>
      <c r="H14" s="3337" t="s">
        <v>3152</v>
      </c>
      <c r="I14" s="3337">
        <v>79600</v>
      </c>
      <c r="J14" s="3337">
        <v>129000</v>
      </c>
      <c r="K14" s="3337">
        <v>22024.54</v>
      </c>
      <c r="L14" s="3337">
        <v>62.06</v>
      </c>
      <c r="M14" s="3337" t="s">
        <v>3153</v>
      </c>
    </row>
    <row r="15" spans="1:13" ht="32.25" customHeight="1">
      <c r="A15" s="3336" t="s">
        <v>3154</v>
      </c>
      <c r="B15" s="3336" t="s">
        <v>3051</v>
      </c>
      <c r="C15" s="3336" t="s">
        <v>3115</v>
      </c>
      <c r="D15" s="3336">
        <v>29183.54</v>
      </c>
      <c r="E15" s="3336">
        <v>72959</v>
      </c>
      <c r="F15" s="3336">
        <v>2.5</v>
      </c>
      <c r="G15" s="3336" t="s">
        <v>3116</v>
      </c>
      <c r="H15" s="3336" t="s">
        <v>3155</v>
      </c>
      <c r="I15" s="3336">
        <v>83000</v>
      </c>
      <c r="J15" s="3336">
        <v>106000</v>
      </c>
      <c r="K15" s="3336">
        <v>14528.7</v>
      </c>
      <c r="L15" s="3336">
        <v>27.71</v>
      </c>
      <c r="M15" s="3336" t="s">
        <v>3156</v>
      </c>
    </row>
    <row r="16" spans="1:13" ht="32.25" customHeight="1">
      <c r="A16" s="3336" t="s">
        <v>3157</v>
      </c>
      <c r="B16" s="3336" t="s">
        <v>3051</v>
      </c>
      <c r="C16" s="3336" t="s">
        <v>3115</v>
      </c>
      <c r="D16" s="3336">
        <v>23639.39</v>
      </c>
      <c r="E16" s="3336">
        <v>75646</v>
      </c>
      <c r="F16" s="3336">
        <v>3.2</v>
      </c>
      <c r="G16" s="3336" t="s">
        <v>3116</v>
      </c>
      <c r="H16" s="3336" t="s">
        <v>3158</v>
      </c>
      <c r="I16" s="3336">
        <v>102000</v>
      </c>
      <c r="J16" s="3336">
        <v>103020</v>
      </c>
      <c r="K16" s="3336">
        <v>13618.7</v>
      </c>
      <c r="L16" s="3336">
        <v>1</v>
      </c>
      <c r="M16" s="3336" t="s">
        <v>3159</v>
      </c>
    </row>
    <row r="17" spans="1:13" s="3338" customFormat="1" ht="32.25" customHeight="1">
      <c r="A17" s="3337" t="s">
        <v>3160</v>
      </c>
      <c r="B17" s="3337" t="s">
        <v>3051</v>
      </c>
      <c r="C17" s="3337" t="s">
        <v>3115</v>
      </c>
      <c r="D17" s="3337">
        <v>33619.79</v>
      </c>
      <c r="E17" s="3337">
        <v>134479</v>
      </c>
      <c r="F17" s="3337">
        <v>4</v>
      </c>
      <c r="G17" s="3337" t="s">
        <v>3116</v>
      </c>
      <c r="H17" s="3337" t="s">
        <v>3161</v>
      </c>
      <c r="I17" s="3337">
        <v>153000</v>
      </c>
      <c r="J17" s="3337">
        <v>334000</v>
      </c>
      <c r="K17" s="3337">
        <v>24836.59</v>
      </c>
      <c r="L17" s="3337">
        <v>118.3</v>
      </c>
      <c r="M17" s="3337" t="s">
        <v>3162</v>
      </c>
    </row>
    <row r="18" spans="1:13" ht="32.25" customHeight="1">
      <c r="A18" s="3336" t="s">
        <v>3163</v>
      </c>
      <c r="B18" s="3336" t="s">
        <v>3051</v>
      </c>
      <c r="C18" s="3336" t="s">
        <v>3115</v>
      </c>
      <c r="D18" s="3336">
        <v>71916.58</v>
      </c>
      <c r="E18" s="3336">
        <v>107875</v>
      </c>
      <c r="F18" s="3336">
        <v>1.5</v>
      </c>
      <c r="G18" s="3336" t="s">
        <v>3116</v>
      </c>
      <c r="H18" s="3336" t="s">
        <v>3164</v>
      </c>
      <c r="I18" s="3336">
        <v>90000</v>
      </c>
      <c r="J18" s="3336">
        <v>181000</v>
      </c>
      <c r="K18" s="3336">
        <v>16778.68</v>
      </c>
      <c r="L18" s="3336">
        <v>101.11</v>
      </c>
      <c r="M18" s="3336" t="s">
        <v>3165</v>
      </c>
    </row>
    <row r="19" spans="1:13" ht="32.25" customHeight="1">
      <c r="A19" s="3336" t="s">
        <v>3166</v>
      </c>
      <c r="B19" s="3336" t="s">
        <v>3051</v>
      </c>
      <c r="C19" s="3336" t="s">
        <v>3115</v>
      </c>
      <c r="D19" s="3336">
        <v>47919.26</v>
      </c>
      <c r="E19" s="3336">
        <v>143758</v>
      </c>
      <c r="F19" s="3336">
        <v>3</v>
      </c>
      <c r="G19" s="3336" t="s">
        <v>3116</v>
      </c>
      <c r="H19" s="3336" t="s">
        <v>3167</v>
      </c>
      <c r="I19" s="3336">
        <v>120000</v>
      </c>
      <c r="J19" s="3336">
        <v>130000</v>
      </c>
      <c r="K19" s="3336">
        <v>9042.9599999999991</v>
      </c>
      <c r="L19" s="3336">
        <v>8.33</v>
      </c>
      <c r="M19" s="3336" t="s">
        <v>3165</v>
      </c>
    </row>
    <row r="20" spans="1:13" ht="32.25" customHeight="1">
      <c r="A20" s="3336" t="s">
        <v>3168</v>
      </c>
      <c r="B20" s="3336" t="s">
        <v>3051</v>
      </c>
      <c r="C20" s="3336" t="s">
        <v>3115</v>
      </c>
      <c r="D20" s="3336">
        <v>61900.3</v>
      </c>
      <c r="E20" s="3336">
        <v>111421</v>
      </c>
      <c r="F20" s="3336">
        <v>1.8</v>
      </c>
      <c r="G20" s="3336" t="s">
        <v>3116</v>
      </c>
      <c r="H20" s="3336" t="s">
        <v>3169</v>
      </c>
      <c r="I20" s="3336">
        <v>89500</v>
      </c>
      <c r="J20" s="3336">
        <v>197000</v>
      </c>
      <c r="K20" s="3336">
        <v>17680.68</v>
      </c>
      <c r="L20" s="3336">
        <v>120.11</v>
      </c>
      <c r="M20" s="3336" t="s">
        <v>3165</v>
      </c>
    </row>
    <row r="21" spans="1:13" ht="32.25" customHeight="1">
      <c r="A21" s="3336" t="s">
        <v>3170</v>
      </c>
      <c r="B21" s="3336" t="s">
        <v>3051</v>
      </c>
      <c r="C21" s="3336" t="s">
        <v>3115</v>
      </c>
      <c r="D21" s="3336">
        <v>66594.820000000007</v>
      </c>
      <c r="E21" s="3336">
        <v>119871</v>
      </c>
      <c r="F21" s="3336">
        <v>1.8</v>
      </c>
      <c r="G21" s="3336" t="s">
        <v>3116</v>
      </c>
      <c r="H21" s="3336" t="s">
        <v>3169</v>
      </c>
      <c r="I21" s="3336">
        <v>96000</v>
      </c>
      <c r="J21" s="3336">
        <v>196000</v>
      </c>
      <c r="K21" s="3336">
        <v>16350.9</v>
      </c>
      <c r="L21" s="3336">
        <v>104.17</v>
      </c>
      <c r="M21" s="3336" t="s">
        <v>3165</v>
      </c>
    </row>
    <row r="22" spans="1:13" ht="42.75" customHeight="1">
      <c r="A22" s="3336" t="s">
        <v>3171</v>
      </c>
      <c r="B22" s="3336" t="s">
        <v>3051</v>
      </c>
      <c r="C22" s="3336" t="s">
        <v>3115</v>
      </c>
      <c r="D22" s="3336">
        <v>24464</v>
      </c>
      <c r="E22" s="3336">
        <v>48928</v>
      </c>
      <c r="F22" s="3336">
        <v>2</v>
      </c>
      <c r="G22" s="3336" t="s">
        <v>3116</v>
      </c>
      <c r="H22" s="3336" t="s">
        <v>3172</v>
      </c>
      <c r="I22" s="3336">
        <v>28200</v>
      </c>
      <c r="J22" s="3336">
        <v>46800</v>
      </c>
      <c r="K22" s="3336">
        <v>9565.07</v>
      </c>
      <c r="L22" s="3336">
        <v>65.959999999999994</v>
      </c>
      <c r="M22" s="3336" t="s">
        <v>3173</v>
      </c>
    </row>
    <row r="23" spans="1:13" ht="32.25" customHeight="1">
      <c r="A23" s="3336" t="s">
        <v>3174</v>
      </c>
      <c r="B23" s="3336" t="s">
        <v>3051</v>
      </c>
      <c r="C23" s="3336" t="s">
        <v>3115</v>
      </c>
      <c r="D23" s="3336">
        <v>38024.39</v>
      </c>
      <c r="E23" s="3336">
        <v>106468</v>
      </c>
      <c r="F23" s="3336">
        <v>2.8</v>
      </c>
      <c r="G23" s="3336" t="s">
        <v>3116</v>
      </c>
      <c r="H23" s="3336" t="s">
        <v>3175</v>
      </c>
      <c r="I23" s="3336">
        <v>87000</v>
      </c>
      <c r="J23" s="3336">
        <v>97000</v>
      </c>
      <c r="K23" s="3336">
        <v>9110.7099999999991</v>
      </c>
      <c r="L23" s="3336">
        <v>11.49</v>
      </c>
      <c r="M23" s="3336" t="s">
        <v>3176</v>
      </c>
    </row>
    <row r="24" spans="1:13" ht="32.25" customHeight="1">
      <c r="A24" s="3336" t="s">
        <v>3177</v>
      </c>
      <c r="B24" s="3336" t="s">
        <v>3051</v>
      </c>
      <c r="C24" s="3336" t="s">
        <v>3115</v>
      </c>
      <c r="D24" s="3336">
        <v>13920.77</v>
      </c>
      <c r="E24" s="3336">
        <v>16705</v>
      </c>
      <c r="F24" s="3336">
        <v>1.2</v>
      </c>
      <c r="G24" s="3336" t="s">
        <v>3116</v>
      </c>
      <c r="H24" s="3336" t="s">
        <v>3178</v>
      </c>
      <c r="I24" s="3336">
        <v>10500</v>
      </c>
      <c r="J24" s="3336">
        <v>12200</v>
      </c>
      <c r="K24" s="3336">
        <v>7303.19</v>
      </c>
      <c r="L24" s="3336">
        <v>16.190000000000001</v>
      </c>
      <c r="M24" s="3336" t="s">
        <v>3179</v>
      </c>
    </row>
    <row r="25" spans="1:13" ht="32.25" customHeight="1">
      <c r="A25" s="3336" t="s">
        <v>3180</v>
      </c>
      <c r="B25" s="3336" t="s">
        <v>3051</v>
      </c>
      <c r="C25" s="3336" t="s">
        <v>3115</v>
      </c>
      <c r="D25" s="3336">
        <v>6189.23</v>
      </c>
      <c r="E25" s="3336">
        <v>6189</v>
      </c>
      <c r="F25" s="3336">
        <v>1</v>
      </c>
      <c r="G25" s="3336" t="s">
        <v>3116</v>
      </c>
      <c r="H25" s="3336" t="s">
        <v>3181</v>
      </c>
      <c r="I25" s="3336">
        <v>7500</v>
      </c>
      <c r="J25" s="3336">
        <v>12900</v>
      </c>
      <c r="K25" s="3336">
        <v>20843.43</v>
      </c>
      <c r="L25" s="3336">
        <v>72</v>
      </c>
      <c r="M25" s="3336" t="s">
        <v>3182</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6" t="s">
        <v>3338</v>
      </c>
      <c r="B1" s="3346" t="s">
        <v>3339</v>
      </c>
      <c r="C1" s="3346" t="s">
        <v>3340</v>
      </c>
      <c r="D1" s="3346" t="s">
        <v>3341</v>
      </c>
      <c r="E1" s="3346" t="s">
        <v>3342</v>
      </c>
      <c r="F1" s="3346" t="s">
        <v>3343</v>
      </c>
      <c r="G1" s="3346" t="s">
        <v>3344</v>
      </c>
      <c r="H1" s="3346" t="s">
        <v>3345</v>
      </c>
      <c r="I1" s="3346" t="s">
        <v>3346</v>
      </c>
      <c r="J1" s="3346" t="s">
        <v>3347</v>
      </c>
    </row>
    <row r="2" spans="1:10">
      <c r="A2" s="3347" t="s">
        <v>3348</v>
      </c>
      <c r="B2" s="3347" t="s">
        <v>3349</v>
      </c>
      <c r="C2" s="3347" t="s">
        <v>3350</v>
      </c>
      <c r="D2" s="3347" t="s">
        <v>3351</v>
      </c>
      <c r="E2" s="3347">
        <v>58</v>
      </c>
      <c r="F2" s="3347">
        <v>2445</v>
      </c>
      <c r="G2" s="3347">
        <v>7915</v>
      </c>
      <c r="H2" s="3347">
        <v>1935</v>
      </c>
      <c r="I2" s="3347">
        <v>33.36</v>
      </c>
      <c r="J2" s="3347">
        <v>42</v>
      </c>
    </row>
    <row r="3" spans="1:10">
      <c r="A3" s="3346" t="s">
        <v>3352</v>
      </c>
      <c r="B3" s="3346" t="s">
        <v>3349</v>
      </c>
      <c r="C3" s="3346" t="s">
        <v>3353</v>
      </c>
      <c r="D3" s="3346" t="s">
        <v>3354</v>
      </c>
      <c r="E3" s="3346">
        <v>42</v>
      </c>
      <c r="F3" s="3346">
        <v>1807</v>
      </c>
      <c r="G3" s="3346">
        <v>5202</v>
      </c>
      <c r="H3" s="3346">
        <v>940</v>
      </c>
      <c r="I3" s="3346">
        <v>22.38</v>
      </c>
      <c r="J3" s="3346">
        <v>43</v>
      </c>
    </row>
    <row r="4" spans="1:10">
      <c r="A4" s="3346" t="s">
        <v>3355</v>
      </c>
      <c r="B4" s="3346" t="s">
        <v>3349</v>
      </c>
      <c r="C4" s="3346" t="s">
        <v>3353</v>
      </c>
      <c r="D4" s="3346" t="s">
        <v>3356</v>
      </c>
      <c r="E4" s="3346">
        <v>29</v>
      </c>
      <c r="F4" s="3346">
        <v>1350</v>
      </c>
      <c r="G4" s="3346">
        <v>5068</v>
      </c>
      <c r="H4" s="3346">
        <v>684</v>
      </c>
      <c r="I4" s="3346">
        <v>23.59</v>
      </c>
      <c r="J4" s="3346">
        <v>47</v>
      </c>
    </row>
    <row r="5" spans="1:10">
      <c r="A5" s="3346" t="s">
        <v>3357</v>
      </c>
      <c r="B5" s="3346" t="s">
        <v>3349</v>
      </c>
      <c r="C5" s="3346" t="s">
        <v>3353</v>
      </c>
      <c r="D5" s="3346" t="s">
        <v>3358</v>
      </c>
      <c r="E5" s="3346">
        <v>29</v>
      </c>
      <c r="F5" s="3346">
        <v>953</v>
      </c>
      <c r="G5" s="3346">
        <v>10109</v>
      </c>
      <c r="H5" s="3346">
        <v>962.9</v>
      </c>
      <c r="I5" s="3346">
        <v>33.200000000000003</v>
      </c>
      <c r="J5" s="3346">
        <v>33</v>
      </c>
    </row>
    <row r="6" spans="1:10">
      <c r="A6" s="3346" t="s">
        <v>3359</v>
      </c>
      <c r="B6" s="3346" t="s">
        <v>3349</v>
      </c>
      <c r="C6" s="3346" t="s">
        <v>3350</v>
      </c>
      <c r="D6" s="3346" t="s">
        <v>3360</v>
      </c>
      <c r="E6" s="3346">
        <v>16</v>
      </c>
      <c r="F6" s="3346">
        <v>526</v>
      </c>
      <c r="G6" s="3346">
        <v>17507</v>
      </c>
      <c r="H6" s="3346">
        <v>920</v>
      </c>
      <c r="I6" s="3346">
        <v>57.5</v>
      </c>
      <c r="J6" s="3346">
        <v>33</v>
      </c>
    </row>
    <row r="7" spans="1:10">
      <c r="A7" s="3346" t="s">
        <v>3361</v>
      </c>
      <c r="B7" s="3346" t="s">
        <v>3349</v>
      </c>
      <c r="C7" s="3346" t="s">
        <v>3350</v>
      </c>
      <c r="D7" s="3346" t="s">
        <v>3362</v>
      </c>
      <c r="E7" s="3346">
        <v>14</v>
      </c>
      <c r="F7" s="3346">
        <v>594</v>
      </c>
      <c r="G7" s="3346">
        <v>3537</v>
      </c>
      <c r="H7" s="3346">
        <v>210</v>
      </c>
      <c r="I7" s="3346">
        <v>15</v>
      </c>
      <c r="J7" s="3346">
        <v>42</v>
      </c>
    </row>
    <row r="8" spans="1:10">
      <c r="A8" s="3346" t="s">
        <v>3363</v>
      </c>
      <c r="B8" s="3346" t="s">
        <v>3349</v>
      </c>
      <c r="C8" s="3346" t="s">
        <v>3364</v>
      </c>
      <c r="D8" s="3346" t="s">
        <v>3365</v>
      </c>
      <c r="E8" s="3346">
        <v>8</v>
      </c>
      <c r="F8" s="3346">
        <v>273</v>
      </c>
      <c r="G8" s="3346">
        <v>5254</v>
      </c>
      <c r="H8" s="3346">
        <v>143.5</v>
      </c>
      <c r="I8" s="3346">
        <v>17.940000000000001</v>
      </c>
      <c r="J8" s="3346">
        <v>34</v>
      </c>
    </row>
    <row r="9" spans="1:10">
      <c r="A9" s="3346" t="s">
        <v>3366</v>
      </c>
      <c r="B9" s="3346" t="s">
        <v>3349</v>
      </c>
      <c r="C9" s="3346" t="s">
        <v>3364</v>
      </c>
      <c r="D9" s="3346" t="s">
        <v>3367</v>
      </c>
      <c r="E9" s="3346">
        <v>7</v>
      </c>
      <c r="F9" s="3346">
        <v>233</v>
      </c>
      <c r="G9" s="3346">
        <v>4294</v>
      </c>
      <c r="H9" s="3346">
        <v>100</v>
      </c>
      <c r="I9" s="3346">
        <v>14.29</v>
      </c>
      <c r="J9" s="3346">
        <v>33</v>
      </c>
    </row>
    <row r="10" spans="1:10">
      <c r="A10" s="3347" t="s">
        <v>3368</v>
      </c>
      <c r="B10" s="3347" t="s">
        <v>3349</v>
      </c>
      <c r="C10" s="3347" t="s">
        <v>3350</v>
      </c>
      <c r="D10" s="3347" t="s">
        <v>3356</v>
      </c>
      <c r="E10" s="3347">
        <v>6</v>
      </c>
      <c r="F10" s="3347">
        <v>229</v>
      </c>
      <c r="G10" s="3347">
        <v>6975</v>
      </c>
      <c r="H10" s="3347">
        <v>160</v>
      </c>
      <c r="I10" s="3347">
        <v>26.67</v>
      </c>
      <c r="J10" s="3347">
        <v>38</v>
      </c>
    </row>
    <row r="11" spans="1:10">
      <c r="A11" s="3346" t="s">
        <v>3369</v>
      </c>
      <c r="B11" s="3346" t="s">
        <v>3349</v>
      </c>
      <c r="C11" s="3346" t="s">
        <v>3370</v>
      </c>
      <c r="D11" s="3346" t="s">
        <v>3371</v>
      </c>
      <c r="E11" s="3346">
        <v>5</v>
      </c>
      <c r="F11" s="3346">
        <v>297</v>
      </c>
      <c r="G11" s="3346">
        <v>9240</v>
      </c>
      <c r="H11" s="3346">
        <v>274</v>
      </c>
      <c r="I11" s="3346">
        <v>54.8</v>
      </c>
      <c r="J11" s="3346">
        <v>59</v>
      </c>
    </row>
    <row r="12" spans="1:10">
      <c r="A12" s="3346" t="s">
        <v>3372</v>
      </c>
      <c r="B12" s="3346" t="s">
        <v>3349</v>
      </c>
      <c r="C12" s="3346" t="s">
        <v>3353</v>
      </c>
      <c r="D12" s="3346" t="s">
        <v>3354</v>
      </c>
      <c r="E12" s="3346">
        <v>5</v>
      </c>
      <c r="F12" s="3346">
        <v>142</v>
      </c>
      <c r="G12" s="3346">
        <v>4606</v>
      </c>
      <c r="H12" s="3346">
        <v>65.59</v>
      </c>
      <c r="I12" s="3346">
        <v>13.12</v>
      </c>
      <c r="J12" s="3346">
        <v>28</v>
      </c>
    </row>
    <row r="13" spans="1:10">
      <c r="A13" s="3346" t="s">
        <v>3373</v>
      </c>
      <c r="B13" s="3346" t="s">
        <v>3349</v>
      </c>
      <c r="C13" s="3346" t="s">
        <v>3370</v>
      </c>
      <c r="D13" s="3346" t="s">
        <v>3371</v>
      </c>
      <c r="E13" s="3346">
        <v>4</v>
      </c>
      <c r="F13" s="3346">
        <v>141</v>
      </c>
      <c r="G13" s="3346">
        <v>4254</v>
      </c>
      <c r="H13" s="3346">
        <v>60</v>
      </c>
      <c r="I13" s="3346">
        <v>15</v>
      </c>
      <c r="J13" s="3346">
        <v>35</v>
      </c>
    </row>
    <row r="14" spans="1:10">
      <c r="A14" s="3347" t="s">
        <v>3374</v>
      </c>
      <c r="B14" s="3347" t="s">
        <v>3349</v>
      </c>
      <c r="C14" s="3347" t="s">
        <v>3364</v>
      </c>
      <c r="D14" s="3347" t="s">
        <v>3354</v>
      </c>
      <c r="E14" s="3347">
        <v>4</v>
      </c>
      <c r="F14" s="3347">
        <v>136</v>
      </c>
      <c r="G14" s="3347">
        <v>8483</v>
      </c>
      <c r="H14" s="3347">
        <v>115</v>
      </c>
      <c r="I14" s="3347">
        <v>28.75</v>
      </c>
      <c r="J14" s="3347">
        <v>34</v>
      </c>
    </row>
    <row r="15" spans="1:10">
      <c r="A15" s="3346" t="s">
        <v>3375</v>
      </c>
      <c r="B15" s="3346" t="s">
        <v>3349</v>
      </c>
      <c r="C15" s="3346" t="s">
        <v>3353</v>
      </c>
      <c r="D15" s="3346" t="s">
        <v>3354</v>
      </c>
      <c r="E15" s="3346">
        <v>3</v>
      </c>
      <c r="F15" s="3346">
        <v>38</v>
      </c>
      <c r="G15" s="3346">
        <v>19113</v>
      </c>
      <c r="H15" s="3346">
        <v>72</v>
      </c>
      <c r="I15" s="3346">
        <v>24</v>
      </c>
      <c r="J15" s="3346">
        <v>13</v>
      </c>
    </row>
    <row r="16" spans="1:10">
      <c r="A16" s="3346" t="s">
        <v>3376</v>
      </c>
      <c r="B16" s="3346" t="s">
        <v>3349</v>
      </c>
      <c r="C16" s="3346" t="s">
        <v>3350</v>
      </c>
      <c r="D16" s="3346" t="s">
        <v>3354</v>
      </c>
      <c r="E16" s="3346">
        <v>2</v>
      </c>
      <c r="F16" s="3346">
        <v>97</v>
      </c>
      <c r="G16" s="3346">
        <v>4123</v>
      </c>
      <c r="H16" s="3346">
        <v>40</v>
      </c>
      <c r="I16" s="3346">
        <v>20</v>
      </c>
      <c r="J16" s="3346">
        <v>49</v>
      </c>
    </row>
    <row r="17" spans="1:10">
      <c r="A17" s="3346" t="s">
        <v>3377</v>
      </c>
      <c r="B17" s="3346" t="s">
        <v>3354</v>
      </c>
      <c r="C17" s="3346" t="s">
        <v>3354</v>
      </c>
      <c r="D17" s="3346" t="s">
        <v>3354</v>
      </c>
      <c r="E17" s="3346">
        <v>232</v>
      </c>
      <c r="F17" s="3346">
        <v>9259</v>
      </c>
      <c r="G17" s="3346">
        <v>7217</v>
      </c>
      <c r="H17" s="3346">
        <v>6681.99</v>
      </c>
      <c r="I17" s="3346">
        <v>28.8</v>
      </c>
      <c r="J17" s="3346">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6" t="s">
        <v>2034</v>
      </c>
      <c r="B1" s="3376"/>
      <c r="C1" s="3376"/>
      <c r="D1" s="3376"/>
      <c r="E1" s="3376"/>
      <c r="F1" s="3376"/>
      <c r="G1" s="3376"/>
      <c r="H1" s="3376"/>
      <c r="I1" s="3376"/>
    </row>
    <row r="2" spans="1:9" ht="30" customHeight="1" thickTop="1">
      <c r="A2" s="3377" t="s">
        <v>2870</v>
      </c>
      <c r="B2" s="3377" t="s">
        <v>2035</v>
      </c>
      <c r="C2" s="3377" t="s">
        <v>2036</v>
      </c>
      <c r="D2" s="3377" t="str">
        <f>结果表!D116</f>
        <v>出让国有建设用地使用权价值</v>
      </c>
      <c r="E2" s="3377"/>
      <c r="F2" s="3377" t="str">
        <f>结果表!F116</f>
        <v>在建建筑物价值</v>
      </c>
      <c r="G2" s="3377"/>
      <c r="H2" s="3377" t="s">
        <v>6</v>
      </c>
      <c r="I2" s="3377"/>
    </row>
    <row r="3" spans="1:9" ht="14.25">
      <c r="A3" s="3378"/>
      <c r="B3" s="3378"/>
      <c r="C3" s="3378"/>
      <c r="D3" s="1911" t="s">
        <v>7</v>
      </c>
      <c r="E3" s="1911" t="s">
        <v>2037</v>
      </c>
      <c r="F3" s="1911" t="s">
        <v>7</v>
      </c>
      <c r="G3" s="1911" t="s">
        <v>8</v>
      </c>
      <c r="H3" s="1911" t="s">
        <v>7</v>
      </c>
      <c r="I3" s="1911" t="s">
        <v>8</v>
      </c>
    </row>
    <row r="4" spans="1:9" ht="128.25">
      <c r="A4" s="1981"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4" s="1975">
        <f>项目基本情况!C17</f>
        <v>94727.57</v>
      </c>
      <c r="C4" s="1975">
        <f>项目基本情况!C18</f>
        <v>17026.16</v>
      </c>
      <c r="D4" s="1975">
        <f ca="1">结果表!D118</f>
        <v>297488</v>
      </c>
      <c r="E4" s="1975">
        <f ca="1">结果表!E118</f>
        <v>31405</v>
      </c>
      <c r="F4" s="1975">
        <f ca="1">结果表!F118</f>
        <v>17982</v>
      </c>
      <c r="G4" s="1975">
        <f ca="1">结果表!G118</f>
        <v>1898</v>
      </c>
      <c r="H4" s="1975">
        <f ca="1">结果表!H118</f>
        <v>315470</v>
      </c>
      <c r="I4" s="1975">
        <f ca="1">结果表!I118</f>
        <v>33303</v>
      </c>
    </row>
    <row r="5" spans="1:9" ht="30" customHeight="1">
      <c r="A5" s="3378" t="s">
        <v>9</v>
      </c>
      <c r="B5" s="3378"/>
      <c r="C5" s="3378"/>
      <c r="D5" s="3379" t="str">
        <f ca="1">结果表!D119</f>
        <v>贰拾玖亿柒仟肆佰捌拾捌万元整</v>
      </c>
      <c r="E5" s="3379"/>
      <c r="F5" s="3379" t="str">
        <f ca="1">结果表!F119</f>
        <v>壹亿柒仟玖佰捌拾贰万元整</v>
      </c>
      <c r="G5" s="3379"/>
      <c r="H5" s="3379" t="str">
        <f ca="1">结果表!H119</f>
        <v>叁拾壹亿伍仟肆佰柒拾万元整</v>
      </c>
      <c r="I5" s="3379"/>
    </row>
    <row r="6" spans="1:9" ht="15.75">
      <c r="A6" s="3380" t="str">
        <f>结果表!A120</f>
        <v>估价师知悉的法定优先受偿款</v>
      </c>
      <c r="B6" s="3380"/>
      <c r="C6" s="3380"/>
      <c r="D6" s="3381">
        <f>结果表!D120</f>
        <v>0</v>
      </c>
      <c r="E6" s="3381"/>
      <c r="F6" s="3381"/>
      <c r="G6" s="3381"/>
      <c r="H6" s="3381"/>
      <c r="I6" s="3381"/>
    </row>
    <row r="7" spans="1:9" ht="14.25">
      <c r="A7" s="3378" t="s">
        <v>9</v>
      </c>
      <c r="B7" s="3378"/>
      <c r="C7" s="3378"/>
      <c r="D7" s="3382" t="str">
        <f>结果表!D121</f>
        <v>零元整</v>
      </c>
      <c r="E7" s="3383"/>
      <c r="F7" s="3383"/>
      <c r="G7" s="3383"/>
      <c r="H7" s="3383"/>
      <c r="I7" s="3384"/>
    </row>
    <row r="8" spans="1:9" ht="15.75">
      <c r="A8" s="3380" t="str">
        <f>结果表!A122</f>
        <v>房地产抵押价值</v>
      </c>
      <c r="B8" s="3380"/>
      <c r="C8" s="3380"/>
      <c r="D8" s="3381">
        <f ca="1">结果表!D122</f>
        <v>315470</v>
      </c>
      <c r="E8" s="3381"/>
      <c r="F8" s="3381"/>
      <c r="G8" s="3381"/>
      <c r="H8" s="3381"/>
      <c r="I8" s="3381"/>
    </row>
    <row r="9" spans="1:9" ht="14.25">
      <c r="A9" s="3378" t="s">
        <v>9</v>
      </c>
      <c r="B9" s="3378"/>
      <c r="C9" s="3378"/>
      <c r="D9" s="3379" t="str">
        <f ca="1">结果表!D123</f>
        <v>叁拾壹亿伍仟肆佰柒拾万元整</v>
      </c>
      <c r="E9" s="3379"/>
      <c r="F9" s="3379"/>
      <c r="G9" s="3379"/>
      <c r="H9" s="3379"/>
      <c r="I9" s="3379"/>
    </row>
    <row r="10" spans="1:9" ht="15.75">
      <c r="A10" s="3380" t="str">
        <f>结果表!A124</f>
        <v/>
      </c>
      <c r="B10" s="3380"/>
      <c r="C10" s="3380"/>
      <c r="D10" s="3381" t="str">
        <f>结果表!D124</f>
        <v>——</v>
      </c>
      <c r="E10" s="3381"/>
      <c r="F10" s="3381"/>
      <c r="G10" s="3381"/>
      <c r="H10" s="3381"/>
      <c r="I10" s="3381"/>
    </row>
    <row r="11" spans="1:9" ht="14.25">
      <c r="A11" s="3378" t="s">
        <v>9</v>
      </c>
      <c r="B11" s="3378"/>
      <c r="C11" s="3378"/>
      <c r="D11" s="3379" t="e">
        <f>结果表!D125</f>
        <v>#VALUE!</v>
      </c>
      <c r="E11" s="3379"/>
      <c r="F11" s="3379"/>
      <c r="G11" s="3379"/>
      <c r="H11" s="3379"/>
      <c r="I11" s="3379"/>
    </row>
    <row r="12" spans="1:9" ht="15.75">
      <c r="A12" s="3380" t="str">
        <f>结果表!A126</f>
        <v/>
      </c>
      <c r="B12" s="3380"/>
      <c r="C12" s="3380"/>
      <c r="D12" s="3381" t="str">
        <f>结果表!D126</f>
        <v>——</v>
      </c>
      <c r="E12" s="3381"/>
      <c r="F12" s="3381"/>
      <c r="G12" s="3381"/>
      <c r="H12" s="3381"/>
      <c r="I12" s="3381"/>
    </row>
    <row r="13" spans="1:9" ht="15" thickBot="1">
      <c r="A13" s="3385" t="s">
        <v>9</v>
      </c>
      <c r="B13" s="3385"/>
      <c r="C13" s="3385"/>
      <c r="D13" s="3386" t="e">
        <f>结果表!D127</f>
        <v>#VALUE!</v>
      </c>
      <c r="E13" s="3386"/>
      <c r="F13" s="3386"/>
      <c r="G13" s="3386"/>
      <c r="H13" s="3386"/>
      <c r="I13" s="3386"/>
    </row>
    <row r="14" spans="1:9" ht="14.25" thickTop="1">
      <c r="A14" s="3387" t="s">
        <v>2038</v>
      </c>
      <c r="B14" s="3387"/>
      <c r="C14" s="3387"/>
      <c r="D14" s="3387"/>
      <c r="E14" s="3387"/>
      <c r="F14" s="3387"/>
      <c r="G14" s="3387"/>
      <c r="H14" s="3387"/>
      <c r="I14" s="3387"/>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8" t="s">
        <v>2846</v>
      </c>
      <c r="B1" s="3388"/>
      <c r="C1" s="3388"/>
      <c r="D1" s="3388"/>
    </row>
    <row r="2" spans="1:4" ht="18.75">
      <c r="A2" s="3389" t="s">
        <v>2107</v>
      </c>
      <c r="B2" s="3389"/>
      <c r="C2" s="3389"/>
      <c r="D2" s="3389"/>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89" t="s">
        <v>2607</v>
      </c>
      <c r="B6" s="3389"/>
      <c r="C6" s="3389"/>
      <c r="D6" s="3389"/>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0" t="s">
        <v>2700</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2"/>
      <c r="C12" s="3392"/>
      <c r="D12" s="3392"/>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91" t="str">
        <f>IF(项目基本情况!B8="抵押","4.本次评估估价师所知悉的法定优先受偿款情况说明如下：","")</f>
        <v>4.本次评估估价师所知悉的法定优先受偿款情况说明如下：</v>
      </c>
      <c r="B14" s="3392"/>
      <c r="C14" s="3392"/>
      <c r="D14" s="3392"/>
    </row>
    <row r="15" spans="1:4" ht="42" customHeight="1">
      <c r="A15" s="3391"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1"/>
      <c r="C15" s="3391"/>
      <c r="D15" s="3391"/>
    </row>
    <row r="16" spans="1:4" ht="30" customHeight="1">
      <c r="A16" s="3394" t="s">
        <v>2119</v>
      </c>
      <c r="B16" s="3394"/>
      <c r="C16" s="3394"/>
      <c r="D16" s="3394"/>
    </row>
    <row r="17" spans="1:4" ht="144" customHeight="1">
      <c r="A17" s="3394" t="s">
        <v>2120</v>
      </c>
      <c r="B17" s="3394"/>
      <c r="C17" s="3394"/>
      <c r="D17" s="3394"/>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2868</v>
      </c>
      <c r="B22" s="3396"/>
      <c r="C22" s="3396"/>
      <c r="D22" s="3396"/>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3">
        <v>42551</v>
      </c>
      <c r="D31" s="339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2" t="s">
        <v>552</v>
      </c>
      <c r="B15" s="3397" t="s">
        <v>1128</v>
      </c>
      <c r="C15" s="3398"/>
    </row>
    <row r="16" spans="1:7" ht="13.5">
      <c r="A16" s="3403"/>
      <c r="B16" s="3397" t="s">
        <v>525</v>
      </c>
      <c r="C16" s="3398"/>
    </row>
    <row r="17" spans="1:3" ht="13.5">
      <c r="A17" s="3403"/>
      <c r="B17" s="3400" t="s">
        <v>553</v>
      </c>
      <c r="C17" s="1146" t="s">
        <v>552</v>
      </c>
    </row>
    <row r="18" spans="1:3" ht="13.5">
      <c r="A18" s="3403"/>
      <c r="B18" s="3400"/>
      <c r="C18" s="1146" t="s">
        <v>554</v>
      </c>
    </row>
    <row r="19" spans="1:3" ht="13.5">
      <c r="A19" s="3403"/>
      <c r="B19" s="3400"/>
      <c r="C19" s="1146" t="s">
        <v>555</v>
      </c>
    </row>
    <row r="20" spans="1:3" ht="13.5">
      <c r="A20" s="3404"/>
      <c r="B20" s="3399" t="s">
        <v>556</v>
      </c>
      <c r="C20" s="3398"/>
    </row>
    <row r="21" spans="1:3" ht="13.5">
      <c r="A21" s="1147" t="s">
        <v>557</v>
      </c>
      <c r="B21" s="1148"/>
      <c r="C21" s="1149"/>
    </row>
    <row r="22" spans="1:3" ht="13.5">
      <c r="A22" s="3401" t="s">
        <v>558</v>
      </c>
      <c r="B22" s="3399" t="s">
        <v>559</v>
      </c>
      <c r="C22" s="3398"/>
    </row>
    <row r="23" spans="1:3" ht="13.5">
      <c r="A23" s="3401"/>
      <c r="B23" s="3399" t="s">
        <v>560</v>
      </c>
      <c r="C23" s="3398"/>
    </row>
    <row r="24" spans="1:3" ht="13.5">
      <c r="A24" s="3401"/>
      <c r="B24" s="3399" t="s">
        <v>561</v>
      </c>
      <c r="C24" s="3398"/>
    </row>
    <row r="25" spans="1:3" ht="13.5">
      <c r="A25" s="3401"/>
      <c r="B25" s="3400" t="s">
        <v>562</v>
      </c>
      <c r="C25" s="1146" t="s">
        <v>563</v>
      </c>
    </row>
    <row r="26" spans="1:3" ht="13.5">
      <c r="A26" s="3401"/>
      <c r="B26" s="3400"/>
      <c r="C26" s="1146" t="s">
        <v>564</v>
      </c>
    </row>
    <row r="27" spans="1:3" ht="13.5">
      <c r="A27" s="3401"/>
      <c r="B27" s="3400"/>
      <c r="C27" s="1146" t="s">
        <v>565</v>
      </c>
    </row>
    <row r="28" spans="1:3" ht="13.5">
      <c r="A28" s="3401"/>
      <c r="B28" s="3400"/>
      <c r="C28" s="1146" t="s">
        <v>566</v>
      </c>
    </row>
    <row r="29" spans="1:3" ht="13.5">
      <c r="A29" s="3401"/>
      <c r="B29" s="3400"/>
      <c r="C29" s="1146" t="s">
        <v>567</v>
      </c>
    </row>
    <row r="30" spans="1:3" ht="13.5">
      <c r="A30" s="3401"/>
      <c r="B30" s="3400"/>
      <c r="C30" s="1146" t="s">
        <v>568</v>
      </c>
    </row>
    <row r="31" spans="1:3" ht="13.5">
      <c r="A31" s="3401"/>
      <c r="B31" s="3400"/>
      <c r="C31" s="1146" t="s">
        <v>569</v>
      </c>
    </row>
    <row r="32" spans="1:3" ht="13.5">
      <c r="A32" s="3401"/>
      <c r="B32" s="3400"/>
      <c r="C32" s="1146" t="s">
        <v>570</v>
      </c>
    </row>
    <row r="33" spans="1:3" ht="13.5">
      <c r="A33" s="3401"/>
      <c r="B33" s="3400"/>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5" t="s">
        <v>1987</v>
      </c>
      <c r="B25" s="3405"/>
      <c r="C25" s="3405"/>
      <c r="D25" s="3405"/>
      <c r="E25" s="3405"/>
      <c r="F25" s="3405"/>
      <c r="G25" s="3405"/>
    </row>
    <row r="26" spans="1:7" s="1898" customFormat="1" ht="24" customHeight="1">
      <c r="A26" s="3406" t="s">
        <v>1988</v>
      </c>
      <c r="B26" s="3406"/>
      <c r="C26" s="3406"/>
      <c r="D26" s="1897"/>
      <c r="E26" s="3406" t="s">
        <v>1989</v>
      </c>
      <c r="F26" s="3406"/>
      <c r="G26" s="3406"/>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2017-08-01T06:30:40Z</dcterms:modified>
</cp:coreProperties>
</file>