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政策" sheetId="77" r:id="rId45"/>
    <sheet name="现房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G37" i="21" l="1"/>
  <c r="E37" i="21"/>
  <c r="N6" i="1" l="1"/>
  <c r="C37" i="21" s="1"/>
  <c r="D3" i="4"/>
  <c r="C33" i="21"/>
  <c r="Y6" i="1" l="1"/>
  <c r="F19" i="6"/>
  <c r="C19" i="6"/>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c r="AD8" i="71"/>
  <c r="AD9" i="71"/>
  <c r="AG9" i="71"/>
  <c r="AH9" i="71"/>
  <c r="AE9" i="71"/>
  <c r="AF9" i="71"/>
  <c r="N9" i="71"/>
  <c r="Q9" i="71"/>
  <c r="F9" i="71" s="1"/>
  <c r="F8" i="71" s="1"/>
  <c r="F7" i="71" s="1"/>
  <c r="P9" i="71"/>
  <c r="O9" i="71"/>
  <c r="C9" i="71" s="1"/>
  <c r="C8" i="71" s="1"/>
  <c r="Q10" i="71"/>
  <c r="P10" i="71"/>
  <c r="E9" i="71"/>
  <c r="E8" i="71" s="1"/>
  <c r="O10" i="71"/>
  <c r="N10" i="71"/>
  <c r="B9" i="71"/>
  <c r="B8" i="71" s="1"/>
  <c r="B7" i="71" s="1"/>
  <c r="B6" i="71" s="1"/>
  <c r="B5" i="71" s="1"/>
  <c r="V9"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C64"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D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O26" i="71"/>
  <c r="C27" i="71" s="1"/>
  <c r="C28" i="71" s="1"/>
  <c r="C29" i="71" s="1"/>
  <c r="T29"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N23" i="71"/>
  <c r="Q22" i="71"/>
  <c r="F23" i="71" s="1"/>
  <c r="F24" i="71" s="1"/>
  <c r="F25" i="71" s="1"/>
  <c r="V25" i="71" s="1"/>
  <c r="P22" i="71"/>
  <c r="O22" i="71"/>
  <c r="C23" i="71" s="1"/>
  <c r="C24" i="71" s="1"/>
  <c r="N22" i="71"/>
  <c r="B23" i="71" s="1"/>
  <c r="B24" i="71" s="1"/>
  <c r="D22" i="71"/>
  <c r="Q21" i="71"/>
  <c r="P21" i="71"/>
  <c r="O21" i="71"/>
  <c r="N21" i="71"/>
  <c r="Q20" i="71"/>
  <c r="AB20" i="71" s="1"/>
  <c r="P20" i="71"/>
  <c r="O20" i="71"/>
  <c r="N20" i="71"/>
  <c r="X20" i="71" s="1"/>
  <c r="Q19" i="71"/>
  <c r="P19" i="71"/>
  <c r="O19" i="71"/>
  <c r="Y19" i="71"/>
  <c r="Z19" i="71" s="1"/>
  <c r="N19" i="71"/>
  <c r="Q18" i="71"/>
  <c r="F19" i="71" s="1"/>
  <c r="F20" i="71" s="1"/>
  <c r="F21" i="71" s="1"/>
  <c r="V21" i="71" s="1"/>
  <c r="P18" i="71"/>
  <c r="O18" i="71"/>
  <c r="Y15" i="71" s="1"/>
  <c r="Z15" i="71" s="1"/>
  <c r="N18" i="71"/>
  <c r="D18" i="71"/>
  <c r="Q17" i="71"/>
  <c r="P17" i="71"/>
  <c r="AA17" i="71" s="1"/>
  <c r="O17" i="71"/>
  <c r="Y17" i="71"/>
  <c r="Z17" i="71" s="1"/>
  <c r="N17" i="71"/>
  <c r="Q16" i="71"/>
  <c r="AB16" i="71" s="1"/>
  <c r="P16" i="71"/>
  <c r="O16" i="71"/>
  <c r="N16" i="71"/>
  <c r="Q15" i="71"/>
  <c r="P15" i="71"/>
  <c r="O15" i="71"/>
  <c r="N15" i="71"/>
  <c r="Q14" i="71"/>
  <c r="F15" i="71" s="1"/>
  <c r="F16" i="71" s="1"/>
  <c r="P14" i="71"/>
  <c r="E15" i="71" s="1"/>
  <c r="O14" i="71"/>
  <c r="N14" i="71"/>
  <c r="D14" i="71"/>
  <c r="O13" i="71"/>
  <c r="C13" i="71" s="1"/>
  <c r="N13" i="71"/>
  <c r="B15" i="71"/>
  <c r="B16" i="71" s="1"/>
  <c r="B19" i="71"/>
  <c r="B20" i="71" s="1"/>
  <c r="E23" i="71"/>
  <c r="AA22" i="71"/>
  <c r="E19" i="71"/>
  <c r="E20" i="71" s="1"/>
  <c r="E21" i="71" s="1"/>
  <c r="U21" i="71" s="1"/>
  <c r="C15" i="71"/>
  <c r="C16" i="71" s="1"/>
  <c r="AB14" i="71"/>
  <c r="C19" i="71"/>
  <c r="AA20" i="71"/>
  <c r="AA21" i="71"/>
  <c r="Y22" i="71"/>
  <c r="Z22" i="71" s="1"/>
  <c r="AB22" i="71"/>
  <c r="AA23" i="71"/>
  <c r="F36" i="71"/>
  <c r="F37" i="71" s="1"/>
  <c r="V37" i="71" s="1"/>
  <c r="Y3" i="71"/>
  <c r="Z3" i="71" s="1"/>
  <c r="X13" i="71"/>
  <c r="D15" i="71"/>
  <c r="D23" i="71"/>
  <c r="D27" i="71"/>
  <c r="P13" i="71"/>
  <c r="AA10" i="71" s="1"/>
  <c r="E41" i="71"/>
  <c r="U41" i="71" s="1"/>
  <c r="E48" i="71"/>
  <c r="E49" i="71" s="1"/>
  <c r="U49" i="71" s="1"/>
  <c r="Q50" i="71"/>
  <c r="U53" i="71"/>
  <c r="E52" i="71"/>
  <c r="Q13" i="71"/>
  <c r="C44" i="71"/>
  <c r="Q52" i="71"/>
  <c r="T53" i="71"/>
  <c r="O53" i="71"/>
  <c r="D53" i="71"/>
  <c r="C52" i="71"/>
  <c r="Q53" i="71"/>
  <c r="C56" i="71"/>
  <c r="D56" i="71" s="1"/>
  <c r="E56" i="71"/>
  <c r="E55" i="71"/>
  <c r="C60" i="71"/>
  <c r="C59" i="71" s="1"/>
  <c r="D59" i="71" s="1"/>
  <c r="E60" i="71"/>
  <c r="E59" i="71"/>
  <c r="D61" i="71"/>
  <c r="E64" i="71"/>
  <c r="E63" i="71"/>
  <c r="C68" i="71"/>
  <c r="C72" i="71"/>
  <c r="F13" i="71"/>
  <c r="F12" i="71"/>
  <c r="F11" i="71" s="1"/>
  <c r="AB13" i="71"/>
  <c r="C51" i="71"/>
  <c r="D60" i="71"/>
  <c r="D72" i="71"/>
  <c r="C71" i="71"/>
  <c r="D71" i="71" s="1"/>
  <c r="D28" i="71"/>
  <c r="O51" i="71"/>
  <c r="D29"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S25" i="40"/>
  <c r="S29" i="39"/>
  <c r="S18" i="36"/>
  <c r="U18" i="36"/>
  <c r="H25" i="40"/>
  <c r="J25" i="40"/>
  <c r="H29" i="39"/>
  <c r="AB29" i="39" s="1"/>
  <c r="J29" i="39"/>
  <c r="AC29" i="39" s="1"/>
  <c r="J18" i="36"/>
  <c r="AC18" i="36" s="1"/>
  <c r="H18" i="35"/>
  <c r="AB18" i="35" s="1"/>
  <c r="S18" i="35"/>
  <c r="J18" i="35"/>
  <c r="H21" i="37"/>
  <c r="F21" i="37"/>
  <c r="AA21" i="37" s="1"/>
  <c r="H21" i="34"/>
  <c r="AB21" i="34" s="1"/>
  <c r="F83" i="33"/>
  <c r="H21" i="33"/>
  <c r="U21" i="33" s="1"/>
  <c r="F21" i="33"/>
  <c r="E83" i="21"/>
  <c r="F83" i="21" s="1"/>
  <c r="H1" i="69"/>
  <c r="AC25" i="40"/>
  <c r="W25" i="40"/>
  <c r="AB25" i="40"/>
  <c r="U25" i="40"/>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AC21" i="21" s="1"/>
  <c r="C40" i="69"/>
  <c r="F38" i="68"/>
  <c r="E37" i="68"/>
  <c r="F36" i="68"/>
  <c r="F35" i="68"/>
  <c r="F21" i="68"/>
  <c r="C21" i="68"/>
  <c r="F20" i="68"/>
  <c r="E10" i="68"/>
  <c r="E9" i="68"/>
  <c r="F7" i="68"/>
  <c r="C7" i="68" s="1"/>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S34" i="21"/>
  <c r="C27" i="39"/>
  <c r="C21" i="39"/>
  <c r="H11" i="39"/>
  <c r="S40"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B12" i="36"/>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32"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79" i="3"/>
  <c r="AZ168" i="3"/>
  <c r="AZ200"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BL382" i="3"/>
  <c r="G383" i="3"/>
  <c r="G386" i="3"/>
  <c r="BL387" i="3"/>
  <c r="BA389" i="3"/>
  <c r="AZ389" i="3"/>
  <c r="BA390" i="3"/>
  <c r="BL390" i="3"/>
  <c r="AZ390" i="3" s="1"/>
  <c r="G391" i="3"/>
  <c r="G394" i="3"/>
  <c r="AZ138" i="3"/>
  <c r="AZ146" i="3"/>
  <c r="AZ162" i="3"/>
  <c r="AZ178" i="3"/>
  <c r="AZ194"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4" i="3"/>
  <c r="AZ222"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5" i="3"/>
  <c r="AZ287" i="3"/>
  <c r="AZ295" i="3"/>
  <c r="AZ299"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2" i="3"/>
  <c r="AZ356" i="3"/>
  <c r="AZ364" i="3"/>
  <c r="AZ368" i="3"/>
  <c r="BA15" i="3"/>
  <c r="BB5" i="3"/>
  <c r="BR5" i="3"/>
  <c r="G28" i="6" s="1"/>
  <c r="AZ384" i="3"/>
  <c r="AZ388" i="3"/>
  <c r="AZ392" i="3"/>
  <c r="AZ394" i="3"/>
  <c r="AZ509" i="3"/>
  <c r="E8" i="6"/>
  <c r="F27" i="6" s="1"/>
  <c r="G509" i="3"/>
  <c r="BL493" i="3"/>
  <c r="AZ493" i="3" s="1"/>
  <c r="AZ491" i="3"/>
  <c r="AZ376" i="3"/>
  <c r="AZ382" i="3"/>
  <c r="U36" i="40"/>
  <c r="N4" i="43"/>
  <c r="F36" i="43"/>
  <c r="F81" i="43"/>
  <c r="H83" i="43" s="1"/>
  <c r="H113" i="43"/>
  <c r="F48" i="43"/>
  <c r="H52" i="43" s="1"/>
  <c r="N7" i="43"/>
  <c r="F70"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56" i="3"/>
  <c r="AZ259" i="3"/>
  <c r="AZ268" i="3"/>
  <c r="AZ280" i="3"/>
  <c r="AZ288" i="3"/>
  <c r="AZ117" i="3"/>
  <c r="AZ133" i="3"/>
  <c r="AZ29" i="3"/>
  <c r="AZ31" i="3"/>
  <c r="AZ33" i="3"/>
  <c r="AZ37" i="3"/>
  <c r="AZ42" i="3"/>
  <c r="AZ45" i="3"/>
  <c r="AZ58" i="3"/>
  <c r="AZ61" i="3"/>
  <c r="AZ77" i="3"/>
  <c r="AZ102" i="3"/>
  <c r="H75" i="43"/>
  <c r="H74" i="43"/>
  <c r="H50" i="43"/>
  <c r="H49" i="43"/>
  <c r="H48" i="43"/>
  <c r="I20" i="43"/>
  <c r="F23" i="39"/>
  <c r="AA23" i="39"/>
  <c r="H27" i="36"/>
  <c r="U27" i="36"/>
  <c r="F27" i="36"/>
  <c r="AA27" i="36"/>
  <c r="H33" i="34"/>
  <c r="U33" i="34"/>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E12" i="6"/>
  <c r="K6" i="1"/>
  <c r="G29" i="6"/>
  <c r="AC26" i="33"/>
  <c r="W26" i="33"/>
  <c r="W27" i="34"/>
  <c r="AC27" i="34"/>
  <c r="AC12" i="39"/>
  <c r="W12" i="39"/>
  <c r="AC39" i="40"/>
  <c r="W39" i="40"/>
  <c r="AZ412" i="3"/>
  <c r="AZ417" i="3"/>
  <c r="AZ428" i="3"/>
  <c r="AZ433" i="3"/>
  <c r="AZ465" i="3"/>
  <c r="W12" i="33"/>
  <c r="AC12" i="33"/>
  <c r="AZ457" i="3"/>
  <c r="AZ473" i="3"/>
  <c r="F28" i="6"/>
  <c r="BL14" i="3"/>
  <c r="AZ266" i="3"/>
  <c r="U30" i="33"/>
  <c r="AC13" i="34"/>
  <c r="AA47" i="34"/>
  <c r="W28" i="37"/>
  <c r="S19" i="39"/>
  <c r="F12" i="33"/>
  <c r="H12" i="39"/>
  <c r="AB12" i="39" s="1"/>
  <c r="F39" i="40"/>
  <c r="BA14" i="3"/>
  <c r="AZ14" i="3"/>
  <c r="AZ213" i="3"/>
  <c r="AZ224" i="3"/>
  <c r="AZ238" i="3"/>
  <c r="AZ254" i="3"/>
  <c r="AZ286" i="3"/>
  <c r="AZ297" i="3"/>
  <c r="AZ157" i="3"/>
  <c r="AZ173" i="3"/>
  <c r="AZ189" i="3"/>
  <c r="AZ35" i="3"/>
  <c r="AZ41" i="3"/>
  <c r="S12" i="1"/>
  <c r="R12" i="1"/>
  <c r="B12" i="1"/>
  <c r="E12" i="1" s="1"/>
  <c r="S10" i="1"/>
  <c r="AQ10" i="1" s="1"/>
  <c r="R10" i="1"/>
  <c r="B10" i="1"/>
  <c r="E10" i="1"/>
  <c r="D1" i="66"/>
  <c r="E10" i="66"/>
  <c r="AZ107" i="3"/>
  <c r="AZ111" i="3"/>
  <c r="K12" i="1"/>
  <c r="M12" i="1" s="1"/>
  <c r="S13" i="1"/>
  <c r="AR13" i="1" s="1"/>
  <c r="R13" i="1"/>
  <c r="S11" i="1"/>
  <c r="AQ11" i="1" s="1"/>
  <c r="R11" i="1"/>
  <c r="S9" i="1"/>
  <c r="AR9" i="1" s="1"/>
  <c r="R9" i="1"/>
  <c r="J51" i="67"/>
  <c r="C42" i="1"/>
  <c r="H100" i="43"/>
  <c r="C30" i="66"/>
  <c r="E26" i="66" s="1"/>
  <c r="AC34" i="33"/>
  <c r="AA34" i="33"/>
  <c r="B41" i="1"/>
  <c r="F48" i="9" s="1"/>
  <c r="O52" i="9" s="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41"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c r="BL13" i="3"/>
  <c r="J56" i="9"/>
  <c r="J57" i="9"/>
  <c r="A24" i="51"/>
  <c r="B18" i="72"/>
  <c r="U29" i="34"/>
  <c r="E14" i="6"/>
  <c r="E64" i="39" s="1"/>
  <c r="E5" i="6"/>
  <c r="D9" i="11" s="1"/>
  <c r="C9" i="11" s="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C16" i="43" s="1"/>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c r="C65" i="40" s="1"/>
  <c r="M47" i="9"/>
  <c r="G19" i="43"/>
  <c r="O19" i="43" s="1"/>
  <c r="T35" i="4"/>
  <c r="A19" i="51"/>
  <c r="B14" i="72" s="1"/>
  <c r="C46" i="36"/>
  <c r="D46" i="36" s="1"/>
  <c r="E46" i="36" s="1"/>
  <c r="C59" i="34"/>
  <c r="D59" i="34" s="1"/>
  <c r="E59" i="34" s="1"/>
  <c r="F59" i="34" s="1"/>
  <c r="G59" i="34" s="1"/>
  <c r="H59" i="34" s="1"/>
  <c r="I59" i="34" s="1"/>
  <c r="J59" i="34" s="1"/>
  <c r="K59" i="34" s="1"/>
  <c r="C52" i="37"/>
  <c r="D52" i="37" s="1"/>
  <c r="E52" i="37" s="1"/>
  <c r="F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AC9" i="21" s="1"/>
  <c r="J32" i="21"/>
  <c r="W32" i="21" s="1"/>
  <c r="F32" i="21"/>
  <c r="AA32" i="21" s="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s="1"/>
  <c r="P6" i="1" s="1"/>
  <c r="F30" i="68"/>
  <c r="C30" i="68" s="1"/>
  <c r="F30" i="11"/>
  <c r="C48" i="11" s="1"/>
  <c r="F28" i="67"/>
  <c r="C28" i="67" s="1"/>
  <c r="F31" i="12"/>
  <c r="F52" i="9"/>
  <c r="M18" i="67"/>
  <c r="F32" i="67"/>
  <c r="F60" i="67" s="1"/>
  <c r="F30" i="69"/>
  <c r="C48" i="69" s="1"/>
  <c r="F32" i="15"/>
  <c r="F60" i="15" s="1"/>
  <c r="M18" i="15"/>
  <c r="F28" i="15"/>
  <c r="T11" i="1"/>
  <c r="D9" i="69"/>
  <c r="C9" i="69" s="1"/>
  <c r="AQ9" i="1"/>
  <c r="AR11" i="1"/>
  <c r="D68" i="39"/>
  <c r="D70" i="39" s="1"/>
  <c r="T9" i="1"/>
  <c r="T13" i="1"/>
  <c r="C77" i="9"/>
  <c r="C74" i="9" s="1"/>
  <c r="S7" i="1"/>
  <c r="AR7" i="1" s="1"/>
  <c r="E7" i="70"/>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U33" i="21"/>
  <c r="AA23" i="21"/>
  <c r="J23" i="21"/>
  <c r="W23" i="21" s="1"/>
  <c r="F85" i="21"/>
  <c r="G85" i="21" s="1"/>
  <c r="H23" i="21"/>
  <c r="U23" i="21" s="1"/>
  <c r="D6" i="52"/>
  <c r="D121" i="9"/>
  <c r="D7" i="52" s="1"/>
  <c r="K120" i="9"/>
  <c r="J59" i="9"/>
  <c r="J61" i="9" s="1"/>
  <c r="AQ8" i="1"/>
  <c r="R22" i="31"/>
  <c r="B21" i="31" s="1"/>
  <c r="C5" i="43"/>
  <c r="F46" i="36"/>
  <c r="G46" i="36" s="1"/>
  <c r="H46" i="36" s="1"/>
  <c r="D63" i="40"/>
  <c r="E63" i="40" s="1"/>
  <c r="E65" i="40" s="1"/>
  <c r="AP7" i="1"/>
  <c r="S33" i="21"/>
  <c r="W9" i="21"/>
  <c r="C30" i="1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E68" i="39"/>
  <c r="F68" i="39" s="1"/>
  <c r="C5" i="68"/>
  <c r="F1" i="67"/>
  <c r="Q52" i="67"/>
  <c r="AC11" i="37"/>
  <c r="W11" i="37"/>
  <c r="AC11" i="34"/>
  <c r="R7" i="1"/>
  <c r="F34" i="11"/>
  <c r="F11" i="12"/>
  <c r="F34" i="68"/>
  <c r="R8" i="1"/>
  <c r="AE7" i="1"/>
  <c r="AE8" i="1"/>
  <c r="AG6" i="1"/>
  <c r="J7" i="33"/>
  <c r="F7" i="33"/>
  <c r="S7" i="33" s="1"/>
  <c r="H7" i="33"/>
  <c r="AB7" i="33" s="1"/>
  <c r="T48" i="33" s="1"/>
  <c r="G48" i="33" s="1"/>
  <c r="AA7" i="33"/>
  <c r="R48" i="33" s="1"/>
  <c r="E48" i="33" s="1"/>
  <c r="E52" i="33"/>
  <c r="F52" i="33" s="1"/>
  <c r="H112" i="9"/>
  <c r="D21" i="53" s="1"/>
  <c r="B39" i="72" s="1"/>
  <c r="H111" i="9"/>
  <c r="D126" i="9" s="1"/>
  <c r="D127" i="9" s="1"/>
  <c r="D13" i="52" s="1"/>
  <c r="D59" i="9"/>
  <c r="M55" i="9"/>
  <c r="AD3" i="71"/>
  <c r="M27" i="67"/>
  <c r="F37" i="15"/>
  <c r="M9" i="15"/>
  <c r="M22" i="67"/>
  <c r="F38" i="15"/>
  <c r="F36" i="67"/>
  <c r="E10" i="76"/>
  <c r="F42" i="67"/>
  <c r="F5" i="73"/>
  <c r="M22" i="15"/>
  <c r="F43" i="15"/>
  <c r="M28" i="15"/>
  <c r="F9" i="67"/>
  <c r="AO12" i="1"/>
  <c r="F40" i="67"/>
  <c r="F40" i="15"/>
  <c r="F16" i="67"/>
  <c r="M27" i="15"/>
  <c r="AO9" i="1"/>
  <c r="L48" i="67"/>
  <c r="B7" i="76"/>
  <c r="D2" i="33"/>
  <c r="F42" i="15"/>
  <c r="F26" i="67"/>
  <c r="F20" i="31"/>
  <c r="F41" i="67"/>
  <c r="M8" i="15"/>
  <c r="J15" i="67"/>
  <c r="D2" i="21"/>
  <c r="E7" i="76"/>
  <c r="C76" i="67"/>
  <c r="M23" i="67"/>
  <c r="F37" i="67"/>
  <c r="AO8" i="1"/>
  <c r="D2" i="35"/>
  <c r="B8" i="76"/>
  <c r="E2" i="69"/>
  <c r="M24" i="67"/>
  <c r="D34" i="9"/>
  <c r="F26" i="15"/>
  <c r="F43" i="67"/>
  <c r="AO13" i="1"/>
  <c r="M8" i="67"/>
  <c r="AO10" i="1"/>
  <c r="D2" i="34"/>
  <c r="L47" i="67"/>
  <c r="J15" i="15"/>
  <c r="B9" i="76"/>
  <c r="M29" i="15"/>
  <c r="D35" i="9"/>
  <c r="F9" i="15"/>
  <c r="M9" i="67"/>
  <c r="F3" i="73"/>
  <c r="E11" i="76"/>
  <c r="F7" i="73"/>
  <c r="F6" i="15"/>
  <c r="M23" i="15"/>
  <c r="D2" i="37"/>
  <c r="E2" i="68"/>
  <c r="M6" i="67"/>
  <c r="C76" i="15"/>
  <c r="F8" i="15"/>
  <c r="M26" i="67"/>
  <c r="B13" i="76"/>
  <c r="F7" i="67"/>
  <c r="F4" i="73"/>
  <c r="M21" i="67"/>
  <c r="AO11" i="1"/>
  <c r="F13" i="67"/>
  <c r="F13" i="15"/>
  <c r="AO7" i="1"/>
  <c r="E13" i="76"/>
  <c r="D2" i="36"/>
  <c r="L47" i="15"/>
  <c r="B10" i="76"/>
  <c r="E12" i="76"/>
  <c r="F6" i="73"/>
  <c r="E8" i="76"/>
  <c r="F16" i="15"/>
  <c r="L48" i="15"/>
  <c r="F7" i="15"/>
  <c r="F38" i="67"/>
  <c r="F6" i="67"/>
  <c r="F35" i="67"/>
  <c r="B12" i="76"/>
  <c r="M29" i="67"/>
  <c r="F36" i="15"/>
  <c r="F8" i="67"/>
  <c r="M28" i="67"/>
  <c r="M6" i="15"/>
  <c r="E9" i="76"/>
  <c r="M26" i="15"/>
  <c r="B11" i="76"/>
  <c r="M24" i="15"/>
  <c r="E70" i="39" l="1"/>
  <c r="AB45" i="21"/>
  <c r="S13" i="21"/>
  <c r="AC37" i="21"/>
  <c r="E7" i="21"/>
  <c r="G7" i="21"/>
  <c r="I7" i="21"/>
  <c r="E28" i="6"/>
  <c r="G30" i="6"/>
  <c r="G31" i="6" s="1"/>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s="1"/>
  <c r="BL585" i="3"/>
  <c r="AZ585" i="3" s="1"/>
  <c r="J36" i="21"/>
  <c r="J23" i="35"/>
  <c r="F9" i="36"/>
  <c r="F26" i="37"/>
  <c r="J38" i="40"/>
  <c r="H39" i="40"/>
  <c r="G582" i="3"/>
  <c r="G566" i="3"/>
  <c r="G552" i="3"/>
  <c r="BA551" i="3"/>
  <c r="AZ551" i="3" s="1"/>
  <c r="G551" i="3"/>
  <c r="BL550" i="3"/>
  <c r="BA550" i="3"/>
  <c r="AZ550" i="3" s="1"/>
  <c r="BL548" i="3"/>
  <c r="AZ548" i="3" s="1"/>
  <c r="G14" i="3"/>
  <c r="BL15" i="3"/>
  <c r="AZ15" i="3" s="1"/>
  <c r="G398" i="3"/>
  <c r="BL398" i="3"/>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BL472" i="3"/>
  <c r="AZ472" i="3" s="1"/>
  <c r="AZ476" i="3"/>
  <c r="AZ477" i="3"/>
  <c r="BL477" i="3"/>
  <c r="BA478" i="3"/>
  <c r="AZ478" i="3" s="1"/>
  <c r="AZ484" i="3"/>
  <c r="G329" i="3"/>
  <c r="BA331" i="3"/>
  <c r="AZ331" i="3" s="1"/>
  <c r="BL332" i="3"/>
  <c r="AZ332" i="3" s="1"/>
  <c r="G334" i="3"/>
  <c r="BL346" i="3"/>
  <c r="AZ346" i="3" s="1"/>
  <c r="G349" i="3"/>
  <c r="BA350" i="3"/>
  <c r="AZ350" i="3" s="1"/>
  <c r="BL353" i="3"/>
  <c r="AZ353" i="3" s="1"/>
  <c r="G362" i="3"/>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AZ406" i="3"/>
  <c r="AZ413" i="3"/>
  <c r="AZ419" i="3"/>
  <c r="AZ429" i="3"/>
  <c r="AZ435" i="3"/>
  <c r="AZ439" i="3"/>
  <c r="AZ444" i="3"/>
  <c r="AZ451" i="3"/>
  <c r="AZ456" i="3"/>
  <c r="AZ458" i="3"/>
  <c r="AZ462" i="3"/>
  <c r="AZ469" i="3"/>
  <c r="BA474" i="3"/>
  <c r="AZ474" i="3" s="1"/>
  <c r="BL481" i="3"/>
  <c r="AZ481" i="3" s="1"/>
  <c r="BA482" i="3"/>
  <c r="AZ482" i="3" s="1"/>
  <c r="BL485" i="3"/>
  <c r="BA486" i="3"/>
  <c r="AZ486" i="3" s="1"/>
  <c r="BA487" i="3"/>
  <c r="AZ487" i="3" s="1"/>
  <c r="BL487" i="3"/>
  <c r="BA488" i="3"/>
  <c r="AZ488" i="3" s="1"/>
  <c r="BL490" i="3"/>
  <c r="AZ490" i="3" s="1"/>
  <c r="G311" i="3"/>
  <c r="G315" i="3"/>
  <c r="BA317" i="3"/>
  <c r="AZ317" i="3" s="1"/>
  <c r="AZ216" i="3"/>
  <c r="AZ221" i="3"/>
  <c r="AZ226" i="3"/>
  <c r="AZ230" i="3"/>
  <c r="AZ242" i="3"/>
  <c r="AZ258" i="3"/>
  <c r="C63" i="71"/>
  <c r="D63" i="71" s="1"/>
  <c r="D64" i="7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J51" i="15"/>
  <c r="S21" i="34"/>
  <c r="P27" i="6"/>
  <c r="C55" i="71"/>
  <c r="D55" i="71" s="1"/>
  <c r="AB11" i="71"/>
  <c r="C48" i="71"/>
  <c r="C40" i="71"/>
  <c r="E51" i="71"/>
  <c r="P52" i="71"/>
  <c r="C36" i="71"/>
  <c r="X11" i="71"/>
  <c r="X19" i="71"/>
  <c r="AA16" i="71"/>
  <c r="D16" i="71"/>
  <c r="C17" i="71"/>
  <c r="X18" i="71"/>
  <c r="X14" i="71"/>
  <c r="B13" i="71"/>
  <c r="X12" i="71"/>
  <c r="Y14" i="71"/>
  <c r="Z14" i="71" s="1"/>
  <c r="Y13" i="71"/>
  <c r="Z13" i="71" s="1"/>
  <c r="F17" i="71"/>
  <c r="V17" i="71" s="1"/>
  <c r="AA15" i="71"/>
  <c r="Y21" i="71"/>
  <c r="Z21" i="71" s="1"/>
  <c r="Y23" i="71"/>
  <c r="Z23" i="71" s="1"/>
  <c r="X24" i="71"/>
  <c r="X21" i="71"/>
  <c r="X23" i="71"/>
  <c r="AB12" i="71"/>
  <c r="Y11" i="71"/>
  <c r="Z11" i="71" s="1"/>
  <c r="Y12" i="71"/>
  <c r="Z12" i="71" s="1"/>
  <c r="K56" i="9"/>
  <c r="AB10" i="71"/>
  <c r="K100" i="43"/>
  <c r="AC21" i="33"/>
  <c r="AB21" i="33"/>
  <c r="D51" i="71"/>
  <c r="O50" i="71"/>
  <c r="D68" i="71"/>
  <c r="C67" i="71"/>
  <c r="D67" i="71" s="1"/>
  <c r="O52" i="71"/>
  <c r="D52" i="71"/>
  <c r="D44" i="71"/>
  <c r="C45" i="71"/>
  <c r="AA3" i="71"/>
  <c r="E13" i="71"/>
  <c r="E12" i="71" s="1"/>
  <c r="E11" i="71" s="1"/>
  <c r="AA12" i="71"/>
  <c r="C20" i="71"/>
  <c r="D19" i="71"/>
  <c r="AA19" i="71"/>
  <c r="AA18" i="71"/>
  <c r="C32" i="71"/>
  <c r="D32" i="71" s="1"/>
  <c r="D31" i="71"/>
  <c r="S53" i="71"/>
  <c r="N53" i="71"/>
  <c r="T57" i="71"/>
  <c r="D57" i="71"/>
  <c r="T65" i="71"/>
  <c r="D65" i="71"/>
  <c r="X10" i="71"/>
  <c r="E24" i="71"/>
  <c r="E25" i="71" s="1"/>
  <c r="U25" i="71" s="1"/>
  <c r="B21" i="71"/>
  <c r="S21" i="71" s="1"/>
  <c r="B17" i="71"/>
  <c r="S17" i="71" s="1"/>
  <c r="E16" i="71"/>
  <c r="E17" i="71" s="1"/>
  <c r="U17" i="71" s="1"/>
  <c r="X15" i="71"/>
  <c r="AB15" i="71"/>
  <c r="Y16" i="71"/>
  <c r="Z16" i="71" s="1"/>
  <c r="X16" i="71"/>
  <c r="AB17" i="71"/>
  <c r="AB19" i="71"/>
  <c r="Y20" i="71"/>
  <c r="Z20" i="71" s="1"/>
  <c r="AB21" i="71"/>
  <c r="B25" i="71"/>
  <c r="S25" i="71" s="1"/>
  <c r="E28" i="71"/>
  <c r="E29" i="71" s="1"/>
  <c r="U29" i="71" s="1"/>
  <c r="B40" i="71"/>
  <c r="B41" i="71" s="1"/>
  <c r="S41" i="71" s="1"/>
  <c r="B48" i="71"/>
  <c r="B49" i="71" s="1"/>
  <c r="S49" i="71" s="1"/>
  <c r="E7" i="71"/>
  <c r="AA11" i="21"/>
  <c r="AB11" i="21"/>
  <c r="AC23" i="21"/>
  <c r="AA25" i="21"/>
  <c r="C36" i="68"/>
  <c r="C36" i="11"/>
  <c r="S37" i="21"/>
  <c r="C58" i="21"/>
  <c r="D58" i="21" s="1"/>
  <c r="E58" i="21" s="1"/>
  <c r="F58" i="21" s="1"/>
  <c r="G58" i="21" s="1"/>
  <c r="H58" i="21" s="1"/>
  <c r="I58" i="21" s="1"/>
  <c r="J58" i="21" s="1"/>
  <c r="K58" i="21" s="1"/>
  <c r="L58" i="21" s="1"/>
  <c r="M58" i="21" s="1"/>
  <c r="N58" i="21" s="1"/>
  <c r="O58" i="21" s="1"/>
  <c r="R49" i="33"/>
  <c r="D65" i="40"/>
  <c r="J1" i="73"/>
  <c r="AA43" i="21"/>
  <c r="U43" i="21"/>
  <c r="AC32" i="21"/>
  <c r="AB21" i="21"/>
  <c r="S21" i="21"/>
  <c r="F66" i="21"/>
  <c r="G66" i="21" s="1"/>
  <c r="H66" i="21" s="1"/>
  <c r="I66" i="21" s="1"/>
  <c r="J10" i="21"/>
  <c r="F10" i="21"/>
  <c r="S10" i="21" s="1"/>
  <c r="H10" i="21"/>
  <c r="AB23" i="21"/>
  <c r="C15" i="39"/>
  <c r="AB15" i="21"/>
  <c r="AC15" i="21"/>
  <c r="AA10" i="21"/>
  <c r="AB9" i="21"/>
  <c r="AB39" i="21"/>
  <c r="AB38" i="21"/>
  <c r="U34" i="21"/>
  <c r="W33" i="21"/>
  <c r="U32" i="21"/>
  <c r="S32" i="21"/>
  <c r="U26" i="21"/>
  <c r="B55" i="43"/>
  <c r="C25" i="39"/>
  <c r="C25" i="40"/>
  <c r="P61" i="15"/>
  <c r="J53" i="15"/>
  <c r="L56" i="15" s="1"/>
  <c r="C31" i="12"/>
  <c r="C13" i="12"/>
  <c r="C30" i="69"/>
  <c r="D9" i="68"/>
  <c r="C9" i="68" s="1"/>
  <c r="D19" i="12"/>
  <c r="C19" i="12" s="1"/>
  <c r="E59" i="40"/>
  <c r="T7" i="1"/>
  <c r="H16" i="1"/>
  <c r="Q16" i="1"/>
  <c r="AQ7" i="1"/>
  <c r="C36" i="69"/>
  <c r="E56" i="40"/>
  <c r="O14" i="1"/>
  <c r="P14" i="1" s="1"/>
  <c r="E60" i="40"/>
  <c r="E65" i="39"/>
  <c r="T8" i="1"/>
  <c r="E13" i="6"/>
  <c r="A15" i="62"/>
  <c r="B61" i="72" s="1"/>
  <c r="G16" i="1"/>
  <c r="J10" i="40" s="1"/>
  <c r="D12" i="52"/>
  <c r="I14" i="74"/>
  <c r="B8" i="74" s="1"/>
  <c r="D19" i="53"/>
  <c r="B38" i="72" s="1"/>
  <c r="J7" i="35"/>
  <c r="E48" i="35"/>
  <c r="F48" i="35" s="1"/>
  <c r="G48" i="35" s="1"/>
  <c r="H48" i="35" s="1"/>
  <c r="I48" i="35" s="1"/>
  <c r="J48" i="35" s="1"/>
  <c r="K48" i="35" s="1"/>
  <c r="L48" i="35" s="1"/>
  <c r="M48" i="35" s="1"/>
  <c r="N48" i="35" s="1"/>
  <c r="O48" i="35" s="1"/>
  <c r="H10" i="40"/>
  <c r="U10" i="40" s="1"/>
  <c r="C48" i="68"/>
  <c r="C28" i="15"/>
  <c r="AC29" i="21"/>
  <c r="W29" i="21"/>
  <c r="L59" i="34"/>
  <c r="M59" i="34" s="1"/>
  <c r="N59" i="34" s="1"/>
  <c r="O59" i="34" s="1"/>
  <c r="H7" i="34"/>
  <c r="E53" i="33"/>
  <c r="F53" i="33" s="1"/>
  <c r="G52" i="33"/>
  <c r="H52" i="33" s="1"/>
  <c r="U7" i="33"/>
  <c r="W7" i="33"/>
  <c r="AC7" i="33"/>
  <c r="V48" i="33" s="1"/>
  <c r="I48" i="33" s="1"/>
  <c r="G68" i="39"/>
  <c r="F70" i="39"/>
  <c r="I46" i="36"/>
  <c r="G52" i="37"/>
  <c r="D20" i="53"/>
  <c r="B40" i="72" s="1"/>
  <c r="F63" i="40"/>
  <c r="F7" i="21"/>
  <c r="H7" i="21"/>
  <c r="F7" i="34"/>
  <c r="J7" i="21"/>
  <c r="F7" i="35"/>
  <c r="H7" i="35"/>
  <c r="F30" i="6"/>
  <c r="F31" i="6" s="1"/>
  <c r="E29" i="6"/>
  <c r="L19" i="6" s="1"/>
  <c r="L27" i="6" s="1"/>
  <c r="AZ557" i="3"/>
  <c r="W9" i="34"/>
  <c r="AC9" i="34"/>
  <c r="W24" i="35"/>
  <c r="AC24" i="35"/>
  <c r="AC34" i="35"/>
  <c r="W34" i="35"/>
  <c r="AB36" i="35"/>
  <c r="U36" i="35"/>
  <c r="S32" i="36"/>
  <c r="AA32" i="36"/>
  <c r="O11" i="1"/>
  <c r="P11" i="1" s="1"/>
  <c r="O12" i="1"/>
  <c r="P12" i="1" s="1"/>
  <c r="D9" i="53"/>
  <c r="B25" i="72" s="1"/>
  <c r="B24" i="72"/>
  <c r="AZ503" i="3"/>
  <c r="BL5"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1" i="21"/>
  <c r="AB31" i="21"/>
  <c r="W45" i="21"/>
  <c r="AC45" i="21"/>
  <c r="S9" i="21"/>
  <c r="AA9" i="21"/>
  <c r="S12" i="34"/>
  <c r="AA12" i="34"/>
  <c r="AB34" i="36"/>
  <c r="U34" i="36"/>
  <c r="AB33" i="36"/>
  <c r="U33" i="36"/>
  <c r="D5" i="43"/>
  <c r="AZ398" i="3"/>
  <c r="AZ405" i="3"/>
  <c r="AZ407" i="3"/>
  <c r="AZ410" i="3"/>
  <c r="AZ415" i="3"/>
  <c r="AZ420" i="3"/>
  <c r="W17" i="21"/>
  <c r="H9" i="34"/>
  <c r="F34" i="35"/>
  <c r="H34" i="35"/>
  <c r="J36" i="35"/>
  <c r="C20" i="43"/>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9" i="43" s="1"/>
  <c r="M100" i="43"/>
  <c r="I108" i="43"/>
  <c r="I100" i="43"/>
  <c r="E108" i="43"/>
  <c r="E109" i="43" s="1"/>
  <c r="E100" i="43"/>
  <c r="D24" i="67"/>
  <c r="D23" i="67"/>
  <c r="C25" i="71"/>
  <c r="D24" i="71"/>
  <c r="T13" i="71"/>
  <c r="D13" i="71"/>
  <c r="U13" i="71" s="1"/>
  <c r="C12" i="71"/>
  <c r="C29" i="39"/>
  <c r="B66" i="43"/>
  <c r="V13" i="71"/>
  <c r="AA13" i="71"/>
  <c r="AA11" i="71"/>
  <c r="Y10" i="71"/>
  <c r="Z10" i="71" s="1"/>
  <c r="AB18" i="71"/>
  <c r="Y18" i="71"/>
  <c r="Z18" i="71" s="1"/>
  <c r="X17" i="71"/>
  <c r="X22" i="71"/>
  <c r="AA14" i="71"/>
  <c r="C7" i="71"/>
  <c r="D7" i="71" s="1"/>
  <c r="D8" i="71"/>
  <c r="AA7" i="71"/>
  <c r="X6" i="71"/>
  <c r="X8" i="71"/>
  <c r="Y9" i="71"/>
  <c r="Z9" i="71" s="1"/>
  <c r="Y8" i="71"/>
  <c r="Z8" i="71" s="1"/>
  <c r="AA8" i="71"/>
  <c r="AB8" i="71"/>
  <c r="Y7" i="71"/>
  <c r="Z7" i="71" s="1"/>
  <c r="AB7" i="71"/>
  <c r="Y6" i="71"/>
  <c r="Z6" i="71" s="1"/>
  <c r="AB6" i="71"/>
  <c r="AA6" i="71"/>
  <c r="B52"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F31" i="67"/>
  <c r="F59" i="15"/>
  <c r="M17" i="67"/>
  <c r="M17" i="15"/>
  <c r="C14" i="67"/>
  <c r="D7" i="73"/>
  <c r="D5" i="73"/>
  <c r="D4" i="73"/>
  <c r="C16" i="15"/>
  <c r="C17" i="67"/>
  <c r="D6" i="73"/>
  <c r="D3" i="73"/>
  <c r="C16" i="67"/>
  <c r="C21" i="71" l="1"/>
  <c r="D20" i="71"/>
  <c r="T45" i="71"/>
  <c r="D45" i="71"/>
  <c r="B12" i="71"/>
  <c r="B11" i="71" s="1"/>
  <c r="S13" i="71"/>
  <c r="D36" i="71"/>
  <c r="C37" i="71"/>
  <c r="C49" i="71"/>
  <c r="D48" i="71"/>
  <c r="AZ22" i="3"/>
  <c r="AZ5" i="3" s="1"/>
  <c r="BA5" i="3"/>
  <c r="E27" i="6" s="1"/>
  <c r="AC38" i="40"/>
  <c r="W38" i="40"/>
  <c r="AA9" i="36"/>
  <c r="S9" i="36"/>
  <c r="AC36" i="21"/>
  <c r="W36" i="21"/>
  <c r="G5" i="3"/>
  <c r="B3" i="3" s="1"/>
  <c r="K14" i="1"/>
  <c r="T17" i="71"/>
  <c r="D17" i="71"/>
  <c r="D40" i="71"/>
  <c r="C41" i="71"/>
  <c r="E104" i="3"/>
  <c r="E78" i="3"/>
  <c r="E60" i="3"/>
  <c r="E48" i="3"/>
  <c r="E41" i="3"/>
  <c r="E33" i="3"/>
  <c r="E196" i="3"/>
  <c r="E164" i="3"/>
  <c r="E300" i="3"/>
  <c r="E287" i="3"/>
  <c r="E266" i="3"/>
  <c r="E258" i="3"/>
  <c r="E241" i="3"/>
  <c r="E226" i="3"/>
  <c r="E392" i="3"/>
  <c r="E334" i="3"/>
  <c r="AZ459" i="3"/>
  <c r="E450" i="3"/>
  <c r="AZ442" i="3"/>
  <c r="E429" i="3"/>
  <c r="E413" i="3"/>
  <c r="U39" i="40"/>
  <c r="AB39" i="40"/>
  <c r="AA26" i="37"/>
  <c r="S26" i="37"/>
  <c r="AC23" i="35"/>
  <c r="W23" i="35"/>
  <c r="E20" i="43"/>
  <c r="P17" i="43" s="1"/>
  <c r="C49" i="33"/>
  <c r="C48" i="33"/>
  <c r="AB10" i="21"/>
  <c r="U10" i="21"/>
  <c r="AC10" i="21"/>
  <c r="W10" i="21"/>
  <c r="Q52" i="15"/>
  <c r="F1" i="15"/>
  <c r="F28" i="12"/>
  <c r="C29" i="12" s="1"/>
  <c r="D28" i="12" s="1"/>
  <c r="F27" i="69"/>
  <c r="F27" i="68"/>
  <c r="F27" i="11"/>
  <c r="E58" i="40"/>
  <c r="E63" i="39"/>
  <c r="E66" i="39" s="1"/>
  <c r="E16" i="6"/>
  <c r="F10" i="39"/>
  <c r="AA10" i="39" s="1"/>
  <c r="AB10" i="40"/>
  <c r="F10" i="40"/>
  <c r="AA10" i="40" s="1"/>
  <c r="H10" i="39"/>
  <c r="U10" i="39" s="1"/>
  <c r="J10" i="39"/>
  <c r="AC10" i="39" s="1"/>
  <c r="K4" i="4"/>
  <c r="B46" i="48" s="1"/>
  <c r="B4" i="72" s="1"/>
  <c r="B4" i="62"/>
  <c r="B71" i="72" s="1"/>
  <c r="J7" i="34"/>
  <c r="W10" i="39"/>
  <c r="W10" i="40"/>
  <c r="AC10" i="40"/>
  <c r="S10" i="39"/>
  <c r="S10" i="40"/>
  <c r="AC7" i="35"/>
  <c r="V38" i="35" s="1"/>
  <c r="I38" i="35" s="1"/>
  <c r="I42" i="35" s="1"/>
  <c r="J42" i="35" s="1"/>
  <c r="W7" i="35"/>
  <c r="S34" i="35"/>
  <c r="AA34" i="35"/>
  <c r="D105" i="43"/>
  <c r="D106" i="43"/>
  <c r="D102" i="43"/>
  <c r="D103" i="43"/>
  <c r="D104" i="43"/>
  <c r="D107" i="43"/>
  <c r="P23" i="43"/>
  <c r="B71" i="39" s="1"/>
  <c r="N52" i="71"/>
  <c r="B51" i="71"/>
  <c r="C11" i="71"/>
  <c r="D11" i="71" s="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s="1"/>
  <c r="I48" i="21" s="1"/>
  <c r="U7" i="21"/>
  <c r="AB7" i="21"/>
  <c r="T48" i="21" s="1"/>
  <c r="G48" i="21" s="1"/>
  <c r="F65" i="40"/>
  <c r="G63" i="40"/>
  <c r="H52" i="37"/>
  <c r="J46" i="36"/>
  <c r="I53" i="33"/>
  <c r="J53" i="33" s="1"/>
  <c r="I52" i="33"/>
  <c r="J52" i="33" s="1"/>
  <c r="U7" i="34"/>
  <c r="AB7" i="34"/>
  <c r="T49" i="34" s="1"/>
  <c r="G49" i="34" s="1"/>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P16" i="1"/>
  <c r="C11" i="12" s="1"/>
  <c r="E30" i="6"/>
  <c r="E31" i="6" s="1"/>
  <c r="K15" i="1"/>
  <c r="K16" i="1" s="1"/>
  <c r="AB7" i="35"/>
  <c r="T38" i="35" s="1"/>
  <c r="G38" i="35" s="1"/>
  <c r="U7" i="35"/>
  <c r="S7" i="35"/>
  <c r="AA7" i="35"/>
  <c r="R38" i="35" s="1"/>
  <c r="S7" i="34"/>
  <c r="AA7" i="34"/>
  <c r="R49" i="34" s="1"/>
  <c r="S7" i="21"/>
  <c r="AA7" i="21"/>
  <c r="R48" i="21" s="1"/>
  <c r="G70" i="39"/>
  <c r="H68" i="39"/>
  <c r="G53" i="33"/>
  <c r="H53" i="33" s="1"/>
  <c r="AC7" i="34"/>
  <c r="V49" i="34" s="1"/>
  <c r="I49" i="34" s="1"/>
  <c r="W7" i="34"/>
  <c r="C5" i="71"/>
  <c r="D6" i="71"/>
  <c r="P25" i="43"/>
  <c r="C49" i="67"/>
  <c r="C49" i="15"/>
  <c r="C18" i="67"/>
  <c r="C15" i="67"/>
  <c r="M11" i="15"/>
  <c r="J10" i="15" s="1"/>
  <c r="J5" i="15" s="1"/>
  <c r="F11" i="67"/>
  <c r="F11" i="15"/>
  <c r="M11" i="67"/>
  <c r="J10" i="67" s="1"/>
  <c r="J5" i="67" s="1"/>
  <c r="Q73" i="67"/>
  <c r="Q60" i="67"/>
  <c r="Q60" i="15"/>
  <c r="Q73" i="15"/>
  <c r="Q74" i="15"/>
  <c r="Q61" i="15"/>
  <c r="Q61" i="67"/>
  <c r="Q74" i="67"/>
  <c r="AE6" i="1"/>
  <c r="G1" i="73"/>
  <c r="E3" i="6" l="1"/>
  <c r="D37" i="11" s="1"/>
  <c r="C37" i="11" s="1"/>
  <c r="AY6" i="3"/>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s="1"/>
  <c r="I25" i="6" s="1"/>
  <c r="S25" i="6" s="1"/>
  <c r="K21" i="6"/>
  <c r="M21" i="6" s="1"/>
  <c r="I21" i="6" s="1"/>
  <c r="S21" i="6" s="1"/>
  <c r="K19" i="6"/>
  <c r="K26" i="6"/>
  <c r="M26" i="6" s="1"/>
  <c r="I26" i="6" s="1"/>
  <c r="S26" i="6" s="1"/>
  <c r="K24" i="6"/>
  <c r="M24" i="6" s="1"/>
  <c r="I24" i="6" s="1"/>
  <c r="S24" i="6" s="1"/>
  <c r="K23" i="6"/>
  <c r="M23" i="6" s="1"/>
  <c r="I23" i="6" s="1"/>
  <c r="S23" i="6" s="1"/>
  <c r="K22" i="6"/>
  <c r="M22" i="6" s="1"/>
  <c r="I22" i="6" s="1"/>
  <c r="S22" i="6" s="1"/>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s="1"/>
  <c r="I20" i="6" s="1"/>
  <c r="S20" i="6" s="1"/>
  <c r="E582" i="3"/>
  <c r="E14" i="3"/>
  <c r="E403" i="3"/>
  <c r="E417" i="3"/>
  <c r="E428" i="3"/>
  <c r="E454" i="3"/>
  <c r="E362" i="3"/>
  <c r="E221" i="3"/>
  <c r="E242" i="3"/>
  <c r="E257" i="3"/>
  <c r="E265" i="3"/>
  <c r="E275" i="3"/>
  <c r="E288" i="3"/>
  <c r="E118" i="3"/>
  <c r="E148" i="3"/>
  <c r="E34" i="3"/>
  <c r="E42" i="3"/>
  <c r="E47" i="3"/>
  <c r="E64" i="3"/>
  <c r="E97" i="3"/>
  <c r="T37" i="71"/>
  <c r="D37" i="71"/>
  <c r="B40" i="1"/>
  <c r="F22" i="68" s="1"/>
  <c r="O17" i="43"/>
  <c r="M17" i="43"/>
  <c r="N17" i="43"/>
  <c r="AB10" i="39"/>
  <c r="S3" i="43"/>
  <c r="S6" i="43"/>
  <c r="S5" i="43"/>
  <c r="S4" i="43"/>
  <c r="S2" i="43"/>
  <c r="C23" i="43"/>
  <c r="C21" i="43" s="1"/>
  <c r="S7" i="43"/>
  <c r="C29" i="11"/>
  <c r="D27" i="11" s="1"/>
  <c r="C47" i="11"/>
  <c r="D45" i="11" s="1"/>
  <c r="C47" i="69"/>
  <c r="D45" i="69" s="1"/>
  <c r="C29" i="69"/>
  <c r="D27" i="69" s="1"/>
  <c r="C29" i="68"/>
  <c r="D27" i="68" s="1"/>
  <c r="C47" i="68"/>
  <c r="D45" i="68" s="1"/>
  <c r="I53" i="34"/>
  <c r="J53" i="34" s="1"/>
  <c r="I68" i="39"/>
  <c r="H70" i="39"/>
  <c r="E48" i="21"/>
  <c r="I53" i="21" s="1"/>
  <c r="J53" i="21" s="1"/>
  <c r="R49" i="21"/>
  <c r="R50" i="34"/>
  <c r="E49" i="34"/>
  <c r="E38" i="35"/>
  <c r="R39" i="35"/>
  <c r="C15" i="12"/>
  <c r="C12" i="12"/>
  <c r="K46" i="36"/>
  <c r="I52" i="37"/>
  <c r="J52" i="37" s="1"/>
  <c r="K52" i="37" s="1"/>
  <c r="L52" i="37" s="1"/>
  <c r="M52" i="37" s="1"/>
  <c r="N52" i="37" s="1"/>
  <c r="O52" i="37" s="1"/>
  <c r="H7" i="37"/>
  <c r="J7" i="37"/>
  <c r="N51" i="71"/>
  <c r="N5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s="1"/>
  <c r="G42" i="35"/>
  <c r="H42" i="35" s="1"/>
  <c r="C115" i="43"/>
  <c r="D113" i="43" s="1"/>
  <c r="G53" i="34"/>
  <c r="H53" i="34" s="1"/>
  <c r="G54" i="34"/>
  <c r="H54" i="34" s="1"/>
  <c r="F7" i="37"/>
  <c r="G65" i="40"/>
  <c r="H63" i="40"/>
  <c r="G52" i="21"/>
  <c r="H52" i="21" s="1"/>
  <c r="G53" i="21"/>
  <c r="H53" i="21" s="1"/>
  <c r="I52" i="21"/>
  <c r="J52" i="21" s="1"/>
  <c r="D3" i="21"/>
  <c r="D19" i="11"/>
  <c r="C19" i="11" s="1"/>
  <c r="D14" i="12"/>
  <c r="D3" i="34"/>
  <c r="E6" i="6"/>
  <c r="L18" i="9"/>
  <c r="D5" i="71"/>
  <c r="M20" i="43" s="1"/>
  <c r="C19" i="43" s="1"/>
  <c r="C19" i="67"/>
  <c r="C20" i="67" s="1"/>
  <c r="C26" i="67" s="1"/>
  <c r="J24" i="67"/>
  <c r="J26" i="67"/>
  <c r="J29" i="67" s="1"/>
  <c r="J18" i="67"/>
  <c r="C53" i="67"/>
  <c r="C48" i="67" s="1"/>
  <c r="C10" i="67"/>
  <c r="C5" i="67" s="1"/>
  <c r="J24" i="15"/>
  <c r="J18" i="15"/>
  <c r="J26" i="15"/>
  <c r="C53" i="15"/>
  <c r="C48" i="15" s="1"/>
  <c r="C10" i="15"/>
  <c r="C5" i="15" s="1"/>
  <c r="F22" i="11"/>
  <c r="F41" i="15"/>
  <c r="AC6" i="3" l="1"/>
  <c r="M16" i="1"/>
  <c r="F25" i="12"/>
  <c r="F24" i="67"/>
  <c r="C24" i="67" s="1"/>
  <c r="D3" i="37"/>
  <c r="C17" i="4"/>
  <c r="B4" i="52" s="1"/>
  <c r="B43" i="72" s="1"/>
  <c r="D3" i="33"/>
  <c r="B2" i="33" s="1"/>
  <c r="B3" i="33" s="1"/>
  <c r="M18" i="9"/>
  <c r="B118" i="9" s="1"/>
  <c r="B14" i="74" s="1"/>
  <c r="B1" i="74" s="1"/>
  <c r="S6" i="1"/>
  <c r="M19" i="6"/>
  <c r="K27" i="6"/>
  <c r="H6" i="3"/>
  <c r="E6" i="3" s="1"/>
  <c r="C38" i="69"/>
  <c r="C35" i="69"/>
  <c r="F24" i="15"/>
  <c r="C24" i="15" s="1"/>
  <c r="F22" i="69"/>
  <c r="F69" i="15"/>
  <c r="J29" i="15"/>
  <c r="D10" i="68"/>
  <c r="D10" i="11"/>
  <c r="C10" i="11" s="1"/>
  <c r="D10" i="69"/>
  <c r="D20" i="12"/>
  <c r="C20" i="12" s="1"/>
  <c r="C18" i="12" s="1"/>
  <c r="C8" i="74"/>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R24" i="6" s="1"/>
  <c r="D9" i="6"/>
  <c r="L19" i="9"/>
  <c r="H25" i="6"/>
  <c r="H21" i="6"/>
  <c r="AC7" i="37"/>
  <c r="V42" i="37" s="1"/>
  <c r="I42" i="37" s="1"/>
  <c r="W7" i="37"/>
  <c r="E42" i="35"/>
  <c r="F42" i="35" s="1"/>
  <c r="E43" i="35"/>
  <c r="F43" i="35" s="1"/>
  <c r="I43" i="35"/>
  <c r="J43" i="35" s="1"/>
  <c r="C50" i="34"/>
  <c r="B2" i="34" s="1"/>
  <c r="B3" i="34" s="1"/>
  <c r="C49" i="34"/>
  <c r="E53" i="21"/>
  <c r="F53" i="21" s="1"/>
  <c r="E52" i="21"/>
  <c r="F52" i="21" s="1"/>
  <c r="I70" i="39"/>
  <c r="J68" i="39"/>
  <c r="D17" i="12"/>
  <c r="C17" i="12" s="1"/>
  <c r="C14" i="12"/>
  <c r="C16" i="12" s="1"/>
  <c r="C20" i="11"/>
  <c r="C28" i="11" s="1"/>
  <c r="C27" i="11" s="1"/>
  <c r="H65" i="40"/>
  <c r="I63" i="40"/>
  <c r="S7" i="37"/>
  <c r="AA7" i="37"/>
  <c r="R42" i="37" s="1"/>
  <c r="U7" i="37"/>
  <c r="AB7" i="37"/>
  <c r="T42" i="37" s="1"/>
  <c r="G42" i="37" s="1"/>
  <c r="L46" i="36"/>
  <c r="C38" i="35"/>
  <c r="C39" i="35"/>
  <c r="B2" i="35" s="1"/>
  <c r="B3" i="35" s="1"/>
  <c r="E54" i="34"/>
  <c r="F54" i="34" s="1"/>
  <c r="E53" i="34"/>
  <c r="F53" i="34" s="1"/>
  <c r="C48" i="21"/>
  <c r="C49" i="21"/>
  <c r="B2" i="21" s="1"/>
  <c r="I54" i="34"/>
  <c r="J54"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C17" i="15"/>
  <c r="C19" i="9"/>
  <c r="M27" i="6" l="1"/>
  <c r="I19" i="6"/>
  <c r="AR6" i="1"/>
  <c r="E6" i="70"/>
  <c r="E2" i="70" s="1"/>
  <c r="S16" i="1"/>
  <c r="AQ6" i="1"/>
  <c r="T6" i="1"/>
  <c r="N16" i="1"/>
  <c r="C34" i="11"/>
  <c r="C34" i="68"/>
  <c r="L16" i="1"/>
  <c r="C102" i="9"/>
  <c r="B3" i="21"/>
  <c r="D16" i="6"/>
  <c r="D30" i="6"/>
  <c r="R22" i="6"/>
  <c r="C21" i="12"/>
  <c r="C22" i="12" s="1"/>
  <c r="G46" i="37"/>
  <c r="H46" i="37" s="1"/>
  <c r="G47" i="37"/>
  <c r="H47" i="37" s="1"/>
  <c r="R26" i="6"/>
  <c r="D8" i="74"/>
  <c r="C25" i="11"/>
  <c r="C22" i="11" s="1"/>
  <c r="C31" i="11" s="1"/>
  <c r="M46" i="36"/>
  <c r="E42" i="37"/>
  <c r="R43" i="37"/>
  <c r="I65" i="40"/>
  <c r="J63" i="40"/>
  <c r="K68" i="39"/>
  <c r="J70" i="39"/>
  <c r="I47" i="37"/>
  <c r="J47" i="37" s="1"/>
  <c r="I46" i="37"/>
  <c r="J46" i="37" s="1"/>
  <c r="C21" i="9"/>
  <c r="R25" i="6"/>
  <c r="R21" i="6"/>
  <c r="R23" i="6"/>
  <c r="A7" i="51"/>
  <c r="B7" i="72" s="1"/>
  <c r="A10" i="51"/>
  <c r="B9" i="72" s="1"/>
  <c r="C4" i="52"/>
  <c r="B45" i="72" s="1"/>
  <c r="D27" i="6"/>
  <c r="D31" i="6" s="1"/>
  <c r="C10" i="69"/>
  <c r="C8" i="69" s="1"/>
  <c r="C5" i="69" s="1"/>
  <c r="D19" i="69"/>
  <c r="C10" i="68"/>
  <c r="D19" i="68"/>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H107" i="9"/>
  <c r="C33" i="67"/>
  <c r="C31" i="67" s="1"/>
  <c r="J14" i="67"/>
  <c r="C57" i="67"/>
  <c r="C13" i="67"/>
  <c r="J19" i="67"/>
  <c r="J17" i="67" s="1"/>
  <c r="Q49" i="67"/>
  <c r="C36" i="67"/>
  <c r="J59" i="67"/>
  <c r="J60" i="67" s="1"/>
  <c r="C14" i="15"/>
  <c r="C20" i="9"/>
  <c r="C18" i="15" l="1"/>
  <c r="C15" i="15"/>
  <c r="C19" i="15" s="1"/>
  <c r="C35" i="68"/>
  <c r="C38" i="68"/>
  <c r="F50" i="11"/>
  <c r="F50" i="68"/>
  <c r="F50" i="69"/>
  <c r="S19" i="6"/>
  <c r="S27" i="6" s="1"/>
  <c r="H19" i="6"/>
  <c r="I27" i="6"/>
  <c r="C35" i="11"/>
  <c r="C38" i="11"/>
  <c r="C33" i="11" s="1"/>
  <c r="T16" i="1"/>
  <c r="C103" i="9"/>
  <c r="C30" i="12"/>
  <c r="C28" i="12" s="1"/>
  <c r="C27" i="12"/>
  <c r="C25" i="12" s="1"/>
  <c r="C23" i="69"/>
  <c r="K63" i="40"/>
  <c r="J65" i="40"/>
  <c r="C42" i="37"/>
  <c r="C43" i="37"/>
  <c r="B2" i="37" s="1"/>
  <c r="B3" i="37" s="1"/>
  <c r="C19" i="68"/>
  <c r="D37" i="68"/>
  <c r="C37" i="68" s="1"/>
  <c r="C19" i="69"/>
  <c r="C24" i="69" s="1"/>
  <c r="D37" i="69"/>
  <c r="C37" i="69" s="1"/>
  <c r="C33" i="69" s="1"/>
  <c r="I6" i="6"/>
  <c r="I5" i="6"/>
  <c r="K70" i="39"/>
  <c r="L68" i="39"/>
  <c r="E46" i="37"/>
  <c r="F46" i="37" s="1"/>
  <c r="E47" i="37"/>
  <c r="F47" i="37" s="1"/>
  <c r="N46" i="36"/>
  <c r="C26" i="43"/>
  <c r="B2" i="43" s="1"/>
  <c r="C27" i="43"/>
  <c r="Q48" i="67"/>
  <c r="C75" i="67"/>
  <c r="C37" i="67"/>
  <c r="C30" i="67" s="1"/>
  <c r="C39" i="67" s="1"/>
  <c r="Q70" i="67"/>
  <c r="C56" i="67"/>
  <c r="C65" i="67" s="1"/>
  <c r="J13" i="67"/>
  <c r="J23" i="67" s="1"/>
  <c r="J22" i="67"/>
  <c r="H108" i="9"/>
  <c r="D15" i="53" s="1"/>
  <c r="B31" i="72" s="1"/>
  <c r="D13" i="53"/>
  <c r="D122" i="9"/>
  <c r="Q48" i="15"/>
  <c r="C61" i="67"/>
  <c r="C59" i="67" s="1"/>
  <c r="C64" i="67"/>
  <c r="B6" i="76"/>
  <c r="E6" i="76"/>
  <c r="C33" i="68" l="1"/>
  <c r="C42" i="68" s="1"/>
  <c r="C39" i="11"/>
  <c r="C42" i="11"/>
  <c r="H27" i="6"/>
  <c r="R19" i="6"/>
  <c r="C20" i="15"/>
  <c r="C26" i="15" s="1"/>
  <c r="C23" i="15"/>
  <c r="C29" i="15" s="1"/>
  <c r="C32" i="12"/>
  <c r="B2" i="12" s="1"/>
  <c r="B3" i="12" s="1"/>
  <c r="C20" i="68"/>
  <c r="C24" i="68"/>
  <c r="K65" i="40"/>
  <c r="L63" i="40"/>
  <c r="O46" i="36"/>
  <c r="H7" i="36"/>
  <c r="M68" i="39"/>
  <c r="L70" i="39"/>
  <c r="C39" i="69"/>
  <c r="C42" i="69"/>
  <c r="C39" i="68"/>
  <c r="C43" i="68" s="1"/>
  <c r="C20" i="69"/>
  <c r="C25" i="69" s="1"/>
  <c r="C22" i="69" s="1"/>
  <c r="E2" i="76"/>
  <c r="B2" i="76"/>
  <c r="B3" i="43"/>
  <c r="J16" i="67"/>
  <c r="J25" i="67" s="1"/>
  <c r="C40" i="67"/>
  <c r="Q69" i="67"/>
  <c r="Q68" i="67" s="1"/>
  <c r="C58" i="67"/>
  <c r="C67" i="67" s="1"/>
  <c r="C68" i="67" s="1"/>
  <c r="D14" i="53"/>
  <c r="B32" i="72" s="1"/>
  <c r="B30" i="72"/>
  <c r="C80" i="67"/>
  <c r="C79" i="67" s="1"/>
  <c r="G14" i="74"/>
  <c r="B6" i="74" s="1"/>
  <c r="D123" i="9"/>
  <c r="D9" i="52" s="1"/>
  <c r="D8" i="52"/>
  <c r="L51" i="67"/>
  <c r="Q49" i="15" l="1"/>
  <c r="J14" i="15"/>
  <c r="J19" i="15"/>
  <c r="C57" i="15"/>
  <c r="C13" i="15"/>
  <c r="C36" i="15"/>
  <c r="R27" i="6"/>
  <c r="R6" i="1"/>
  <c r="C46" i="11"/>
  <c r="C45" i="11" s="1"/>
  <c r="C43" i="11"/>
  <c r="C41" i="11" s="1"/>
  <c r="C49" i="11" s="1"/>
  <c r="C51" i="11" s="1"/>
  <c r="C41" i="68"/>
  <c r="C46" i="68"/>
  <c r="C45" i="68" s="1"/>
  <c r="C46" i="69"/>
  <c r="C45" i="69" s="1"/>
  <c r="C43" i="69"/>
  <c r="C41" i="69" s="1"/>
  <c r="M70" i="39"/>
  <c r="N68" i="39"/>
  <c r="F7" i="36"/>
  <c r="J7" i="36"/>
  <c r="M63" i="40"/>
  <c r="L65" i="40"/>
  <c r="AB7" i="36"/>
  <c r="T36" i="36" s="1"/>
  <c r="G36" i="36" s="1"/>
  <c r="U7" i="36"/>
  <c r="C28" i="69"/>
  <c r="C27" i="69" s="1"/>
  <c r="C31" i="69" s="1"/>
  <c r="C28" i="68"/>
  <c r="C27" i="68" s="1"/>
  <c r="C25" i="68"/>
  <c r="C22" i="68" s="1"/>
  <c r="B3" i="76"/>
  <c r="Q67" i="67"/>
  <c r="L57" i="67"/>
  <c r="L60" i="67" s="1"/>
  <c r="L46" i="67" s="1"/>
  <c r="D2" i="67" s="1"/>
  <c r="C6" i="74"/>
  <c r="D6" i="74"/>
  <c r="C71" i="67"/>
  <c r="C45" i="67"/>
  <c r="C46" i="67" s="1"/>
  <c r="Q56" i="67"/>
  <c r="Q47" i="67"/>
  <c r="Q53" i="67" s="1"/>
  <c r="Q65" i="67"/>
  <c r="C43" i="67"/>
  <c r="C83" i="67"/>
  <c r="C82" i="67" s="1"/>
  <c r="F35" i="15"/>
  <c r="M21" i="15"/>
  <c r="J20" i="15" l="1"/>
  <c r="J17" i="15" s="1"/>
  <c r="C34" i="15"/>
  <c r="C31" i="15" s="1"/>
  <c r="F63" i="15"/>
  <c r="C62" i="15" s="1"/>
  <c r="C52" i="11"/>
  <c r="B2" i="11" s="1"/>
  <c r="B3" i="11" s="1"/>
  <c r="R16" i="1"/>
  <c r="C61" i="15"/>
  <c r="C64" i="15"/>
  <c r="J13" i="15"/>
  <c r="J23" i="15" s="1"/>
  <c r="J22" i="15"/>
  <c r="Q70" i="15"/>
  <c r="C37" i="15"/>
  <c r="C56" i="15"/>
  <c r="C65" i="15" s="1"/>
  <c r="C75" i="15"/>
  <c r="C49" i="69"/>
  <c r="C51" i="69" s="1"/>
  <c r="C52" i="69" s="1"/>
  <c r="B2" i="69" s="1"/>
  <c r="B3" i="69" s="1"/>
  <c r="C49" i="68"/>
  <c r="C51" i="68" s="1"/>
  <c r="C31" i="68"/>
  <c r="W7" i="36"/>
  <c r="AC7" i="36"/>
  <c r="V36" i="36" s="1"/>
  <c r="I36" i="36" s="1"/>
  <c r="O68" i="39"/>
  <c r="O70" i="39" s="1"/>
  <c r="N70" i="39"/>
  <c r="G40" i="36"/>
  <c r="H40" i="36" s="1"/>
  <c r="G41" i="36"/>
  <c r="H41" i="36" s="1"/>
  <c r="N63" i="40"/>
  <c r="M65" i="40"/>
  <c r="S7" i="36"/>
  <c r="AA7" i="36"/>
  <c r="R36" i="36" s="1"/>
  <c r="Q66" i="67"/>
  <c r="Q75" i="67" s="1"/>
  <c r="Q57" i="67"/>
  <c r="Q62" i="67" s="1"/>
  <c r="B2" i="67"/>
  <c r="B3" i="67"/>
  <c r="C59" i="15" l="1"/>
  <c r="C58" i="15" s="1"/>
  <c r="C67" i="15" s="1"/>
  <c r="C68" i="15" s="1"/>
  <c r="C56" i="11"/>
  <c r="C57" i="11" s="1"/>
  <c r="C30" i="15"/>
  <c r="C39" i="15" s="1"/>
  <c r="J16" i="15"/>
  <c r="J25" i="15" s="1"/>
  <c r="C57" i="69"/>
  <c r="C56" i="69" s="1"/>
  <c r="C52" i="68"/>
  <c r="E36" i="36"/>
  <c r="R37" i="36"/>
  <c r="H7" i="39"/>
  <c r="F7" i="39"/>
  <c r="J7" i="39"/>
  <c r="O63" i="40"/>
  <c r="O65" i="40" s="1"/>
  <c r="N65" i="40"/>
  <c r="I41" i="36"/>
  <c r="J41" i="36" s="1"/>
  <c r="I40" i="36"/>
  <c r="J40" i="36" s="1"/>
  <c r="C40" i="15" l="1"/>
  <c r="C46" i="15" s="1"/>
  <c r="Q69" i="15"/>
  <c r="Q68" i="15" s="1"/>
  <c r="C71" i="15"/>
  <c r="C80" i="15"/>
  <c r="C79" i="15" s="1"/>
  <c r="B2" i="68"/>
  <c r="B3" i="68" s="1"/>
  <c r="C57" i="68"/>
  <c r="C56" i="68" s="1"/>
  <c r="J7" i="40"/>
  <c r="F7" i="40"/>
  <c r="H7" i="40"/>
  <c r="S7" i="39"/>
  <c r="AA7" i="39"/>
  <c r="R47" i="39" s="1"/>
  <c r="C36" i="36"/>
  <c r="C37" i="36"/>
  <c r="B2" i="36" s="1"/>
  <c r="B3" i="36" s="1"/>
  <c r="AC7" i="39"/>
  <c r="V47" i="39" s="1"/>
  <c r="I47" i="39" s="1"/>
  <c r="W7" i="39"/>
  <c r="AB7" i="39"/>
  <c r="T47" i="39" s="1"/>
  <c r="G47" i="39" s="1"/>
  <c r="U7" i="39"/>
  <c r="E40" i="36"/>
  <c r="F40" i="36" s="1"/>
  <c r="E41" i="36"/>
  <c r="F41" i="36" s="1"/>
  <c r="L51" i="15"/>
  <c r="Q67" i="15" l="1"/>
  <c r="L57" i="15"/>
  <c r="L60" i="15" s="1"/>
  <c r="Q65" i="15"/>
  <c r="Q56" i="15"/>
  <c r="Q47" i="15"/>
  <c r="Q53" i="15" s="1"/>
  <c r="C43" i="15"/>
  <c r="C83" i="15"/>
  <c r="C82" i="15" s="1"/>
  <c r="E47" i="39"/>
  <c r="R48" i="39"/>
  <c r="G51" i="39"/>
  <c r="H51" i="39" s="1"/>
  <c r="G52" i="39"/>
  <c r="H52" i="39" s="1"/>
  <c r="I51" i="39"/>
  <c r="J51" i="39" s="1"/>
  <c r="I52" i="39"/>
  <c r="J52" i="39" s="1"/>
  <c r="S7" i="40"/>
  <c r="AA7" i="40"/>
  <c r="R42" i="40" s="1"/>
  <c r="U7" i="40"/>
  <c r="AB7" i="40"/>
  <c r="T42" i="40" s="1"/>
  <c r="G42" i="40" s="1"/>
  <c r="W7" i="40"/>
  <c r="AC7" i="40"/>
  <c r="V42" i="40" s="1"/>
  <c r="I42" i="40" s="1"/>
  <c r="L46" i="15" l="1"/>
  <c r="B2" i="15" s="1"/>
  <c r="Q57" i="15"/>
  <c r="Q62" i="15" s="1"/>
  <c r="Q66" i="15"/>
  <c r="Q75" i="15" s="1"/>
  <c r="I46" i="40"/>
  <c r="J46" i="40" s="1"/>
  <c r="E42" i="40"/>
  <c r="I47" i="40" s="1"/>
  <c r="J47" i="40" s="1"/>
  <c r="R43" i="40"/>
  <c r="C48" i="39"/>
  <c r="C47" i="39"/>
  <c r="G46" i="40"/>
  <c r="H46" i="40" s="1"/>
  <c r="G47" i="40"/>
  <c r="H47" i="40" s="1"/>
  <c r="E51" i="39"/>
  <c r="F51" i="39" s="1"/>
  <c r="E52" i="39"/>
  <c r="F52" i="39" s="1"/>
  <c r="AO6" i="1"/>
  <c r="D19" i="9"/>
  <c r="D102" i="9" l="1"/>
  <c r="D22" i="9"/>
  <c r="G19" i="9"/>
  <c r="D21" i="9"/>
  <c r="B6" i="70"/>
  <c r="B2" i="70" s="1"/>
  <c r="B3" i="70" s="1"/>
  <c r="B3" i="15"/>
  <c r="C43" i="40"/>
  <c r="C42" i="40"/>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47" i="40"/>
  <c r="F47" i="40" s="1"/>
  <c r="E46" i="40"/>
  <c r="F46" i="40" s="1"/>
  <c r="D20" i="9"/>
  <c r="G20" i="9" l="1"/>
  <c r="D103" i="9"/>
  <c r="C32" i="9"/>
  <c r="G21"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35" i="9" l="1"/>
  <c r="F118" i="9" s="1"/>
  <c r="H118" i="9"/>
  <c r="C34" i="9"/>
  <c r="D118" i="9" s="1"/>
  <c r="H119" i="9" l="1"/>
  <c r="H5" i="52" s="1"/>
  <c r="I118" i="9"/>
  <c r="H4" i="52"/>
  <c r="D14" i="74"/>
  <c r="C104" i="9"/>
  <c r="H101" i="9"/>
  <c r="D4" i="52"/>
  <c r="B47" i="72" s="1"/>
  <c r="D119" i="9"/>
  <c r="D5" i="52" s="1"/>
  <c r="B49" i="72" s="1"/>
  <c r="G118" i="9"/>
  <c r="G4" i="52" s="1"/>
  <c r="B52" i="72" s="1"/>
  <c r="F4" i="52"/>
  <c r="B51" i="72" s="1"/>
  <c r="F119" i="9"/>
  <c r="F5" i="52" s="1"/>
  <c r="B53" i="72" s="1"/>
  <c r="H109" i="9" l="1"/>
  <c r="D45" i="9"/>
  <c r="D5" i="53"/>
  <c r="M48" i="9"/>
  <c r="E14" i="74"/>
  <c r="B5" i="74"/>
  <c r="F14" i="74"/>
  <c r="H102" i="9"/>
  <c r="D7" i="53" s="1"/>
  <c r="B21" i="72" s="1"/>
  <c r="E118" i="9"/>
  <c r="E4" i="52" s="1"/>
  <c r="B48" i="72" s="1"/>
  <c r="C105" i="9"/>
  <c r="I4" i="52"/>
  <c r="D5" i="74" l="1"/>
  <c r="C5" i="74"/>
  <c r="C64" i="9"/>
  <c r="C63" i="9" s="1"/>
  <c r="C67" i="9" s="1"/>
  <c r="C68" i="9" s="1"/>
  <c r="D54" i="9" s="1"/>
  <c r="D48" i="9" s="1"/>
  <c r="M52" i="9" s="1"/>
  <c r="C85" i="9"/>
  <c r="D55" i="9"/>
  <c r="M53" i="9" s="1"/>
  <c r="C78" i="9"/>
  <c r="C73" i="9" s="1"/>
  <c r="D52" i="9"/>
  <c r="C72" i="9"/>
  <c r="C79" i="9" s="1"/>
  <c r="C93" i="9"/>
  <c r="C86" i="9" s="1"/>
  <c r="D53" i="9"/>
  <c r="D6" i="53"/>
  <c r="B22" i="72" s="1"/>
  <c r="B20" i="72"/>
  <c r="D124" i="9"/>
  <c r="H110" i="9"/>
  <c r="D18" i="53" s="1"/>
  <c r="B35" i="72" s="1"/>
  <c r="D16" i="53"/>
  <c r="M49" i="9"/>
  <c r="L66" i="9" l="1"/>
  <c r="M66" i="9" s="1"/>
  <c r="L67" i="9"/>
  <c r="M67" i="9" s="1"/>
  <c r="L63" i="9"/>
  <c r="M63" i="9" s="1"/>
  <c r="L65" i="9"/>
  <c r="M65" i="9" s="1"/>
  <c r="L68" i="9"/>
  <c r="M68" i="9" s="1"/>
  <c r="L64" i="9"/>
  <c r="M64" i="9" s="1"/>
  <c r="C80" i="9"/>
  <c r="E80" i="9" s="1"/>
  <c r="E81" i="9" s="1"/>
  <c r="C95" i="9"/>
  <c r="B34" i="72"/>
  <c r="D17" i="53"/>
  <c r="B36" i="72" s="1"/>
  <c r="D10" i="52"/>
  <c r="H14" i="74"/>
  <c r="B7" i="74" s="1"/>
  <c r="D125" i="9"/>
  <c r="D11" i="52" s="1"/>
  <c r="C96" i="9" l="1"/>
  <c r="E96" i="9" s="1"/>
  <c r="E97" i="9" s="1"/>
  <c r="C97" i="9"/>
  <c r="C7" i="74"/>
  <c r="D7" i="74"/>
  <c r="C81"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<sst xmlns="http://schemas.openxmlformats.org/spreadsheetml/2006/main" count="7373" uniqueCount="3090">
  <si>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</si>
  <si>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</si>
  <si>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</si>
  <si>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</si>
  <si>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</si>
  <si>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</si>
  <si>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</si>
  <si>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</si>
  <si>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</si>
  <si>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</si>
  <si>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</si>
  <si>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</si>
  <si>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</si>
  <si>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</si>
  <si>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</si>
  <si>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</si>
  <si>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</si>
  <si>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</si>
  <si>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</si>
  <si>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</si>
  <si>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</si>
  <si>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</si>
  <si>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</si>
  <si>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</si>
  <si>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</si>
  <si>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</si>
  <si>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</si>
  <si>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</si>
  <si>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</si>
  <si>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</si>
  <si>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</si>
  <si>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</si>
  <si>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</si>
  <si>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</si>
  <si>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</si>
  <si>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</si>
  <si>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</si>
  <si>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</si>
  <si>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</si>
  <si>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</si>
  <si>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</si>
  <si>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</si>
  <si>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</si>
  <si>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</si>
  <si>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</si>
  <si>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</si>
  <si>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</si>
  <si>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</si>
  <si>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</si>
  <si>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</si>
  <si>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</si>
  <si>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</si>
  <si>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</si>
  <si>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</si>
  <si>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</si>
  <si>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</si>
  <si>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</si>
  <si>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</si>
  <si>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</si>
  <si>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</si>
  <si>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</si>
  <si>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</si>
  <si>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</si>
  <si>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</si>
  <si>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</si>
  <si>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</si>
  <si>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</si>
  <si>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</si>
  <si>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</si>
  <si>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</si>
  <si>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</si>
  <si>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</si>
  <si>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</si>
  <si>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</si>
  <si>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</si>
  <si>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</si>
  <si>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</si>
  <si>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</si>
  <si>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</si>
  <si>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</si>
  <si>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</si>
  <si>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</si>
  <si>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</si>
  <si>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</si>
  <si>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</si>
  <si>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</si>
  <si>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</si>
  <si>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</si>
  <si>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</si>
  <si>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</si>
  <si>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</si>
  <si>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</si>
  <si>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</si>
  <si>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</si>
  <si>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</si>
  <si>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</si>
  <si>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</si>
  <si>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</si>
  <si>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</si>
  <si>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</si>
  <si>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</si>
  <si>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</si>
  <si>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</si>
  <si>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</si>
  <si>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</si>
  <si>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</si>
  <si>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</si>
  <si>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</si>
  <si>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</si>
  <si>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</si>
  <si>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</si>
  <si>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</si>
  <si>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</si>
  <si>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</si>
  <si>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</si>
  <si>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</si>
  <si>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</si>
  <si>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</si>
  <si>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</si>
  <si>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</si>
  <si>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</si>
  <si>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</si>
  <si>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</si>
  <si>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</si>
  <si>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</si>
  <si>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</si>
  <si>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</si>
  <si>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</si>
  <si>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</si>
  <si>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</si>
  <si>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</si>
  <si>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</si>
  <si>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</si>
  <si>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</si>
  <si>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</si>
  <si>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</si>
  <si>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</si>
  <si>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</si>
  <si>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</si>
  <si>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</si>
  <si>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</si>
  <si>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</si>
  <si>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</si>
  <si>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</si>
  <si>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</si>
  <si>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</si>
  <si>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</si>
  <si>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</si>
  <si>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</si>
  <si>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</si>
  <si>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</si>
  <si>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</si>
  <si>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</si>
  <si>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</si>
  <si>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</si>
  <si>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</si>
  <si>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</si>
  <si>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</si>
  <si>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</si>
  <si>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</si>
  <si>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</si>
  <si>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</si>
  <si>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</si>
  <si>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</si>
  <si>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</si>
  <si>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</si>
  <si>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</si>
  <si>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</si>
  <si>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</si>
  <si>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</si>
  <si>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</si>
  <si>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</si>
  <si>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</si>
  <si>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</si>
  <si>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</si>
  <si>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</si>
  <si>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</si>
  <si>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</si>
  <si>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</si>
  <si>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</si>
  <si>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</si>
  <si>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</si>
  <si>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</si>
  <si>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</si>
  <si>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</si>
  <si>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</si>
  <si>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</si>
  <si>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</si>
  <si>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</si>
  <si>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</si>
  <si>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</si>
  <si>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</si>
  <si>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</si>
  <si>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</si>
  <si>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</si>
  <si>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</si>
  <si>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</si>
  <si>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</si>
  <si>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</si>
  <si>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</si>
  <si>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</si>
  <si>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</si>
  <si>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</si>
  <si>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</si>
  <si>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</si>
  <si>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</si>
  <si>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</si>
  <si>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</si>
  <si>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</si>
  <si>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</si>
  <si>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</si>
  <si>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</si>
  <si>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</si>
  <si>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</si>
  <si>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</si>
  <si>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</si>
  <si>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</si>
  <si>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</si>
  <si>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</si>
  <si>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</si>
  <si>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</si>
  <si>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</si>
  <si>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</si>
  <si>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</si>
  <si>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</si>
  <si>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</si>
  <si>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</si>
  <si>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</si>
  <si>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</si>
  <si>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</si>
  <si>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</si>
  <si>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</si>
  <si>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</si>
  <si>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</si>
  <si>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</si>
  <si>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</si>
  <si>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</si>
  <si>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</si>
  <si>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</si>
  <si>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</si>
  <si>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</si>
  <si>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</si>
  <si>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</si>
  <si>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</si>
  <si>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</si>
  <si>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</si>
  <si>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</si>
  <si>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</si>
  <si>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</si>
  <si>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</si>
  <si>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</si>
  <si>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</si>
  <si>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</si>
  <si>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</si>
  <si>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</si>
  <si>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</si>
  <si>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</si>
  <si>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</si>
  <si>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</si>
  <si>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</si>
  <si>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</si>
  <si>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</si>
  <si>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</si>
  <si>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</si>
  <si>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</si>
  <si>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</si>
  <si>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</si>
  <si>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</si>
  <si>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</si>
  <si>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</si>
  <si>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</si>
  <si>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</si>
  <si>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</si>
  <si>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</si>
  <si>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</si>
  <si>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</si>
  <si>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</si>
  <si>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</si>
  <si>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</si>
  <si>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</si>
  <si>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</si>
  <si>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</si>
  <si>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</si>
  <si>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</si>
  <si>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</si>
  <si>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</si>
  <si>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</si>
  <si>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</si>
  <si>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</si>
  <si>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</si>
  <si>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</si>
  <si>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</si>
  <si>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</si>
  <si>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</si>
  <si>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</si>
  <si>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</si>
  <si>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</si>
  <si>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</si>
  <si>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</si>
  <si>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</si>
  <si>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</si>
  <si>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</si>
  <si>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</si>
  <si>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</si>
  <si>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</si>
  <si>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</si>
  <si>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</si>
  <si>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</si>
  <si>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</si>
  <si>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</si>
  <si>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</si>
  <si>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</si>
  <si>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</si>
  <si>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</si>
  <si>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</si>
  <si>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</si>
  <si>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</si>
  <si>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</si>
  <si>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</si>
  <si>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</si>
  <si>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</si>
  <si>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</si>
  <si>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</si>
  <si>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</si>
  <si>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</si>
  <si>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</si>
  <si>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</si>
  <si>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</si>
  <si>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</si>
  <si>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</si>
  <si>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</si>
  <si>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</si>
  <si>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</si>
  <si>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</si>
  <si>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</si>
  <si>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</si>
  <si>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</si>
  <si>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</si>
  <si>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</si>
  <si>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</si>
  <si>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</si>
  <si>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</si>
  <si>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</si>
  <si>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</si>
  <si>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</si>
  <si>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</si>
  <si>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</si>
  <si>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</si>
  <si>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</si>
  <si>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</si>
  <si>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</si>
  <si>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</si>
  <si>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</si>
  <si>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</si>
  <si>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</si>
  <si>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</si>
  <si>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</si>
  <si>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</si>
  <si>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</si>
  <si>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</si>
  <si>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</si>
  <si>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</si>
  <si>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</si>
  <si>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</si>
  <si>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</si>
  <si>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</si>
  <si>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</si>
  <si>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</si>
  <si>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</si>
  <si>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</si>
  <si>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</si>
  <si>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</si>
  <si>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</si>
  <si>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</si>
  <si>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</si>
  <si>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</si>
  <si>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</si>
  <si>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</si>
  <si>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</si>
  <si>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</si>
  <si>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</si>
  <si>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</si>
  <si>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</si>
  <si>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</si>
  <si>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</si>
  <si>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</si>
  <si>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</si>
  <si>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</si>
  <si>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</si>
  <si>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</si>
  <si>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</si>
  <si>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</si>
  <si>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</si>
  <si>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</si>
  <si>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</si>
  <si>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</si>
  <si>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</si>
  <si>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</si>
  <si>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</si>
  <si>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</si>
  <si>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</si>
  <si>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</si>
  <si>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</si>
  <si>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</si>
  <si>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</si>
  <si>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</si>
  <si>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</si>
  <si>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</si>
  <si>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</si>
  <si>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</si>
  <si>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</si>
  <si>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</si>
  <si>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</si>
  <si>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</si>
  <si>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</si>
  <si>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</si>
  <si>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</si>
  <si>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</si>
  <si>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</si>
  <si>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</si>
  <si>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</si>
  <si>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</si>
  <si>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</si>
  <si>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</si>
  <si>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</si>
  <si>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</si>
  <si>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</si>
  <si>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</si>
  <si>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</si>
  <si>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</si>
  <si>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</si>
  <si>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</si>
  <si>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</si>
  <si>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</si>
  <si>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</si>
  <si>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</si>
  <si>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</si>
  <si>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</si>
  <si>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</si>
  <si>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</si>
  <si>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</si>
  <si>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</si>
  <si>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</si>
  <si>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</si>
  <si>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</si>
  <si>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</si>
  <si>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</si>
  <si>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</si>
  <si>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</si>
  <si>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</si>
  <si>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</si>
  <si>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</si>
  <si>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</si>
  <si>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</si>
  <si>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</si>
  <si>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</si>
  <si>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</si>
  <si>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</si>
  <si>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</si>
  <si>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</si>
  <si>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</si>
  <si>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</si>
  <si>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</si>
  <si>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</si>
  <si>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</si>
  <si>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</si>
  <si>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</si>
  <si>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</si>
  <si>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</si>
  <si>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</si>
  <si>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</si>
  <si>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</si>
  <si>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</si>
  <si>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</si>
  <si>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</si>
  <si>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</si>
  <si>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</si>
  <si>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</si>
  <si>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</si>
  <si>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</si>
  <si>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</si>
  <si>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</si>
  <si>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</si>
  <si>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</si>
  <si>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</si>
  <si>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</si>
  <si>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</si>
  <si>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</si>
  <si>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</si>
  <si>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</si>
  <si>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</si>
  <si>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</si>
  <si>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</si>
  <si>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</si>
  <si>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</si>
  <si>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</si>
  <si>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</si>
  <si>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</si>
  <si>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</si>
  <si>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</si>
  <si>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</si>
  <si>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</si>
  <si>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</si>
  <si>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</si>
  <si>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</si>
  <si>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</si>
  <si>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</si>
  <si>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</si>
  <si>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</si>
  <si>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</si>
  <si>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</si>
  <si>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</si>
  <si>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</si>
  <si>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</si>
  <si>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</si>
  <si>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</si>
  <si>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</si>
  <si>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</si>
  <si>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</si>
  <si>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</si>
  <si>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</si>
  <si>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</si>
  <si>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</si>
  <si>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</si>
  <si>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</si>
  <si>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</si>
  <si>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</si>
  <si>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</si>
  <si>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</si>
  <si>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</si>
  <si>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</si>
  <si>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</si>
  <si>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</si>
  <si>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</si>
  <si>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</si>
  <si>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</si>
  <si>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</si>
  <si>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</si>
  <si>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</si>
  <si>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</si>
  <si>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</si>
  <si>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</si>
  <si>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</si>
  <si>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</si>
  <si>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</si>
  <si>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</si>
  <si>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</si>
  <si>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</si>
  <si>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</si>
  <si>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</si>
  <si>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</si>
  <si>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</si>
  <si>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</si>
  <si>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</si>
  <si>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</si>
  <si>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</si>
  <si>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</si>
  <si>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</si>
  <si>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</si>
  <si>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</si>
  <si>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</si>
  <si>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</si>
  <si>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</si>
  <si>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</si>
  <si>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</si>
  <si>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</si>
  <si>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</si>
  <si>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</si>
  <si>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</si>
  <si>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</si>
  <si>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</si>
  <si>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</si>
  <si>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</si>
  <si>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</si>
  <si>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</si>
  <si>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</si>
  <si>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</si>
  <si>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</si>
  <si>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</si>
  <si>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</si>
  <si>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</si>
  <si>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</si>
  <si>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</si>
  <si>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</si>
  <si>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</si>
  <si>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</si>
  <si>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</si>
  <si>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</si>
  <si>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</si>
  <si>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</si>
  <si>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</si>
  <si>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</si>
  <si>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</si>
  <si>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</si>
  <si>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</si>
  <si>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</si>
  <si>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</si>
  <si>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</si>
  <si>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</si>
  <si>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</si>
  <si>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</si>
  <si>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</si>
  <si>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</si>
  <si>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</si>
  <si>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</si>
  <si>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</si>
  <si>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</si>
  <si>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</si>
  <si>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</si>
  <si>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</si>
  <si>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</si>
  <si>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</si>
  <si>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</si>
  <si>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</si>
  <si>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</si>
  <si>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</si>
  <si>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</si>
  <si>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</si>
  <si>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</si>
  <si>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</si>
  <si>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</si>
  <si>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</si>
  <si>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</si>
  <si>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</si>
  <si>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</si>
  <si>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</si>
  <si>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</si>
  <si>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</si>
  <si>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</si>
  <si>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</si>
  <si>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</si>
  <si>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</si>
  <si>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</si>
  <si>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</si>
  <si>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</si>
  <si>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</si>
  <si>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</si>
  <si>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</si>
  <si>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</si>
  <si>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</si>
  <si>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</si>
  <si>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</si>
  <si>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</si>
  <si>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</si>
  <si>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</si>
  <si>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</si>
  <si>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</si>
  <si>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</si>
  <si>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</si>
  <si>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</si>
  <si>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</si>
  <si>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</si>
  <si>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</si>
  <si>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</si>
  <si>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</si>
  <si>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</si>
  <si>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</si>
  <si>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</si>
  <si>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</si>
  <si>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</si>
  <si>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</si>
  <si>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</si>
  <si>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</si>
  <si>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</si>
  <si>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</si>
  <si>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</si>
  <si>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</si>
  <si>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</si>
  <si>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</si>
  <si>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</si>
  <si>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</si>
  <si>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</si>
  <si>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</si>
  <si>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</si>
  <si>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</si>
  <si>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</si>
  <si>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</si>
  <si>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</si>
  <si>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</si>
  <si>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</si>
  <si>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</si>
  <si>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</si>
  <si>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</si>
  <si>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</si>
  <si>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</si>
  <si>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</si>
  <si>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</si>
  <si>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</si>
  <si>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</si>
  <si>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</si>
  <si>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</si>
  <si>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</si>
  <si>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</si>
  <si>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</si>
  <si>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</si>
  <si>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</si>
  <si>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</si>
  <si>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</si>
  <si>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</si>
  <si>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</si>
  <si>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</si>
  <si>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</si>
  <si>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</si>
  <si>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</si>
  <si>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</si>
  <si>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</si>
  <si>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</si>
  <si>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</si>
  <si>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</si>
  <si>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</si>
  <si>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</si>
  <si>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</si>
  <si>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</si>
  <si>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</si>
  <si>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</si>
  <si>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</si>
  <si>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</si>
  <si>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</si>
  <si>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</si>
  <si>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</si>
  <si>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</si>
  <si>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</si>
  <si>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</si>
  <si>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</si>
  <si>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</si>
  <si>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</si>
  <si>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</si>
  <si>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</si>
  <si>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</si>
  <si>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</si>
  <si>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</si>
  <si>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</si>
  <si>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</si>
  <si>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</si>
  <si>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</si>
  <si>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</si>
  <si>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</si>
  <si>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</si>
  <si>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</si>
  <si>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</si>
  <si>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</si>
  <si>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</si>
  <si>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</si>
  <si>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</si>
  <si>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</si>
  <si>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</si>
  <si>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</si>
  <si>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</si>
  <si>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</si>
  <si>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</si>
  <si>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</si>
  <si>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</si>
  <si>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</si>
  <si>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</si>
  <si>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</si>
  <si>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</si>
  <si>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</si>
  <si>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</si>
  <si>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</si>
  <si>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</si>
  <si>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</si>
  <si>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</si>
  <si>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</si>
  <si>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</si>
  <si>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</si>
  <si>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</si>
  <si>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</si>
  <si>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</si>
  <si>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</si>
  <si>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</si>
  <si>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</si>
  <si>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</si>
  <si>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</si>
  <si>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</si>
  <si>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</si>
  <si>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</si>
  <si>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</si>
  <si>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</si>
  <si>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</si>
  <si>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</si>
  <si>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</si>
  <si>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</si>
  <si>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</si>
  <si>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</si>
  <si>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</si>
  <si>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</si>
  <si>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</si>
  <si>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</si>
  <si>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</si>
  <si>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</si>
  <si>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</si>
  <si>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</si>
  <si>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</si>
  <si>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</si>
  <si>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</si>
  <si>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</si>
  <si>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</si>
  <si>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</si>
  <si>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</si>
  <si>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</si>
  <si>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</si>
  <si>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</si>
  <si>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</si>
  <si>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</si>
  <si>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</si>
  <si>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</si>
  <si>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</si>
  <si>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</si>
  <si>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</si>
  <si>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</si>
  <si>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</si>
  <si>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</si>
  <si>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</si>
  <si>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</si>
  <si>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</si>
  <si>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</si>
  <si>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</si>
  <si>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</si>
  <si>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</si>
  <si>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</si>
  <si>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</si>
  <si>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</si>
  <si>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</si>
  <si>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</si>
  <si>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</si>
  <si>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</si>
  <si>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</si>
  <si>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</si>
  <si>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</si>
  <si>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</si>
  <si>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</si>
  <si>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</si>
  <si>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</si>
  <si>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</si>
  <si>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</si>
  <si>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</si>
  <si>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</si>
  <si>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</si>
  <si>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</si>
  <si>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</si>
  <si>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</si>
  <si>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</si>
  <si>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</si>
  <si>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</si>
  <si>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</si>
  <si>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</si>
  <si>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</si>
  <si>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</si>
  <si>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</si>
  <si>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</si>
  <si>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</si>
  <si>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</si>
  <si>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</si>
  <si>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</si>
  <si>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</si>
  <si>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</si>
  <si>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</si>
  <si>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</si>
  <si>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</si>
  <si>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</si>
  <si>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</si>
  <si>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</si>
  <si>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</si>
  <si>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</si>
  <si>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</si>
  <si>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</si>
  <si>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</si>
  <si>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</si>
  <si>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</si>
  <si>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</si>
  <si>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</si>
  <si>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</si>
  <si>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</si>
  <si>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</si>
  <si>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</si>
  <si>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</si>
  <si>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</si>
  <si>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</si>
  <si>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</si>
  <si>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</si>
  <si>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</si>
  <si>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</si>
  <si>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</si>
  <si>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</si>
  <si>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</si>
  <si>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</si>
  <si>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</si>
  <si>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</si>
  <si>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</si>
  <si>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</si>
  <si>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</si>
  <si>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</si>
  <si>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</si>
  <si>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</si>
  <si>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</si>
  <si>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</si>
  <si>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</si>
  <si>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</si>
  <si>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</si>
  <si>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</si>
  <si>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</si>
  <si>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</si>
  <si>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</si>
  <si>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</si>
  <si>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</si>
  <si>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</si>
  <si>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</si>
  <si>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</si>
  <si>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</si>
  <si>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</si>
  <si>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</si>
  <si>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</si>
  <si>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</si>
  <si>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</si>
  <si>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</si>
  <si>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</si>
  <si>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</si>
  <si>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</si>
  <si>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</si>
  <si>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</si>
  <si>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</si>
  <si>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</si>
  <si>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</si>
  <si>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</si>
  <si>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</si>
  <si>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</si>
  <si>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</si>
  <si>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</si>
  <si>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</si>
  <si>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</si>
  <si>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</si>
  <si>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</si>
  <si>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</si>
  <si>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</si>
  <si>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</si>
  <si>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</si>
  <si>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</si>
  <si>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</si>
  <si>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</si>
  <si>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</si>
  <si>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</si>
  <si>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</si>
  <si>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</si>
  <si>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</si>
  <si>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</si>
  <si>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</si>
  <si>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</si>
  <si>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</si>
  <si>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</si>
  <si>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</si>
  <si>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</si>
  <si>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</si>
  <si>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</si>
  <si>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</si>
  <si>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</si>
  <si>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</si>
  <si>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</si>
  <si>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</si>
  <si>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</si>
  <si>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</si>
  <si>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</si>
  <si>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</si>
  <si>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</si>
  <si>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</si>
  <si>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</si>
  <si>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</si>
  <si>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</si>
  <si>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</si>
  <si>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</si>
  <si>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</si>
  <si>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</si>
  <si>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</si>
  <si>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</si>
  <si>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</si>
  <si>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</si>
  <si>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</si>
  <si>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</si>
  <si>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</si>
  <si>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</si>
  <si>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</si>
  <si>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</si>
  <si>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</si>
  <si>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</si>
  <si>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</si>
  <si>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</si>
  <si>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</si>
  <si>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</si>
  <si>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</si>
  <si>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</si>
  <si>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</si>
  <si>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</si>
  <si>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</si>
  <si>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</si>
  <si>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</si>
  <si>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</si>
  <si>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</si>
  <si>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</si>
  <si>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</si>
  <si>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</si>
  <si>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</si>
  <si>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</si>
  <si>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</si>
  <si>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</si>
  <si>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</si>
  <si>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</si>
  <si>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</si>
  <si>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</si>
  <si>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</si>
  <si>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</si>
  <si>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</si>
  <si>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</si>
  <si>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</si>
  <si>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</si>
  <si>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</si>
  <si>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</si>
  <si>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</si>
  <si>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</si>
  <si>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</si>
  <si>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</si>
  <si>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</si>
  <si>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</si>
  <si>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</si>
  <si>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</si>
  <si>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</si>
  <si>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</si>
  <si>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</si>
  <si>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</si>
  <si>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</si>
  <si>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</si>
  <si>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</si>
  <si>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</si>
  <si>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</si>
  <si>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</si>
  <si>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</si>
  <si>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</si>
  <si>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</si>
  <si>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</si>
  <si>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</si>
  <si>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</si>
  <si>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</si>
  <si>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</si>
  <si>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</si>
  <si>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</si>
  <si>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</si>
  <si>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</si>
  <si>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</si>
  <si>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</si>
  <si>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</si>
  <si>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</si>
  <si>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</si>
  <si>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</si>
  <si>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</si>
  <si>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</si>
  <si>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</si>
  <si>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</si>
  <si>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</si>
  <si>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</si>
  <si>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</si>
  <si>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</si>
  <si>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</si>
  <si>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</si>
  <si>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</si>
  <si>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</si>
  <si>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</si>
  <si>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</si>
  <si>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</si>
  <si>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</si>
  <si>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</si>
  <si>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</si>
  <si>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</si>
  <si>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</si>
  <si>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</si>
  <si>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</si>
  <si>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</si>
  <si>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</si>
  <si>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</si>
  <si>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</si>
  <si>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</si>
  <si>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</si>
  <si>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</si>
  <si>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</si>
  <si>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</si>
  <si>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</si>
  <si>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</si>
  <si>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</si>
  <si>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</si>
  <si>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</si>
  <si>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</si>
  <si>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</si>
  <si>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</si>
  <si>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</si>
  <si>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</si>
  <si>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</si>
  <si>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</si>
  <si>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</si>
  <si>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</si>
  <si>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</si>
  <si>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</si>
  <si>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</si>
  <si>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</si>
  <si>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</si>
  <si>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</si>
  <si>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</si>
  <si>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</si>
  <si>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</si>
  <si>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</si>
  <si>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</si>
  <si>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</si>
  <si>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</si>
  <si>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</si>
  <si>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</si>
  <si>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</si>
  <si>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</si>
  <si>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</si>
  <si>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</si>
  <si>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</si>
  <si>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</si>
  <si>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</si>
  <si>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</si>
  <si>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</si>
  <si>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</si>
  <si>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</si>
  <si>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</si>
  <si>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</si>
  <si>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</si>
  <si>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</si>
  <si>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</si>
  <si>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</si>
  <si>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</si>
  <si>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</si>
  <si>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</si>
  <si>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</si>
  <si>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</si>
  <si>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</si>
  <si>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</si>
  <si>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</si>
  <si>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</si>
  <si>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</si>
  <si>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</si>
  <si>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</si>
  <si>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</si>
  <si>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</si>
  <si>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</si>
  <si>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</si>
  <si>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</si>
  <si>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</si>
  <si>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</si>
  <si>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</si>
  <si>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</si>
  <si>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</si>
  <si>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</si>
  <si>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</si>
  <si>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</si>
  <si>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</si>
  <si>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</si>
  <si>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</si>
  <si>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</si>
  <si>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</si>
  <si>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</si>
  <si>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</si>
  <si>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</si>
  <si>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</si>
  <si>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</si>
  <si>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</si>
  <si>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</si>
  <si>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</si>
  <si>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</si>
  <si>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</si>
  <si>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</si>
  <si>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</si>
  <si>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</si>
  <si>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</si>
  <si>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</si>
  <si>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</si>
  <si>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</si>
  <si>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</si>
  <si>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</si>
  <si>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</si>
  <si>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</si>
  <si>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</si>
  <si>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</si>
  <si>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</si>
  <si>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</si>
  <si>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</si>
  <si>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</si>
  <si>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</si>
  <si>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</si>
  <si>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</si>
  <si>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</si>
  <si>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</si>
  <si>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</si>
  <si>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</si>
  <si>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</si>
  <si>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</si>
  <si>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</si>
  <si>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</si>
  <si>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</si>
  <si>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</si>
  <si>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</si>
  <si>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</si>
  <si>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</si>
  <si>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</si>
  <si>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</si>
  <si>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</si>
  <si>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</si>
  <si>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</si>
  <si>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</si>
  <si>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</si>
  <si>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</si>
  <si>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</si>
  <si>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</si>
  <si>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</si>
  <si>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</si>
  <si>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</si>
  <si>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</si>
  <si>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</si>
  <si>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</si>
  <si>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</si>
  <si>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</si>
  <si>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</si>
  <si>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</si>
  <si>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</si>
  <si>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</si>
  <si>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</si>
  <si>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</si>
  <si>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</si>
  <si>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</si>
  <si>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</si>
  <si>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</si>
  <si>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</si>
  <si>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</si>
  <si>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</si>
  <si>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</si>
  <si>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</si>
  <si>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</si>
  <si>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</si>
  <si>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</si>
  <si>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</si>
  <si>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</si>
  <si>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</si>
  <si>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</si>
  <si>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</si>
  <si>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</si>
  <si>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</si>
  <si>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</si>
  <si>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</si>
  <si>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</si>
  <si>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</si>
  <si>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</si>
  <si>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</si>
  <si>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</si>
  <si>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</si>
  <si>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</si>
  <si>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</si>
  <si>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</si>
  <si>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</si>
  <si>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</si>
  <si>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</si>
  <si>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</si>
  <si>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</si>
  <si>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</si>
  <si>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</si>
  <si>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</si>
  <si>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</si>
  <si>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</si>
  <si>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</si>
  <si>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</si>
  <si>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</si>
  <si>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</si>
  <si>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</si>
  <si>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</si>
  <si>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</si>
  <si>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</si>
  <si>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</si>
  <si>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</si>
  <si>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</si>
  <si>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</si>
  <si>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</si>
  <si>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</si>
  <si>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</si>
  <si>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</si>
  <si>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</si>
  <si>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</si>
  <si>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</si>
  <si>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</si>
  <si>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</si>
  <si>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</si>
  <si>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</si>
  <si>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</si>
  <si>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</si>
  <si>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</si>
  <si>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</si>
  <si>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</si>
  <si>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</si>
  <si>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</si>
  <si>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</si>
  <si>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</si>
  <si>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</si>
  <si>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</si>
  <si>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</si>
  <si>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</si>
  <si>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</si>
  <si>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</si>
  <si>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</si>
  <si>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</si>
  <si>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</si>
  <si>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</si>
  <si>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</si>
  <si>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</si>
  <si>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</si>
  <si>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</si>
  <si>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</si>
  <si>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</si>
  <si>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</si>
  <si>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</si>
  <si>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</si>
  <si>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</si>
  <si>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</si>
  <si>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</si>
  <si>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</si>
  <si>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</si>
  <si>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</si>
  <si>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</si>
  <si>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</si>
  <si>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</si>
  <si>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</si>
  <si>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</si>
  <si>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</si>
  <si>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</si>
  <si>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</si>
  <si>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</si>
  <si>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</si>
  <si>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</si>
  <si>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</si>
  <si>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</si>
  <si>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</si>
  <si>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</si>
  <si>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</si>
  <si>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</si>
  <si>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</si>
  <si>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</si>
  <si>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</si>
  <si>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</si>
  <si>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</si>
  <si>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</si>
  <si>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</si>
  <si>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</si>
  <si>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</si>
  <si>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</si>
  <si>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</si>
  <si>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</si>
  <si>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</si>
  <si>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</si>
  <si>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</si>
  <si>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</si>
  <si>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</si>
  <si>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</si>
  <si>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</si>
  <si>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</si>
  <si>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</si>
  <si>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</si>
  <si>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</si>
  <si>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</si>
  <si>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</si>
  <si>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</si>
  <si>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</si>
  <si>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</si>
  <si>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</si>
  <si>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</si>
  <si>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</si>
  <si>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</si>
  <si>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</si>
  <si>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</si>
  <si>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</si>
  <si>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</si>
  <si>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</si>
  <si>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</si>
  <si>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</si>
  <si>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</si>
  <si>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</si>
  <si>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</si>
  <si>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</si>
  <si>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</si>
  <si>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</si>
  <si>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</si>
  <si>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</si>
  <si>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</si>
  <si>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</si>
  <si>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</si>
  <si>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</si>
  <si>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</si>
  <si>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</si>
  <si>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</si>
  <si>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</si>
  <si>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</si>
  <si>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</si>
  <si>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</si>
  <si>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</si>
  <si>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</si>
  <si>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</si>
  <si>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</si>
  <si>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</si>
  <si>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</si>
  <si>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</si>
  <si>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</si>
  <si>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</si>
  <si>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</si>
  <si>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</si>
  <si>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</si>
  <si>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</si>
  <si>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</si>
  <si>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</si>
  <si>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</si>
  <si>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</si>
  <si>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</si>
  <si>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</si>
  <si>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</si>
  <si>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</si>
  <si>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</si>
  <si>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</si>
  <si>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</si>
  <si>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</si>
  <si>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</si>
  <si>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</si>
  <si>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</si>
  <si>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</si>
  <si>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</si>
  <si>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</si>
  <si>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</si>
  <si>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</si>
  <si>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</si>
  <si>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</si>
  <si>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</si>
  <si>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</si>
  <si>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</si>
  <si>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</si>
  <si>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</si>
  <si>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</si>
  <si>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</si>
  <si>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</si>
  <si>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</si>
  <si>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</si>
  <si>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</si>
  <si>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</si>
  <si>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</si>
  <si>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</si>
  <si>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</si>
  <si>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</si>
  <si>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</si>
  <si>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</si>
  <si>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</si>
  <si>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</si>
  <si>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</si>
  <si>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</si>
  <si>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</si>
  <si>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</si>
  <si>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</si>
  <si>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</si>
  <si>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</si>
  <si>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</si>
  <si>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</si>
  <si>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</si>
  <si>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</si>
  <si>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</si>
  <si>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</si>
  <si>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</si>
  <si>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</si>
  <si>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</si>
  <si>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</si>
  <si>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</si>
  <si>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</si>
  <si>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</si>
  <si>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</si>
  <si>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</si>
  <si>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</si>
  <si>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</si>
  <si>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</si>
  <si>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</si>
  <si>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</si>
  <si>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</si>
  <si>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</si>
  <si>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</si>
  <si>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</si>
  <si>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</si>
  <si>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</si>
  <si>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</si>
  <si>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</si>
  <si>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</si>
  <si>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</si>
  <si>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</si>
  <si>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</si>
  <si>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</si>
  <si>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</si>
  <si>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</si>
  <si>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</si>
  <si>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</si>
  <si>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</si>
  <si>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</si>
  <si>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</si>
  <si>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</si>
  <si>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</si>
  <si>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</si>
  <si>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</si>
  <si>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</si>
  <si>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</si>
  <si>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</si>
  <si>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</si>
  <si>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</si>
  <si>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</si>
  <si>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</si>
  <si>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</si>
  <si>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</si>
  <si>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</si>
  <si>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</si>
  <si>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</si>
  <si>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</si>
  <si>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</si>
  <si>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</si>
  <si>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</si>
  <si>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</si>
  <si>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</si>
  <si>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</si>
  <si>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</si>
  <si>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</si>
  <si>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</si>
  <si>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</si>
  <si>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</si>
  <si>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</si>
  <si>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</si>
  <si>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</si>
  <si>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</si>
  <si>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</si>
  <si>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</si>
  <si>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</si>
  <si>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</si>
  <si>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</si>
  <si>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</si>
  <si>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</si>
  <si>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</si>
  <si>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</si>
  <si>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</si>
  <si>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</si>
  <si>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</si>
  <si>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</si>
  <si>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</si>
  <si>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</si>
  <si>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</si>
  <si>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</si>
  <si>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</si>
  <si>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</si>
  <si>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</si>
  <si>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</si>
  <si>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</si>
  <si>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</si>
  <si>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</si>
  <si>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</si>
  <si>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</si>
  <si>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</si>
  <si>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</si>
  <si>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</si>
  <si>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</si>
  <si>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</si>
  <si>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</si>
  <si>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</si>
  <si>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</si>
  <si>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</si>
  <si>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</si>
  <si>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</si>
  <si>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</si>
  <si>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</si>
  <si>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</si>
  <si>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</si>
  <si>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</si>
  <si>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</si>
  <si>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</si>
  <si>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</si>
  <si>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</si>
  <si>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</si>
  <si>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</si>
  <si>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</si>
  <si>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</si>
  <si>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</si>
  <si>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</si>
  <si>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</si>
  <si>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</si>
  <si>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</si>
  <si>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</si>
  <si>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</si>
  <si>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</si>
  <si>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</si>
  <si>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</si>
  <si>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</si>
  <si>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</si>
  <si>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</si>
  <si>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</si>
  <si>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</si>
  <si>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</si>
  <si>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</si>
  <si>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</si>
  <si>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</si>
  <si>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</si>
  <si>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</si>
  <si>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</si>
  <si>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</si>
  <si>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</si>
  <si>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</si>
  <si>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</si>
  <si>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</si>
  <si>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</si>
  <si>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</si>
  <si>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</si>
  <si>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</si>
  <si>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</si>
  <si>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</si>
  <si>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</si>
  <si>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</si>
  <si>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</si>
  <si>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</si>
  <si>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</si>
  <si>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</si>
  <si>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</si>
  <si>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</si>
  <si>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</si>
  <si>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</si>
  <si>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</si>
  <si>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</si>
  <si>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</si>
  <si>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</si>
  <si>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</si>
  <si>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</si>
  <si>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</si>
  <si>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</si>
  <si>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</si>
  <si>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</si>
  <si>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</si>
  <si>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</si>
  <si>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</si>
  <si>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</si>
  <si>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</si>
  <si>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</si>
  <si>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</si>
  <si>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</si>
  <si>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</si>
  <si>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</si>
  <si>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</si>
  <si>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</si>
  <si>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</si>
  <si>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</si>
  <si>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</si>
  <si>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</si>
  <si>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</si>
  <si>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</si>
  <si>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</si>
  <si>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</si>
  <si>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</si>
  <si>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</si>
  <si>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</si>
  <si>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</si>
  <si>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</si>
  <si>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</si>
  <si>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</si>
  <si>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</si>
  <si>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</si>
  <si>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</si>
  <si>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</si>
  <si>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</si>
  <si>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</si>
  <si>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</si>
  <si>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</si>
  <si>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</si>
  <si>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</si>
  <si>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</si>
  <si>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</si>
  <si>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</si>
  <si>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</si>
  <si>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</si>
  <si>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</si>
  <si>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</si>
  <si>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</si>
  <si>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</si>
  <si>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</si>
  <si>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</si>
  <si>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</si>
  <si>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</si>
  <si>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</si>
  <si>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</si>
  <si>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</si>
  <si>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</si>
  <si>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</si>
  <si>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</si>
  <si>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</si>
  <si>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</si>
  <si>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</si>
  <si>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</si>
  <si>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</si>
  <si>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</si>
  <si>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</si>
  <si>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</si>
  <si>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</si>
  <si>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</si>
  <si>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</si>
  <si>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</si>
  <si>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</si>
  <si>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</si>
  <si>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</si>
  <si>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</si>
  <si>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</si>
  <si>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</si>
  <si>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</si>
  <si>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</si>
  <si>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</si>
  <si>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</si>
  <si>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</si>
  <si>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</si>
  <si>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</si>
  <si>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</si>
  <si>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</si>
  <si>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</si>
  <si>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</si>
  <si>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</si>
  <si>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</si>
  <si>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</si>
  <si>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</si>
  <si>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</si>
  <si>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</si>
  <si>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</si>
  <si>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</si>
  <si>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</si>
  <si>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</si>
  <si>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</si>
  <si>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</si>
  <si>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</si>
  <si>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</si>
  <si>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</si>
  <si>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</si>
  <si>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</si>
  <si>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</si>
  <si>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</si>
  <si>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</si>
  <si>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</si>
  <si>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</si>
  <si>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</si>
  <si>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</si>
  <si>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</si>
  <si>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</si>
  <si>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</si>
  <si>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</si>
  <si>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</si>
  <si>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</si>
  <si>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</si>
  <si>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</si>
  <si>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</si>
  <si>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</si>
  <si>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</si>
  <si>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</si>
  <si>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</si>
  <si>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</si>
  <si>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</si>
  <si>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</si>
  <si>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</si>
  <si>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</si>
  <si>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</si>
  <si>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</si>
  <si>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</si>
  <si>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</si>
  <si>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</si>
  <si>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</si>
  <si>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</si>
  <si>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</si>
  <si>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</si>
  <si>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</si>
  <si>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</si>
  <si>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</si>
  <si>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</si>
  <si>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</si>
  <si>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</si>
  <si>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</si>
  <si>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</si>
  <si>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</si>
  <si>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</si>
  <si>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</si>
  <si>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</si>
  <si>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</si>
  <si>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</si>
  <si>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</si>
  <si>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</si>
  <si>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</si>
  <si>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</si>
  <si>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</si>
  <si>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</si>
  <si>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</si>
  <si>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</si>
  <si>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</si>
  <si>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</si>
  <si>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</si>
  <si>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</si>
  <si>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</si>
  <si>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</si>
  <si>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</si>
  <si>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</si>
  <si>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</si>
  <si>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</si>
  <si>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</si>
  <si>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</si>
  <si>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</si>
  <si>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</si>
  <si>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</si>
  <si>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</si>
  <si>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</si>
  <si>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</si>
  <si>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</si>
  <si>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</si>
  <si>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</si>
  <si>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</si>
  <si>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</si>
  <si>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</si>
  <si>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</si>
  <si>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</si>
  <si>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</si>
  <si>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</si>
  <si>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</si>
  <si>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</si>
  <si>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</si>
  <si>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</si>
  <si>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</si>
  <si>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</si>
  <si>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</si>
  <si>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</si>
  <si>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</si>
  <si>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</si>
  <si>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</si>
  <si>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</si>
  <si>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</si>
  <si>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</si>
  <si>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</si>
  <si>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</si>
  <si>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</si>
  <si>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</si>
  <si>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</si>
  <si>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</si>
  <si>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</si>
  <si>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</si>
  <si>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</si>
  <si>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</si>
  <si>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</si>
  <si>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</si>
  <si>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</si>
  <si>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</si>
  <si>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</si>
  <si>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</si>
  <si>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</si>
  <si>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</si>
  <si>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</si>
  <si>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</si>
  <si>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</si>
  <si>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</si>
  <si>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</si>
  <si>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</si>
  <si>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</si>
  <si>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</si>
  <si>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</si>
  <si>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</si>
  <si>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</si>
  <si>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</si>
  <si>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</si>
  <si>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</si>
  <si>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</si>
  <si>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</si>
  <si>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</si>
  <si>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</si>
  <si>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</si>
  <si>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</si>
  <si>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</si>
  <si>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</si>
  <si>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</si>
  <si>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</si>
  <si>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</si>
  <si>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</si>
  <si>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</si>
  <si>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</si>
  <si>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</si>
  <si>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</si>
  <si>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</si>
  <si>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</si>
  <si>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</si>
  <si>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</si>
  <si>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</si>
  <si>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</si>
  <si>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</si>
  <si>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</si>
  <si>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</si>
  <si>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</si>
  <si>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</si>
  <si>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</si>
  <si>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</si>
  <si>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</si>
  <si>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</si>
  <si>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</si>
  <si>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</si>
  <si>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</si>
  <si>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</si>
  <si>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</si>
  <si>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</si>
  <si>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</si>
  <si>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</si>
  <si>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</si>
  <si>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</si>
  <si>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</si>
  <si>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</si>
  <si>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</si>
  <si>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</si>
  <si>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</si>
  <si>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</si>
  <si>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</si>
  <si>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</si>
  <si>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</si>
  <si>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</si>
  <si>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</si>
  <si>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</si>
  <si>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</si>
  <si>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</si>
  <si>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</si>
  <si>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</si>
  <si>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</si>
  <si>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</si>
  <si>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</si>
  <si>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</si>
  <si>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</si>
  <si>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</si>
  <si>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</si>
  <si>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</si>
  <si>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</si>
  <si>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</si>
  <si>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</si>
  <si>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</si>
  <si>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</si>
  <si>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</si>
  <si>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</si>
  <si>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</si>
  <si>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</si>
  <si>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</si>
  <si>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</si>
  <si>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</si>
  <si>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</si>
  <si>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</si>
  <si>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</si>
  <si>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</si>
  <si>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</si>
  <si>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</si>
  <si>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</si>
  <si>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</si>
  <si>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</si>
  <si>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</si>
  <si>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</si>
  <si>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</si>
  <si>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</si>
  <si>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</si>
  <si>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</si>
  <si>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</si>
  <si>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</si>
  <si>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</si>
  <si>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</si>
  <si>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</si>
  <si>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</si>
  <si>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</si>
  <si>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</si>
  <si>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</si>
  <si>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</si>
  <si>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</si>
  <si>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</si>
  <si>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</si>
  <si>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</si>
  <si>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</si>
  <si>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</si>
  <si>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</si>
  <si>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</si>
  <si>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</si>
  <si>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</si>
  <si>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</si>
  <si>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</si>
  <si>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</si>
  <si>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</si>
  <si>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</si>
  <si>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</si>
  <si>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</si>
  <si>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</si>
  <si>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</si>
  <si>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</si>
  <si>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</si>
  <si>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</si>
  <si>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</si>
  <si>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</si>
  <si>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</si>
  <si>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</si>
  <si>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</si>
  <si>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</si>
  <si>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</si>
  <si>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</si>
  <si>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</si>
  <si>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</si>
  <si>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</si>
  <si>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</si>
  <si>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</si>
  <si>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</si>
  <si>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</si>
  <si>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</si>
  <si>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</si>
  <si>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</si>
  <si>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</si>
  <si>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</si>
  <si>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</si>
  <si>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</si>
  <si>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</si>
  <si>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</si>
  <si>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</si>
  <si>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</si>
  <si>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</si>
  <si>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</si>
  <si>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</si>
  <si>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</si>
  <si>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</si>
  <si>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</si>
  <si>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</si>
  <si>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</si>
  <si>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</si>
  <si>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</si>
  <si>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</si>
  <si>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</si>
  <si>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</si>
  <si>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</si>
  <si>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</si>
  <si>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</si>
  <si>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</si>
  <si>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</si>
  <si>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</si>
  <si>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</si>
  <si>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</si>
  <si>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</si>
  <si>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</si>
  <si>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</si>
  <si>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</si>
  <si>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</si>
  <si>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</si>
  <si>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</si>
  <si>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</si>
  <si>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</si>
  <si>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</si>
  <si>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</si>
  <si>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</si>
  <si>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</si>
  <si>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</si>
  <si>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</si>
  <si>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</si>
  <si>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</si>
  <si>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</si>
  <si>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</si>
  <si>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</si>
  <si>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</si>
  <si>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</si>
  <si>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</si>
  <si>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</si>
  <si>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</si>
  <si>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</si>
  <si>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</si>
  <si>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</si>
  <si>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</si>
  <si>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</si>
  <si>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</si>
  <si>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</si>
  <si>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</si>
  <si>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</si>
  <si>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</si>
  <si>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</si>
  <si>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</si>
  <si>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</si>
  <si>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</si>
  <si>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</si>
  <si>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</si>
  <si>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</si>
  <si>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</si>
  <si>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</si>
  <si>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</si>
  <si>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</si>
  <si>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</si>
  <si>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</si>
  <si>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</si>
  <si>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</si>
  <si>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</si>
  <si>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</si>
  <si>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</si>
  <si>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</si>
  <si>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</si>
  <si>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</si>
  <si>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</si>
  <si>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</si>
  <si>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</si>
  <si>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</si>
  <si>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</si>
  <si>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</si>
  <si>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</si>
  <si>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</si>
  <si>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</si>
  <si>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</si>
  <si>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</si>
  <si>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</si>
  <si>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</si>
  <si>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</si>
  <si>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</si>
  <si>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</si>
  <si>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</si>
  <si>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</si>
  <si>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</si>
  <si>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</si>
  <si>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</si>
  <si>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</si>
  <si>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</si>
  <si>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</si>
  <si>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</si>
  <si>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</si>
  <si>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</si>
  <si>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</si>
  <si>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</si>
  <si>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</si>
  <si>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</si>
  <si>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</si>
  <si>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</si>
  <si>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</si>
  <si>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</si>
  <si>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</si>
  <si>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</si>
  <si>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</si>
  <si>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</si>
  <si>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</si>
  <si>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</si>
  <si>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</si>
  <si>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</si>
  <si>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</si>
  <si>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</si>
  <si>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</si>
  <si>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</si>
  <si>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</si>
  <si>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</si>
  <si>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</si>
  <si>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</si>
  <si>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</si>
  <si>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</si>
  <si>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</si>
  <si>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</si>
  <si>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</si>
  <si>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</si>
  <si>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</si>
  <si>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</si>
  <si>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</si>
  <si>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</si>
  <si>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</si>
  <si>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</si>
  <si>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</si>
  <si>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</si>
  <si>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</si>
  <si>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</si>
  <si>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</si>
  <si>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</si>
  <si>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</si>
  <si>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</si>
  <si>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</si>
  <si>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</si>
  <si>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</si>
  <si>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</si>
  <si>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</si>
  <si>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</si>
  <si>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</si>
  <si>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</si>
  <si>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</si>
  <si>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</si>
  <si>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</si>
  <si>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</si>
  <si>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</si>
  <si>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</si>
  <si>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</si>
  <si>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</si>
  <si>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</si>
  <si>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</si>
  <si>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</si>
  <si>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</si>
  <si>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</si>
  <si>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</si>
  <si>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</si>
  <si>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</si>
  <si>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</si>
  <si>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</si>
  <si>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</si>
  <si>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</si>
  <si>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</si>
  <si>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</si>
  <si>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</si>
  <si>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</si>
  <si>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</si>
  <si>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</si>
  <si>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</si>
  <si>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</si>
  <si>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</si>
  <si>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</si>
  <si>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</si>
  <si>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</si>
  <si>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</si>
  <si>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</si>
  <si>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</si>
  <si>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</si>
  <si>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</si>
  <si>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</si>
  <si>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</si>
  <si>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</si>
  <si>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</si>
  <si>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</si>
  <si>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</si>
  <si>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</si>
  <si>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</si>
  <si>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</si>
  <si>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</si>
  <si>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</si>
  <si>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</si>
  <si>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</si>
  <si>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</si>
  <si>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</si>
  <si>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</si>
  <si>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</si>
  <si>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</si>
  <si>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</si>
  <si>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</si>
  <si>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</si>
  <si>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</si>
  <si>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</si>
  <si>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</si>
  <si>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</si>
  <si>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</si>
  <si>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</si>
  <si>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</si>
  <si>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</si>
  <si>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</si>
  <si>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</si>
  <si>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</si>
  <si>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</si>
  <si>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</si>
  <si>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</si>
  <si>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</si>
  <si>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</si>
  <si>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</si>
  <si>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</si>
  <si>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</si>
  <si>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</si>
  <si>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</si>
  <si>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</si>
  <si>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</si>
  <si>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</si>
  <si>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</si>
  <si>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</si>
  <si>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</si>
  <si>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</si>
  <si>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</si>
  <si>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</si>
  <si>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</si>
  <si>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</si>
  <si>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</si>
  <si>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</si>
  <si>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</si>
  <si>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</si>
  <si>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</si>
  <si>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</si>
  <si>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</si>
  <si>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</si>
  <si>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</si>
  <si>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</si>
  <si>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</si>
  <si>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</si>
  <si>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</si>
  <si>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</si>
  <si>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</si>
  <si>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</si>
  <si>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</si>
  <si>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</si>
  <si>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</si>
  <si>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</si>
  <si>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</si>
  <si>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</si>
  <si>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</si>
  <si>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</si>
  <si>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</si>
  <si>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</si>
  <si>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</si>
  <si>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</si>
  <si>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</si>
  <si>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</si>
  <si>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</si>
  <si>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</si>
  <si>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</si>
  <si>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</si>
  <si>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</si>
  <si>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</si>
  <si>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</si>
  <si>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</si>
  <si>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</si>
  <si>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</si>
  <si>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</si>
  <si>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</si>
  <si>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</si>
  <si>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</si>
  <si>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</si>
  <si>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</si>
  <si>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</si>
  <si>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</si>
  <si>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</si>
  <si>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</si>
  <si>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</si>
  <si>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</si>
  <si>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</si>
  <si>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</si>
  <si>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</si>
  <si>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</si>
  <si>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</si>
  <si>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</si>
  <si>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</si>
  <si>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</si>
  <si>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</si>
  <si>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</si>
  <si>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</si>
  <si>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</si>
  <si>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</si>
  <si>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</si>
  <si>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</si>
  <si>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</si>
  <si>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</si>
  <si>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</si>
  <si>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</si>
  <si>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</si>
  <si>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</si>
  <si>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</si>
  <si>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</si>
  <si>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</si>
  <si>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</si>
  <si>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</si>
  <si>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</si>
  <si>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</si>
  <si>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</si>
  <si>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</si>
  <si>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</si>
  <si>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</si>
  <si>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</si>
  <si>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</si>
  <si>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</si>
  <si>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</si>
  <si>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</si>
  <si>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</si>
  <si>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</si>
  <si>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</si>
  <si>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</si>
  <si>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</si>
  <si>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</si>
  <si>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</si>
  <si>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</si>
  <si>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</si>
  <si>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</si>
  <si>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</si>
  <si>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</si>
  <si>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</si>
  <si>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</si>
  <si>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</si>
  <si>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</si>
  <si>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</si>
  <si>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</si>
  <si>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</si>
  <si>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</si>
  <si>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</si>
  <si>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</si>
  <si>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</si>
  <si>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</si>
  <si>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</si>
  <si>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</si>
  <si>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</si>
  <si>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</si>
  <si>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</si>
  <si>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</si>
  <si>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</si>
  <si>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</si>
  <si>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</si>
  <si>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</si>
  <si>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</si>
  <si>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</si>
  <si>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</si>
  <si>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</si>
  <si>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</si>
  <si>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</si>
  <si>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</si>
  <si>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</si>
  <si>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</si>
  <si>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</si>
  <si>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</si>
  <si>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</si>
  <si>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</si>
  <si>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</si>
  <si>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</si>
  <si>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</si>
  <si>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</si>
  <si>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</si>
  <si>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</si>
  <si>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</si>
  <si>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</si>
  <si>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</si>
  <si>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</si>
  <si>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</si>
  <si>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</si>
  <si>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</si>
  <si>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</si>
  <si>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</si>
  <si>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</si>
  <si>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</si>
  <si>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</si>
  <si>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</si>
  <si>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</si>
  <si>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</si>
  <si>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</si>
  <si>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</si>
  <si>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</si>
  <si>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</si>
  <si>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</si>
  <si>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</si>
  <si>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</si>
  <si>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</si>
  <si>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</si>
  <si>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</si>
  <si>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</si>
  <si>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</si>
  <si>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</si>
  <si>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</si>
  <si>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</si>
  <si>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</si>
  <si>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</si>
  <si>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</si>
  <si>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</si>
  <si>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</si>
  <si>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</si>
  <si>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</si>
  <si>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</si>
  <si>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</si>
  <si>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</si>
  <si>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</si>
  <si>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</si>
  <si>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</si>
  <si>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</si>
  <si>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</si>
  <si>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</si>
  <si>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</si>
  <si>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</si>
  <si>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</si>
  <si>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</si>
  <si>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</si>
  <si>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</si>
  <si>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</si>
  <si>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</si>
  <si>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</si>
  <si>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</si>
  <si>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</si>
  <si>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</si>
  <si>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</si>
  <si>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</si>
  <si>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</si>
  <si>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</si>
  <si>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</si>
  <si>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</si>
  <si>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</si>
  <si>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</si>
  <si>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</si>
  <si>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</si>
  <si>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</si>
  <si>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</si>
  <si>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</si>
  <si>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</si>
  <si>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</si>
  <si>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</si>
  <si>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</si>
  <si>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</si>
  <si>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</si>
  <si>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</si>
  <si>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</si>
  <si>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</si>
  <si>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</si>
  <si>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</si>
  <si>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</si>
  <si>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</si>
  <si>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</si>
  <si>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</si>
  <si>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</si>
  <si>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</si>
  <si>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</si>
  <si>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</si>
  <si>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</si>
  <si>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</si>
  <si>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</si>
  <si>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</si>
  <si>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</si>
  <si>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</si>
  <si>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</si>
  <si>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</si>
  <si>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</si>
  <si>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</si>
  <si>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</si>
  <si>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</si>
  <si>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</si>
  <si>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</si>
  <si>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</si>
  <si>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</si>
  <si>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</si>
  <si>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</si>
  <si>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</si>
  <si>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</si>
  <si>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</si>
  <si>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</si>
  <si>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</si>
  <si>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</si>
  <si>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</si>
  <si>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</si>
  <si>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</si>
  <si>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</si>
  <si>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</si>
  <si>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</si>
  <si>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</si>
  <si>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</si>
  <si>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</si>
  <si>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</si>
  <si>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</si>
  <si>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</si>
  <si>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</si>
  <si>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</si>
  <si>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</si>
  <si>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</si>
  <si>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</si>
  <si>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</si>
  <si>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</si>
  <si>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</si>
  <si>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</si>
  <si>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</si>
  <si>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</si>
  <si>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</si>
  <si>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</si>
  <si>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</si>
  <si>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</si>
  <si>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</si>
  <si>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</si>
  <si>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</si>
  <si>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</si>
  <si>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</si>
  <si>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</si>
  <si>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</si>
  <si>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</si>
  <si>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</si>
  <si>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</si>
  <si>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</si>
  <si>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</si>
  <si>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</si>
  <si>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</si>
  <si>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</si>
  <si>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</si>
  <si>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</si>
  <si>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</si>
  <si>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</si>
  <si>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</si>
  <si>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</si>
  <si>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</si>
  <si>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</si>
  <si>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</si>
  <si>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</si>
  <si>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</si>
  <si>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</si>
  <si>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</si>
  <si>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</si>
  <si>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</si>
  <si>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</si>
  <si>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</si>
  <si>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</si>
  <si>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</si>
  <si>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</si>
  <si>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</si>
  <si>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</si>
  <si>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</si>
  <si>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</si>
  <si>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</si>
  <si>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</si>
  <si>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</si>
  <si>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</si>
  <si>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</si>
  <si>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</si>
  <si>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</si>
  <si>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</si>
  <si>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</si>
  <si>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</si>
  <si>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</si>
  <si>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</si>
  <si>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</si>
  <si>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</si>
  <si>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</si>
  <si>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</si>
  <si>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</si>
  <si>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</si>
  <si>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</si>
  <si>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</si>
  <si>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</si>
  <si>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</si>
  <si>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</si>
  <si>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</si>
  <si>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</si>
  <si>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</si>
  <si>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</si>
  <si>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</si>
  <si>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</si>
  <si>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</si>
  <si>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</si>
  <si>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</si>
  <si>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</si>
  <si>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</si>
  <si>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</si>
  <si>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</si>
  <si>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</si>
  <si>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</si>
  <si>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</si>
  <si>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</si>
  <si>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</si>
  <si>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</si>
  <si>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</si>
  <si>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</si>
  <si>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</si>
  <si>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</si>
  <si>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</si>
  <si>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</si>
  <si>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</si>
  <si>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</si>
  <si>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</si>
  <si>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</si>
  <si>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</si>
  <si>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</si>
  <si>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</si>
  <si>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</si>
  <si>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</si>
  <si>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</si>
  <si>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</si>
  <si>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</si>
  <si>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</si>
  <si>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</si>
  <si>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</si>
  <si>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</si>
  <si>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</si>
  <si>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</si>
  <si>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</si>
  <si>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</si>
  <si>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</si>
  <si>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</si>
  <si>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</si>
  <si>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</si>
  <si>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</si>
  <si>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</si>
  <si>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</si>
  <si>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</si>
  <si>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</si>
  <si>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</si>
  <si>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</si>
  <si>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</si>
  <si>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</si>
  <si>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</si>
  <si>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</si>
  <si>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</si>
  <si>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</si>
  <si>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</si>
  <si>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</si>
  <si>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</si>
  <si>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</si>
  <si>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</si>
  <si>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</si>
  <si>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</si>
  <si>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</si>
  <si>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</si>
  <si>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</si>
  <si>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</si>
  <si>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</si>
  <si>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</si>
  <si>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</si>
  <si>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</si>
  <si>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</si>
  <si>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</si>
  <si>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</si>
  <si>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</si>
  <si>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</si>
  <si>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</si>
  <si>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</si>
  <si>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</si>
  <si>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</si>
  <si>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</si>
  <si>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</si>
  <si>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</si>
  <si>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</si>
  <si>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</si>
  <si>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</si>
  <si>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</si>
  <si>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</si>
  <si>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</si>
  <si>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</si>
  <si>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</si>
  <si>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</si>
  <si>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</si>
  <si>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</si>
  <si>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</si>
  <si>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</si>
  <si>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</si>
  <si>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</si>
  <si>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</si>
  <si>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</si>
  <si>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</si>
  <si>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</si>
  <si>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</si>
  <si>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</si>
  <si>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</si>
  <si>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</si>
  <si>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</si>
  <si>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</si>
  <si>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</si>
  <si>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</si>
  <si>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</si>
  <si>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</si>
  <si>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</si>
  <si>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</si>
  <si>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</si>
  <si>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</si>
  <si>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</si>
  <si>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</si>
  <si>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</si>
  <si>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</si>
  <si>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</si>
  <si>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</si>
  <si>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</si>
  <si>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</si>
  <si>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</si>
  <si>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</si>
  <si>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</si>
  <si>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</si>
  <si>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</si>
  <si>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</si>
  <si>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</si>
  <si>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</si>
  <si>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</si>
  <si>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</si>
  <si>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</si>
  <si>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</si>
  <si>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</si>
  <si>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</si>
  <si>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</si>
  <si>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</si>
  <si>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</si>
  <si>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</si>
  <si>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</si>
  <si>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</si>
  <si>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</si>
  <si>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</si>
  <si>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</si>
  <si>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</si>
  <si>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</si>
  <si>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</si>
  <si>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</si>
  <si>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</si>
  <si>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</si>
  <si>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</si>
  <si>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</si>
  <si>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</si>
  <si>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</si>
  <si>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</si>
  <si>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</si>
  <si>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</si>
  <si>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</si>
  <si>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</si>
  <si>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</si>
  <si>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</si>
  <si>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</si>
  <si>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</si>
  <si>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</si>
  <si>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</si>
  <si>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</si>
  <si>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</si>
  <si>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</si>
  <si>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</si>
  <si>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</si>
  <si>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</si>
  <si>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</si>
  <si>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</si>
  <si>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</si>
  <si>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</si>
  <si>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</si>
  <si>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</si>
  <si>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</si>
  <si>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</si>
  <si>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</si>
  <si>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</si>
  <si>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</si>
  <si>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</si>
  <si>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</si>
  <si>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</si>
  <si>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</si>
  <si>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</si>
  <si>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</si>
  <si>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</si>
  <si>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</si>
  <si>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</si>
  <si>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</si>
  <si>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</si>
  <si>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</si>
  <si>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</si>
  <si>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</si>
  <si>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</si>
  <si>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</si>
  <si>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</si>
  <si>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</si>
  <si>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</si>
  <si>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</si>
  <si>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</si>
  <si>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</si>
  <si>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</si>
  <si>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</si>
  <si>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</si>
  <si>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</si>
  <si>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</si>
  <si>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</si>
  <si>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</si>
  <si>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</si>
  <si>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</si>
  <si>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</si>
  <si>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</si>
  <si>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</si>
  <si>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</si>
  <si>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</si>
  <si>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</si>
  <si>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</si>
  <si>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</si>
  <si>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</si>
  <si>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</si>
  <si>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</si>
  <si>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</si>
  <si>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</si>
  <si>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</si>
  <si>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</si>
  <si>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</si>
  <si>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</si>
  <si>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</si>
  <si>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</si>
  <si>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</si>
  <si>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</si>
  <si>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</si>
  <si>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</si>
  <si>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</si>
  <si>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</si>
  <si>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</si>
  <si>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</si>
  <si>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</si>
  <si>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</si>
  <si>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</si>
  <si>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</si>
  <si>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</si>
  <si>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</si>
  <si>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</si>
  <si>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</si>
  <si>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</si>
  <si>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</si>
  <si>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</si>
  <si>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</si>
  <si>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</si>
  <si>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</si>
  <si>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</si>
  <si>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</si>
  <si>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</si>
  <si>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</si>
  <si>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</si>
  <si>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</si>
  <si>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</si>
  <si>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</si>
  <si>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</si>
  <si>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</si>
  <si>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</si>
  <si>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</si>
  <si>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</si>
  <si>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</si>
  <si>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</si>
  <si>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</si>
  <si>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</si>
  <si>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</si>
  <si>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</si>
  <si>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</si>
  <si>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</si>
  <si>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</si>
  <si>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</si>
  <si>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</si>
  <si>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</si>
  <si>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</si>
  <si>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</si>
  <si>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</si>
  <si>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</si>
  <si>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</si>
  <si>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</si>
  <si>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</si>
  <si>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</si>
  <si>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</si>
  <si>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</si>
  <si>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</si>
  <si>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</si>
  <si>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</si>
  <si>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</si>
  <si>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</si>
  <si>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</si>
  <si>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</si>
  <si>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</si>
  <si>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</si>
  <si>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</si>
  <si>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</si>
  <si>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</si>
  <si>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</si>
  <si>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</si>
  <si>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</si>
  <si>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</si>
  <si>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</si>
  <si>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</si>
  <si>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</si>
  <si>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</si>
  <si>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</si>
  <si>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</si>
  <si>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</si>
  <si>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</si>
  <si>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</si>
  <si>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</si>
  <si>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</si>
  <si>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</si>
  <si>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</si>
  <si>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</si>
  <si>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</si>
  <si>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</si>
  <si>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</si>
  <si>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</si>
  <si>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</si>
  <si>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</si>
  <si>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</si>
  <si>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</si>
  <si>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</si>
  <si>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</si>
  <si>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</si>
  <si>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</si>
  <si>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</si>
  <si>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</si>
  <si>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</si>
  <si>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</si>
  <si>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</si>
  <si>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</si>
  <si>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</si>
  <si>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</si>
  <si>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</si>
  <si>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</si>
  <si>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</si>
  <si>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</si>
  <si>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</si>
  <si>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</si>
  <si>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</si>
  <si>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</si>
  <si>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</si>
  <si>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</si>
  <si>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</si>
  <si>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</si>
  <si>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</si>
  <si>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</si>
  <si>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</si>
  <si>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</si>
  <si>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</si>
  <si>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</si>
  <si>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</si>
  <si>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</si>
  <si>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</si>
  <si>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</si>
  <si>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</si>
  <si>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</si>
  <si>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</si>
  <si>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</si>
  <si>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</si>
  <si>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</si>
  <si>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</si>
  <si>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</si>
  <si>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</si>
  <si>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</si>
  <si>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</si>
  <si>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</si>
  <si>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</si>
  <si>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</si>
  <si>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</si>
  <si>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</si>
  <si>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</si>
  <si>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</si>
  <si>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</si>
  <si>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</si>
  <si>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</si>
  <si>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</si>
  <si>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</si>
  <si>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</si>
  <si>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</si>
  <si>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</si>
  <si>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</si>
  <si>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</si>
  <si>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</si>
  <si>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</si>
  <si>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</si>
  <si>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</si>
  <si>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</si>
  <si>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</si>
  <si>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</si>
  <si>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</si>
  <si>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</si>
  <si>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</si>
  <si>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</si>
  <si>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</si>
  <si>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</si>
  <si>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</si>
  <si>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</si>
  <si>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</si>
  <si>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</si>
  <si>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</si>
  <si>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</si>
  <si>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</si>
  <si>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</si>
  <si>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</si>
  <si>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</si>
  <si>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</si>
  <si>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</si>
  <si>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</si>
  <si>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</si>
  <si>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</si>
  <si>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</si>
  <si>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</si>
  <si>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</si>
  <si>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</si>
  <si>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</si>
  <si>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</si>
  <si>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</si>
  <si>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</si>
  <si>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</si>
  <si>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</si>
  <si>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</si>
  <si>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</si>
  <si>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</si>
  <si>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</si>
  <si>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</si>
  <si>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</si>
  <si>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</si>
  <si>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</si>
  <si>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</si>
  <si>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</si>
  <si>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</si>
  <si>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</si>
  <si>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</si>
  <si>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</si>
  <si>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</si>
  <si>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</si>
  <si>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</si>
  <si>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</si>
  <si>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</si>
  <si>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</si>
  <si>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</si>
  <si>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</si>
  <si>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</si>
  <si>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</si>
  <si>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</si>
  <si>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</si>
  <si>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</si>
  <si>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</si>
  <si>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</si>
  <si>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</si>
  <si>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</si>
  <si>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</si>
  <si>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</si>
  <si>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</si>
  <si>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</si>
  <si>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</si>
  <si>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</si>
  <si>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</si>
  <si>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</si>
  <si>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</si>
  <si>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</si>
  <si>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</si>
  <si>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投资价值</t>
    <phoneticPr fontId="8" type="noConversion"/>
  </si>
  <si>
    <t>转让取得</t>
  </si>
  <si>
    <t>情况4</t>
  </si>
  <si>
    <t>买卖合同</t>
  </si>
  <si>
    <t>崔锴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</si>
</sst>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1211</v>
      </c>
      <c r="B1" s="1588" t="s">
        <v>1290</v>
      </c>
    </row>
    <row r="2" spans="1:2" s="1593" customFormat="1" ht="15"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5" thickBot="1">
      <c r="A5" s="1597" t="s">
        <v>1215</v>
      </c>
      <c r="B5" s="1598" t="str">
        <f>'预评函-封皮'!B49</f>
        <v>康正预评字号</v>
      </c>
    </row>
    <row r="6" spans="1:2" s="1593" customFormat="1" ht="15"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5" thickBot="1">
      <c r="A18" s="1597" t="s">
        <v>1224</v>
      </c>
      <c r="B18" s="1598" t="str">
        <f>'预评函-1'!A24</f>
        <v>本次评估采用的主估价方法为比较法和收益法。</v>
      </c>
    </row>
    <row r="19" spans="1:2" s="1593" customFormat="1" ht="15"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457909</v>
      </c>
    </row>
    <row r="21" spans="1:2" s="1596" customFormat="1">
      <c r="A21" s="1594" t="s">
        <v>1227</v>
      </c>
      <c r="B21" s="1595">
        <f ca="1">'预评函-2'!D7</f>
        <v>140188</v>
      </c>
    </row>
    <row r="22" spans="1:2" s="1596" customFormat="1">
      <c r="A22" s="1594" t="s">
        <v>1228</v>
      </c>
      <c r="B22" s="1595" t="str">
        <f ca="1">'预评函-2'!D6</f>
        <v>肆拾伍亿柒仟玖佰零玖万元整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457909</v>
      </c>
    </row>
    <row r="35" spans="1:2" s="1596" customFormat="1">
      <c r="A35" s="1594" t="s">
        <v>1267</v>
      </c>
      <c r="B35" s="1595">
        <f ca="1">'预评函-2'!D18</f>
        <v>140188</v>
      </c>
    </row>
    <row r="36" spans="1:2" s="1596" customFormat="1">
      <c r="A36" s="1594" t="s">
        <v>1234</v>
      </c>
      <c r="B36" s="1595" t="str">
        <f ca="1">'预评函-2'!D17</f>
        <v>肆拾伍亿柒仟玖佰零玖万元整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c r="A42" s="1594" t="s">
        <v>1280</v>
      </c>
      <c r="B42" s="1595" t="str">
        <f>'预评函-3'!B2</f>
        <v>建筑面积</v>
      </c>
    </row>
    <row r="43" spans="1:2" s="1596" customFormat="1">
      <c r="A43" s="1594" t="s">
        <v>1281</v>
      </c>
      <c r="B43" s="1595">
        <f>'预评函-3'!B4</f>
        <v>32663.93</v>
      </c>
    </row>
    <row r="44" spans="1:2" s="1596" customFormat="1">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t="e">
        <f ca="1">'预评函-3'!D4</f>
        <v>#REF!</v>
      </c>
    </row>
    <row r="48" spans="1:2" s="1596" customFormat="1">
      <c r="A48" s="1594" t="s">
        <v>1239</v>
      </c>
      <c r="B48" s="1595" t="e">
        <f ca="1">'预评函-3'!E4</f>
        <v>#REF!</v>
      </c>
    </row>
    <row r="49" spans="1:2" s="1596" customFormat="1">
      <c r="A49" s="1594" t="s">
        <v>1240</v>
      </c>
      <c r="B49" s="1595" t="e">
        <f ca="1">'预评函-3'!D5</f>
        <v>#REF!</v>
      </c>
    </row>
    <row r="50" spans="1:2" s="1596" customFormat="1">
      <c r="A50" s="1594" t="s">
        <v>1264</v>
      </c>
      <c r="B50" s="1595" t="str">
        <f>'预评函-3'!F2</f>
        <v>在建建筑物价值</v>
      </c>
    </row>
    <row r="51" spans="1:2" s="1596" customFormat="1">
      <c r="A51" s="1594" t="s">
        <v>1241</v>
      </c>
      <c r="B51" s="1595" t="e">
        <f ca="1">'预评函-3'!F4</f>
        <v>#REF!</v>
      </c>
    </row>
    <row r="52" spans="1:2" s="1596" customFormat="1">
      <c r="A52" s="1594" t="s">
        <v>1242</v>
      </c>
      <c r="B52" s="1595" t="e">
        <f ca="1">'预评函-3'!G4</f>
        <v>#REF!</v>
      </c>
    </row>
    <row r="53" spans="1:2" s="1596" customFormat="1">
      <c r="A53" s="1594" t="s">
        <v>1270</v>
      </c>
      <c r="B53" s="1595" t="e">
        <f ca="1">'预评函-3'!F5</f>
        <v>#REF!</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5" thickBot="1">
      <c r="A57" s="1597" t="s">
        <v>1289</v>
      </c>
      <c r="B57" s="1598" t="str">
        <f>'预评函-3'!A6</f>
        <v>估价师知悉的法定优先受偿款</v>
      </c>
    </row>
    <row r="58" spans="1:2" s="1593" customFormat="1" ht="15"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5" thickBot="1">
      <c r="A69" s="1597" t="s">
        <v>1251</v>
      </c>
      <c r="B69" s="1599">
        <f>'预评函-4'!C31</f>
        <v>42551</v>
      </c>
    </row>
    <row r="70" spans="1:2" ht="15"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5" thickBot="1">
      <c r="A73" s="1597" t="s">
        <v>1255</v>
      </c>
      <c r="B73" s="1598">
        <f ca="1">'预评函-4'!B5</f>
        <v>1120100036</v>
      </c>
    </row>
    <row r="74" spans="1:2" ht="15"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3005</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3002</v>
      </c>
      <c r="B3" s="2020" t="s">
        <v>3004</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3003</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05"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5" t="s">
        <v>860</v>
      </c>
      <c r="C54" s="2022" t="s">
        <v>1273</v>
      </c>
    </row>
    <row r="55" spans="1:4">
      <c r="A55" s="3005"/>
      <c r="B55" s="2025" t="s">
        <v>861</v>
      </c>
      <c r="C55" s="2022" t="s">
        <v>1274</v>
      </c>
    </row>
    <row r="56" spans="1:4">
      <c r="A56" s="3005"/>
      <c r="B56" s="2025" t="s">
        <v>862</v>
      </c>
      <c r="C56" s="2022" t="s">
        <v>1278</v>
      </c>
    </row>
    <row r="57" spans="1:4">
      <c r="A57" s="3005"/>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14" t="str">
        <f>IF(B10="北京市","北京市",C10)&amp;F10&amp;IF(结果表!G1="在建","出让国有建设用地使用权及在建建筑物",IF(结果表!G1="土地","出让国有建设用地使用权",))&amp;B9&amp;"预评估"</f>
        <v>北京市朝阳区工人体育场北路甲2号（西部）房地产抵押价值预评估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3009</v>
      </c>
      <c r="C4" s="1040">
        <f ca="1">SUMIF(注册房地产估价师,B4,估价师及机构信息!B3:B24)</f>
        <v>1120070131</v>
      </c>
      <c r="D4" s="2961" t="s">
        <v>3089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3010</v>
      </c>
      <c r="C8" s="2059"/>
      <c r="D8" s="3017" t="s">
        <v>1742</v>
      </c>
      <c r="E8" s="2060" t="s">
        <v>3011</v>
      </c>
      <c r="F8" s="2061"/>
      <c r="G8" s="2029"/>
      <c r="H8" s="2029"/>
      <c r="I8" s="2029"/>
      <c r="J8" s="2045"/>
      <c r="K8" s="2046"/>
      <c r="L8" s="2031"/>
      <c r="M8" s="2031"/>
      <c r="N8" s="2032"/>
      <c r="O8" s="2033"/>
      <c r="P8" s="2032"/>
      <c r="Q8" s="2032"/>
      <c r="R8" s="2032"/>
    </row>
    <row r="9" spans="1:19" ht="18" customHeight="1" thickBot="1">
      <c r="A9" s="2043" t="s">
        <v>1743</v>
      </c>
      <c r="B9" s="2062" t="s">
        <v>3012</v>
      </c>
      <c r="C9" s="2063"/>
      <c r="D9" s="3018"/>
      <c r="E9" s="2062" t="s">
        <v>70</v>
      </c>
      <c r="F9" s="2064"/>
      <c r="G9" s="2065"/>
      <c r="H9" s="2065"/>
      <c r="I9" s="2065"/>
      <c r="J9" s="2045"/>
      <c r="K9" s="2057"/>
      <c r="L9" s="2031"/>
      <c r="M9" s="2031"/>
      <c r="N9" s="2032"/>
      <c r="O9" s="2033"/>
      <c r="P9" s="2032"/>
      <c r="Q9" s="2032"/>
      <c r="R9" s="2032"/>
    </row>
    <row r="10" spans="1:19" ht="18" customHeight="1" thickTop="1">
      <c r="A10" s="2066" t="s">
        <v>1744</v>
      </c>
      <c r="B10" s="2067" t="s">
        <v>3013</v>
      </c>
      <c r="C10" s="2068"/>
      <c r="D10" s="2050"/>
      <c r="E10" s="2069" t="s">
        <v>1745</v>
      </c>
      <c r="F10" s="2070" t="s">
        <v>3016</v>
      </c>
      <c r="G10" s="2071"/>
      <c r="H10" s="2072"/>
      <c r="I10" s="2050"/>
      <c r="J10" s="2045"/>
      <c r="K10" s="2057"/>
      <c r="L10" s="2031"/>
      <c r="M10" s="2031"/>
      <c r="N10" s="2032"/>
      <c r="O10" s="2033"/>
      <c r="P10" s="2032"/>
      <c r="Q10" s="2032"/>
      <c r="R10" s="2032"/>
    </row>
    <row r="11" spans="1:19" ht="18" customHeight="1">
      <c r="A11" s="2073" t="s">
        <v>1746</v>
      </c>
      <c r="B11" s="2074" t="s">
        <v>3014</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3015</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24"/>
      <c r="C16" s="3025"/>
      <c r="D16" s="3026"/>
      <c r="E16" s="2089" t="s">
        <v>1759</v>
      </c>
      <c r="F16" s="3027"/>
      <c r="G16" s="3028"/>
      <c r="H16" s="3028"/>
      <c r="I16" s="3029"/>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30" t="s">
        <v>3007</v>
      </c>
      <c r="F17" s="3031"/>
      <c r="G17" s="3031"/>
      <c r="H17" s="3031"/>
      <c r="I17" s="3032"/>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33" t="s">
        <v>3008</v>
      </c>
      <c r="F18" s="3034"/>
      <c r="G18" s="3034"/>
      <c r="H18" s="3034"/>
      <c r="I18" s="3035"/>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3017</v>
      </c>
      <c r="D19" s="2096" t="s">
        <v>1767</v>
      </c>
      <c r="E19" s="2097" t="s">
        <v>3018</v>
      </c>
      <c r="F19" s="2098" t="str">
        <f>IF(AND(C19="是",E19="否"),"是否提供他项权证或相关说明","")</f>
        <v>是否提供他项权证或相关说明</v>
      </c>
      <c r="G19" s="2099" t="s">
        <v>3018</v>
      </c>
      <c r="H19" s="2045"/>
      <c r="I19" s="2045"/>
      <c r="J19" s="2045"/>
      <c r="K19" s="2057"/>
      <c r="L19" s="2031"/>
      <c r="M19" s="2031"/>
      <c r="N19" s="2088"/>
      <c r="O19" s="2087"/>
      <c r="P19" s="2088"/>
      <c r="Q19" s="2032"/>
      <c r="R19" s="2032"/>
      <c r="S19" s="2032"/>
      <c r="T19" s="2032"/>
      <c r="U19" s="2032"/>
      <c r="V19" s="2032"/>
    </row>
    <row r="20" spans="1:22" ht="18" customHeight="1">
      <c r="A20" s="2100" t="s">
        <v>1768</v>
      </c>
      <c r="B20" s="3020" t="s">
        <v>1769</v>
      </c>
      <c r="C20" s="3021"/>
      <c r="D20" s="3022" t="s">
        <v>1770</v>
      </c>
      <c r="E20" s="3023"/>
      <c r="F20" s="2101" t="s">
        <v>1771</v>
      </c>
      <c r="G20" s="2045"/>
      <c r="H20" s="2045"/>
      <c r="I20" s="2045"/>
      <c r="J20" s="2045"/>
      <c r="K20" s="3019"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3019</v>
      </c>
      <c r="D21" s="2104" t="s">
        <v>1774</v>
      </c>
      <c r="E21" s="2105" t="s">
        <v>70</v>
      </c>
      <c r="F21" s="2106"/>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7" t="s">
        <v>1783</v>
      </c>
      <c r="B27" s="2066" t="s">
        <v>1784</v>
      </c>
      <c r="C27" s="2123" t="s">
        <v>3020</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7"/>
      <c r="B28" s="2038" t="s">
        <v>1785</v>
      </c>
      <c r="C28" s="2125" t="s">
        <v>3021</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7"/>
      <c r="B29" s="2038" t="s">
        <v>1786</v>
      </c>
      <c r="C29" s="2128" t="s">
        <v>3018</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8"/>
      <c r="B30" s="2038" t="s">
        <v>1787</v>
      </c>
      <c r="C30" s="3009"/>
      <c r="D30" s="301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1" t="s">
        <v>1788</v>
      </c>
      <c r="B31" s="2130" t="s">
        <v>3022</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3023</v>
      </c>
      <c r="C34" s="2137" t="s">
        <v>3024</v>
      </c>
      <c r="D34" s="2137" t="s">
        <v>3025</v>
      </c>
      <c r="E34" s="2137" t="s">
        <v>3026</v>
      </c>
      <c r="F34" s="2137" t="s">
        <v>3027</v>
      </c>
      <c r="G34" s="2137" t="s">
        <v>3028</v>
      </c>
      <c r="H34" s="2137" t="s">
        <v>3029</v>
      </c>
      <c r="I34" s="2045"/>
      <c r="J34" s="2045"/>
      <c r="K34" s="1798">
        <f>COUNTIF(B34:H34,"——")</f>
        <v>0</v>
      </c>
      <c r="L34" s="2078" t="s">
        <v>1790</v>
      </c>
      <c r="M34" s="2078" t="s">
        <v>1791</v>
      </c>
      <c r="N34" s="2078" t="s">
        <v>1792</v>
      </c>
      <c r="O34" s="2078" t="s">
        <v>1793</v>
      </c>
      <c r="P34" s="2078" t="s">
        <v>1794</v>
      </c>
      <c r="Q34" s="2078" t="s">
        <v>1795</v>
      </c>
      <c r="R34" s="2078" t="s">
        <v>1796</v>
      </c>
      <c r="S34" s="3006" t="s">
        <v>1797</v>
      </c>
      <c r="T34" s="2138" t="str">
        <f>NUMBERSTRING(7-K34,1)&amp;"通"</f>
        <v>七通</v>
      </c>
      <c r="U34" s="2032"/>
      <c r="V34" s="2032"/>
    </row>
    <row r="35" spans="1:22" ht="18" customHeight="1">
      <c r="A35" s="2139"/>
      <c r="B35" s="3013" t="s">
        <v>1798</v>
      </c>
      <c r="C35" s="3013"/>
      <c r="D35" s="3013"/>
      <c r="E35" s="3013"/>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06"/>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1854</v>
      </c>
      <c r="I9" s="2195" t="s">
        <v>3030</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2.75">
      <c r="A10" s="2186"/>
      <c r="B10" s="2186"/>
      <c r="C10" s="2186"/>
      <c r="D10" s="2186"/>
      <c r="E10" s="2186"/>
      <c r="F10" s="2186"/>
      <c r="G10" s="1295"/>
      <c r="H10" s="28"/>
      <c r="I10" s="2195" t="s">
        <v>3031</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3001</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3017</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1893</v>
      </c>
      <c r="B1" s="1395"/>
      <c r="C1" s="1395"/>
      <c r="D1" s="1395"/>
      <c r="E1" s="1395"/>
      <c r="F1" s="1395"/>
      <c r="G1" s="1395"/>
      <c r="H1" s="1395"/>
      <c r="I1" s="1395"/>
      <c r="J1" s="1395"/>
      <c r="K1" s="1395"/>
      <c r="L1" s="1395"/>
      <c r="M1" s="1395"/>
      <c r="N1" s="1395"/>
      <c r="O1" s="1395"/>
      <c r="P1" s="1395"/>
    </row>
    <row r="2" spans="1:16" ht="15">
      <c r="A2" s="3047" t="s">
        <v>1894</v>
      </c>
      <c r="B2" s="3047"/>
      <c r="C2" s="3047"/>
      <c r="D2" s="970" t="s">
        <v>1870</v>
      </c>
      <c r="E2" s="2231" t="s">
        <v>1871</v>
      </c>
      <c r="F2" s="1395"/>
      <c r="G2" s="2232"/>
      <c r="H2" s="2233"/>
      <c r="I2" s="2234" t="s">
        <v>1895</v>
      </c>
      <c r="J2" s="1395"/>
      <c r="K2" s="1395"/>
      <c r="L2" s="1395"/>
      <c r="M2" s="1395"/>
      <c r="N2" s="1430"/>
      <c r="O2" s="1395"/>
      <c r="P2" s="1395"/>
    </row>
    <row r="3" spans="1:16" ht="15.75" thickBot="1">
      <c r="A3" s="3048" t="s">
        <v>1868</v>
      </c>
      <c r="B3" s="3048"/>
      <c r="C3" s="3048"/>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5">
      <c r="A4" s="3049"/>
      <c r="B4" s="3050"/>
      <c r="C4" s="3051"/>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c r="A5" s="47" t="s">
        <v>1872</v>
      </c>
      <c r="B5" s="3052" t="s">
        <v>1873</v>
      </c>
      <c r="C5" s="3052"/>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52" t="s">
        <v>1874</v>
      </c>
      <c r="C6" s="3052"/>
      <c r="D6" s="48">
        <f>ROUND($D$3*E6/$E$3,2)</f>
        <v>0</v>
      </c>
      <c r="E6" s="49">
        <f>E3-E5</f>
        <v>0</v>
      </c>
      <c r="F6" s="1395"/>
      <c r="G6" s="2239" t="s">
        <v>1875</v>
      </c>
      <c r="H6" s="1402" t="s">
        <v>1876</v>
      </c>
      <c r="I6" s="942">
        <f>ROUND(F31/D31,2)</f>
        <v>7.1</v>
      </c>
      <c r="J6" s="1395"/>
      <c r="K6" s="1395"/>
      <c r="L6" s="1395"/>
      <c r="M6" s="1395"/>
      <c r="N6" s="1395"/>
      <c r="O6" s="1395"/>
      <c r="P6" s="1395"/>
    </row>
    <row r="7" spans="1:16" ht="15">
      <c r="A7" s="3044"/>
      <c r="B7" s="3045"/>
      <c r="C7" s="3046"/>
      <c r="D7" s="2235" t="s">
        <v>1870</v>
      </c>
      <c r="E7" s="2240" t="s">
        <v>1877</v>
      </c>
      <c r="F7" s="1395"/>
      <c r="G7" s="2232" t="s">
        <v>1878</v>
      </c>
      <c r="H7" s="64"/>
      <c r="I7" s="420"/>
      <c r="J7" s="1395"/>
      <c r="K7" s="1395"/>
      <c r="L7" s="1395"/>
      <c r="M7" s="1395"/>
      <c r="N7" s="1395"/>
      <c r="O7" s="1395"/>
      <c r="P7" s="1395"/>
    </row>
    <row r="8" spans="1:16">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c r="A9" s="2242"/>
      <c r="B9" s="2243"/>
      <c r="C9" s="48" t="s">
        <v>1882</v>
      </c>
      <c r="D9" s="48">
        <f t="shared" si="0"/>
        <v>0</v>
      </c>
      <c r="E9" s="52">
        <v>0</v>
      </c>
      <c r="F9" s="1395"/>
      <c r="G9" s="2241"/>
      <c r="H9" s="2241"/>
      <c r="I9" s="1395"/>
      <c r="J9" s="1395"/>
      <c r="K9" s="1395"/>
      <c r="L9" s="1395"/>
      <c r="M9" s="1395"/>
      <c r="N9" s="1395"/>
      <c r="O9" s="1395"/>
      <c r="P9" s="1395"/>
    </row>
    <row r="10" spans="1:16">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1886</v>
      </c>
      <c r="D16" s="50">
        <f>SUM(D8:D15)</f>
        <v>4601</v>
      </c>
      <c r="E16" s="53">
        <f>SUM(E8:E15)</f>
        <v>32663.93</v>
      </c>
      <c r="F16" s="1395"/>
      <c r="G16" s="2241"/>
      <c r="H16" s="2244" t="s">
        <v>1898</v>
      </c>
      <c r="I16" s="2245"/>
      <c r="J16" s="1395"/>
      <c r="K16" s="3041" t="s">
        <v>1898</v>
      </c>
      <c r="L16" s="3042"/>
      <c r="M16" s="3042"/>
      <c r="N16" s="3042"/>
      <c r="O16" s="3042"/>
      <c r="P16" s="3043"/>
    </row>
    <row r="17" spans="1:19" ht="15">
      <c r="A17" s="2246" t="s">
        <v>1899</v>
      </c>
      <c r="B17" s="2247" t="s">
        <v>1900</v>
      </c>
      <c r="C17" s="2248" t="s">
        <v>1901</v>
      </c>
      <c r="D17" s="2249" t="s">
        <v>1889</v>
      </c>
      <c r="E17" s="2250" t="s">
        <v>1890</v>
      </c>
      <c r="F17" s="2251"/>
      <c r="G17" s="2252"/>
      <c r="H17" s="2253" t="s">
        <v>1902</v>
      </c>
      <c r="I17" s="2254" t="s">
        <v>1887</v>
      </c>
      <c r="J17" s="1395"/>
      <c r="K17" s="3038" t="s">
        <v>1903</v>
      </c>
      <c r="L17" s="3039"/>
      <c r="M17" s="3040"/>
      <c r="N17" s="3038" t="s">
        <v>1904</v>
      </c>
      <c r="O17" s="3039"/>
      <c r="P17" s="3040"/>
      <c r="R17" s="2232" t="s">
        <v>1905</v>
      </c>
      <c r="S17" s="64"/>
    </row>
    <row r="18" spans="1:19" ht="15">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3032</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平层住宅用房</v>
      </c>
      <c r="B6" s="2311" t="str">
        <f>IF(A6=0,"","经营性")</f>
        <v>经营性</v>
      </c>
      <c r="C6" s="2312" t="s">
        <v>3031</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3004</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53" t="s">
        <v>2039</v>
      </c>
      <c r="B1" s="3054"/>
      <c r="C1" s="3054"/>
      <c r="D1" s="3054"/>
      <c r="E1" s="3054"/>
      <c r="F1" s="3054"/>
      <c r="G1" s="305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2040</v>
      </c>
      <c r="D2" s="2370"/>
      <c r="E2" s="2371"/>
      <c r="F2" s="2290"/>
      <c r="G2" s="2369" t="s">
        <v>2041</v>
      </c>
      <c r="H2" s="2372"/>
      <c r="I2" s="2372"/>
      <c r="J2" s="2372"/>
      <c r="K2" s="2372"/>
      <c r="L2" s="2372"/>
      <c r="M2" s="2372"/>
      <c r="N2" s="2372"/>
      <c r="O2" s="2372"/>
      <c r="P2" s="2372"/>
      <c r="Q2" s="2372"/>
      <c r="R2" s="2372"/>
    </row>
    <row r="3" spans="1:29" ht="81">
      <c r="A3" s="415" t="s">
        <v>2042</v>
      </c>
      <c r="B3" s="1271" t="s">
        <v>2043</v>
      </c>
      <c r="C3" s="2955" t="s">
        <v>3062</v>
      </c>
      <c r="D3" s="2374"/>
      <c r="E3" s="431" t="s">
        <v>2042</v>
      </c>
      <c r="F3" s="2375" t="s">
        <v>2044</v>
      </c>
      <c r="G3" s="2376"/>
      <c r="H3" s="2372"/>
      <c r="I3" s="2372"/>
      <c r="J3" s="2372"/>
      <c r="K3" s="2372"/>
      <c r="L3" s="2372"/>
      <c r="M3" s="2372"/>
      <c r="N3" s="2372"/>
      <c r="O3" s="2372"/>
      <c r="P3" s="2372"/>
      <c r="Q3" s="2372"/>
      <c r="R3" s="2372"/>
    </row>
    <row r="4" spans="1:29" ht="15">
      <c r="A4" s="431"/>
      <c r="B4" s="1798" t="s">
        <v>2045</v>
      </c>
      <c r="C4" s="2377"/>
      <c r="D4" s="2374"/>
      <c r="E4" s="2378"/>
      <c r="F4" s="42" t="s">
        <v>2046</v>
      </c>
      <c r="G4" s="2379"/>
      <c r="H4" s="2372"/>
      <c r="I4" s="2372"/>
      <c r="J4" s="2372"/>
      <c r="K4" s="2372"/>
      <c r="L4" s="2372"/>
      <c r="M4" s="2372"/>
      <c r="N4" s="2372"/>
      <c r="O4" s="2372"/>
      <c r="P4" s="2372"/>
      <c r="Q4" s="2372"/>
      <c r="R4" s="2372"/>
    </row>
    <row r="5" spans="1:29" ht="15">
      <c r="A5" s="431"/>
      <c r="B5" s="1798" t="s">
        <v>2047</v>
      </c>
      <c r="C5" s="2377"/>
      <c r="D5" s="2374"/>
      <c r="E5" s="2378"/>
      <c r="F5" s="1798" t="s">
        <v>2048</v>
      </c>
      <c r="G5" s="2379"/>
      <c r="H5" s="2372"/>
      <c r="I5" s="2372"/>
      <c r="J5" s="2372"/>
      <c r="K5" s="2372"/>
      <c r="L5" s="2372"/>
      <c r="M5" s="2372"/>
      <c r="N5" s="2372"/>
      <c r="O5" s="2372"/>
      <c r="P5" s="2372"/>
      <c r="Q5" s="2372"/>
      <c r="R5" s="2372"/>
    </row>
    <row r="6" spans="1:29" ht="81">
      <c r="A6" s="431"/>
      <c r="B6" s="1798" t="s">
        <v>2049</v>
      </c>
      <c r="C6" s="2950" t="s">
        <v>3045</v>
      </c>
      <c r="D6" s="2374"/>
      <c r="E6" s="2378"/>
      <c r="F6" s="1798" t="s">
        <v>2050</v>
      </c>
      <c r="G6" s="2379"/>
      <c r="H6" s="2372"/>
      <c r="I6" s="2372"/>
      <c r="J6" s="2372"/>
      <c r="K6" s="2372"/>
      <c r="L6" s="2372"/>
      <c r="M6" s="2372"/>
      <c r="N6" s="2372"/>
      <c r="O6" s="2372"/>
      <c r="P6" s="2372"/>
      <c r="Q6" s="2372"/>
      <c r="R6" s="2372"/>
    </row>
    <row r="7" spans="1:29" ht="27.75" thickBot="1">
      <c r="A7" s="431"/>
      <c r="B7" s="1798" t="s">
        <v>2048</v>
      </c>
      <c r="C7" s="2950" t="s">
        <v>3043</v>
      </c>
      <c r="D7" s="2380"/>
      <c r="E7" s="2381"/>
      <c r="F7" s="2382" t="s">
        <v>2051</v>
      </c>
      <c r="G7" s="2383"/>
      <c r="H7" s="2372"/>
      <c r="I7" s="2372"/>
      <c r="J7" s="2372"/>
      <c r="K7" s="2372"/>
      <c r="L7" s="2372"/>
      <c r="M7" s="2372"/>
      <c r="N7" s="2372"/>
      <c r="O7" s="2372"/>
      <c r="P7" s="2372"/>
      <c r="Q7" s="2372"/>
      <c r="R7" s="2372"/>
    </row>
    <row r="8" spans="1:29" ht="27">
      <c r="A8" s="431"/>
      <c r="B8" s="1798" t="s">
        <v>2050</v>
      </c>
      <c r="C8" s="2950" t="s">
        <v>3041</v>
      </c>
      <c r="D8" s="2380"/>
      <c r="E8" s="2380"/>
      <c r="F8" s="1136"/>
      <c r="G8" s="1136"/>
      <c r="H8" s="2372"/>
      <c r="I8" s="2372"/>
      <c r="J8" s="2372"/>
      <c r="K8" s="2372"/>
      <c r="L8" s="2372"/>
      <c r="M8" s="2372"/>
      <c r="N8" s="2372"/>
      <c r="O8" s="2372"/>
      <c r="P8" s="2372"/>
      <c r="Q8" s="2372"/>
      <c r="R8" s="2372"/>
    </row>
    <row r="9" spans="1:29" ht="40.5">
      <c r="A9" s="431"/>
      <c r="B9" s="1798" t="s">
        <v>2052</v>
      </c>
      <c r="C9" s="2949" t="s">
        <v>3039</v>
      </c>
      <c r="D9" s="2374"/>
      <c r="E9" s="2380"/>
      <c r="F9" s="1136"/>
      <c r="G9" s="1136"/>
      <c r="H9" s="2372"/>
      <c r="I9" s="2372"/>
      <c r="J9" s="2372"/>
      <c r="K9" s="2372"/>
      <c r="L9" s="2372"/>
      <c r="M9" s="2372"/>
      <c r="N9" s="2372"/>
      <c r="O9" s="2372"/>
      <c r="P9" s="2372"/>
      <c r="Q9" s="2372"/>
      <c r="R9" s="2372"/>
    </row>
    <row r="10" spans="1:29" s="117" customFormat="1" ht="15.75" thickBot="1">
      <c r="A10" s="2384"/>
      <c r="B10" s="2385" t="s">
        <v>2053</v>
      </c>
      <c r="C10" s="2386" t="s">
        <v>3037</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2054</v>
      </c>
      <c r="B13" s="2391"/>
      <c r="C13" s="2391"/>
      <c r="D13" s="2398"/>
      <c r="E13" s="2391"/>
      <c r="F13" s="2391"/>
      <c r="G13" s="2391"/>
    </row>
    <row r="14" spans="1:29" ht="15.75" thickBot="1">
      <c r="A14" s="2402"/>
      <c r="B14" s="2403"/>
      <c r="C14" s="2404" t="s">
        <v>2055</v>
      </c>
      <c r="D14" s="2374"/>
      <c r="E14" s="2405"/>
      <c r="F14" s="2405"/>
      <c r="G14" s="2369" t="s">
        <v>2056</v>
      </c>
    </row>
    <row r="15" spans="1:29" ht="85.5">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5">
      <c r="A16" s="645"/>
      <c r="B16" s="2408" t="s">
        <v>2045</v>
      </c>
      <c r="C16" s="2409">
        <f>C4</f>
        <v>0</v>
      </c>
      <c r="D16" s="2374"/>
      <c r="E16" s="2410"/>
      <c r="F16" s="2411" t="s">
        <v>2046</v>
      </c>
      <c r="G16" s="136">
        <f>G4</f>
        <v>0</v>
      </c>
    </row>
    <row r="17" spans="1:18" ht="15">
      <c r="A17" s="645"/>
      <c r="B17" s="2408" t="s">
        <v>2047</v>
      </c>
      <c r="C17" s="2409">
        <f>C5</f>
        <v>0</v>
      </c>
      <c r="D17" s="2380"/>
      <c r="E17" s="2410"/>
      <c r="F17" s="2411" t="s">
        <v>2060</v>
      </c>
      <c r="G17" s="1572"/>
    </row>
    <row r="18" spans="1:18" ht="85.5">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5">
      <c r="A19" s="645"/>
      <c r="B19" s="2411" t="s">
        <v>2061</v>
      </c>
      <c r="C19" s="2948" t="s">
        <v>3035</v>
      </c>
      <c r="D19" s="2374"/>
      <c r="E19" s="2410"/>
      <c r="F19" s="1798" t="s">
        <v>2048</v>
      </c>
      <c r="G19" s="136">
        <f>G5</f>
        <v>0</v>
      </c>
    </row>
    <row r="20" spans="1:18" ht="42.75">
      <c r="A20" s="645"/>
      <c r="B20" s="2411" t="s">
        <v>2062</v>
      </c>
      <c r="C20" s="2409" t="str">
        <f>C9</f>
        <v>区域自然环境：团结湖公园；人文环境：农业展览馆；综合评价环境状况好</v>
      </c>
      <c r="D20" s="2380"/>
      <c r="E20" s="2410"/>
      <c r="F20" s="1798" t="s">
        <v>2063</v>
      </c>
      <c r="G20" s="136">
        <f>G6</f>
        <v>0</v>
      </c>
    </row>
    <row r="21" spans="1:18" ht="28.5">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75" thickBot="1">
      <c r="A23" s="645"/>
      <c r="B23" s="2411" t="s">
        <v>2064</v>
      </c>
      <c r="C23" s="2412" t="s">
        <v>3036</v>
      </c>
      <c r="D23" s="2399"/>
      <c r="E23" s="2413"/>
      <c r="F23" s="2414" t="s">
        <v>2065</v>
      </c>
      <c r="G23" s="2415"/>
      <c r="H23" s="2399"/>
      <c r="I23" s="2400"/>
      <c r="J23" s="2399"/>
      <c r="K23" s="2399"/>
      <c r="L23" s="2400"/>
      <c r="M23" s="2399"/>
      <c r="N23" s="2399"/>
      <c r="O23" s="2400"/>
      <c r="P23" s="2399"/>
      <c r="Q23" s="2399"/>
      <c r="R23" s="2401"/>
    </row>
    <row r="24" spans="1:18" s="2372" customFormat="1" ht="15.75"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1357</v>
      </c>
      <c r="B1" s="1746">
        <f>SUM(B14:B23)</f>
        <v>32663.93</v>
      </c>
      <c r="C1" s="1745"/>
      <c r="D1" s="1745"/>
      <c r="E1" s="1745"/>
      <c r="F1" s="1745"/>
      <c r="G1" s="1743"/>
    </row>
    <row r="2" spans="1:10" ht="16.5">
      <c r="A2" s="1746" t="s">
        <v>1345</v>
      </c>
      <c r="B2" s="1746">
        <f>SUM(C14:C23)</f>
        <v>4601</v>
      </c>
      <c r="C2" s="1745"/>
      <c r="D2" s="1745"/>
      <c r="E2" s="1745"/>
      <c r="F2" s="1745"/>
      <c r="G2" s="1743"/>
    </row>
    <row r="3" spans="1:10" ht="16.5">
      <c r="A3" s="1746" t="s">
        <v>1354</v>
      </c>
      <c r="B3" s="1747">
        <f>项目基本情况!D3</f>
        <v>43493</v>
      </c>
      <c r="C3" s="1745"/>
      <c r="D3" s="1745"/>
      <c r="E3" s="1745"/>
      <c r="F3" s="1745"/>
      <c r="G3" s="1743"/>
    </row>
    <row r="4" spans="1:10" ht="33">
      <c r="A4" s="1746" t="s">
        <v>1353</v>
      </c>
      <c r="B4" s="1746" t="s">
        <v>1352</v>
      </c>
      <c r="C4" s="1746" t="s">
        <v>1351</v>
      </c>
      <c r="D4" s="1746" t="s">
        <v>1350</v>
      </c>
      <c r="E4" s="1745"/>
      <c r="F4" s="1743"/>
      <c r="G4" s="1743"/>
    </row>
    <row r="5" spans="1:10" ht="16.5">
      <c r="A5" s="1746" t="s">
        <v>1349</v>
      </c>
      <c r="B5" s="1746">
        <f ca="1">SUM(D14:D23)</f>
        <v>457909</v>
      </c>
      <c r="C5" s="1746">
        <f ca="1">ROUND(B5*10000/$B$1,0)</f>
        <v>140188</v>
      </c>
      <c r="D5" s="1746">
        <f ca="1">ROUND(B5*10000/$B$2,0)</f>
        <v>995238</v>
      </c>
      <c r="E5" s="1745"/>
      <c r="F5" s="1743"/>
      <c r="G5" s="1743"/>
    </row>
    <row r="6" spans="1:10" ht="16.5">
      <c r="A6" s="1746" t="s">
        <v>1348</v>
      </c>
      <c r="B6" s="1746">
        <f>SUM(G14:G23)</f>
        <v>0</v>
      </c>
      <c r="C6" s="1746">
        <f>ROUND(B6*10000/$B$1,0)</f>
        <v>0</v>
      </c>
      <c r="D6" s="1746">
        <f>ROUND(B6*10000/$B$2,0)</f>
        <v>0</v>
      </c>
      <c r="E6" s="1745"/>
      <c r="F6" s="1743"/>
      <c r="G6" s="1743"/>
    </row>
    <row r="7" spans="1:10" ht="16.5">
      <c r="A7" s="1746" t="s">
        <v>1356</v>
      </c>
      <c r="B7" s="1746">
        <f ca="1">SUM(H14:H23)</f>
        <v>457909</v>
      </c>
      <c r="C7" s="1746">
        <f ca="1">ROUND(B7*10000/$B$1,0)</f>
        <v>140188</v>
      </c>
      <c r="D7" s="1746">
        <f ca="1">ROUND(B7*10000/$B$2,0)</f>
        <v>995238</v>
      </c>
      <c r="E7" s="1745"/>
      <c r="F7" s="1743"/>
      <c r="G7" s="1743"/>
    </row>
    <row r="8" spans="1:10" ht="16.5">
      <c r="A8" s="1746" t="s">
        <v>1277</v>
      </c>
      <c r="B8" s="1746">
        <f>SUM(I14:I23)</f>
        <v>0</v>
      </c>
      <c r="C8" s="1746">
        <f>ROUND(B8*10000/$B$1,0)</f>
        <v>0</v>
      </c>
      <c r="D8" s="1746">
        <f>ROUND(B8*10000/$B$2,0)</f>
        <v>0</v>
      </c>
      <c r="E8" s="1745"/>
      <c r="F8" s="1743"/>
      <c r="G8" s="1743"/>
    </row>
    <row r="9" spans="1:10" ht="16.5">
      <c r="A9" s="1746" t="s">
        <v>1347</v>
      </c>
      <c r="B9" s="1748"/>
      <c r="C9" s="1745"/>
      <c r="D9" s="1745"/>
      <c r="E9" s="1745"/>
      <c r="F9" s="1743"/>
      <c r="G9" s="1743"/>
    </row>
    <row r="10" spans="1:10" ht="16.5">
      <c r="A10" s="1746" t="s">
        <v>1346</v>
      </c>
      <c r="B10" s="1748"/>
      <c r="C10" s="1745"/>
      <c r="D10" s="1745"/>
      <c r="E10" s="1745"/>
      <c r="F10" s="1743"/>
      <c r="G10" s="1743"/>
    </row>
    <row r="11" spans="1:10" ht="16.5">
      <c r="A11" s="1746" t="s">
        <v>1362</v>
      </c>
      <c r="B11" s="1748"/>
      <c r="C11" s="1745"/>
      <c r="D11" s="1745"/>
      <c r="E11" s="1745"/>
      <c r="F11" s="1743"/>
      <c r="G11" s="1743"/>
    </row>
    <row r="12" spans="1:10" ht="16.5">
      <c r="A12" s="1745"/>
      <c r="B12" s="1745"/>
      <c r="C12" s="1745"/>
      <c r="D12" s="1745"/>
      <c r="E12" s="1745"/>
      <c r="F12" s="1743"/>
      <c r="G12" s="1743"/>
    </row>
    <row r="13" spans="1:10" ht="33">
      <c r="A13" s="1751" t="s">
        <v>1361</v>
      </c>
      <c r="B13" s="1744" t="s">
        <v>1358</v>
      </c>
      <c r="C13" s="1744" t="s">
        <v>1360</v>
      </c>
      <c r="D13" s="1744" t="s">
        <v>1359</v>
      </c>
      <c r="E13" s="1746" t="s">
        <v>1351</v>
      </c>
      <c r="F13" s="1746" t="s">
        <v>1350</v>
      </c>
      <c r="G13" s="1744" t="s">
        <v>1344</v>
      </c>
      <c r="H13" s="1744" t="s">
        <v>1355</v>
      </c>
      <c r="I13" s="1744" t="s">
        <v>1343</v>
      </c>
      <c r="J13" s="1743"/>
    </row>
    <row r="14" spans="1:10" ht="16.5">
      <c r="A14" s="1742" t="s">
        <v>1342</v>
      </c>
      <c r="B14" s="1744">
        <f>结果表!B118</f>
        <v>32663.93</v>
      </c>
      <c r="C14" s="1744">
        <f>结果表!C118</f>
        <v>4601</v>
      </c>
      <c r="D14" s="1744">
        <f ca="1">结果表!H118</f>
        <v>457909</v>
      </c>
      <c r="E14" s="1744">
        <f ca="1">ROUND(D14*10000/B14,0)</f>
        <v>140188</v>
      </c>
      <c r="F14" s="1744">
        <f ca="1">ROUND(D14*10000/C14,0)</f>
        <v>995238</v>
      </c>
      <c r="G14" s="1744" t="str">
        <f>结果表!D122</f>
        <v>——</v>
      </c>
      <c r="H14" s="1744">
        <f ca="1">结果表!D124</f>
        <v>457909</v>
      </c>
      <c r="I14" s="1744" t="str">
        <f>结果表!D126</f>
        <v>——</v>
      </c>
      <c r="J14" s="1743"/>
    </row>
    <row r="15" spans="1:10" ht="16.5">
      <c r="A15" s="1742" t="s">
        <v>1341</v>
      </c>
      <c r="B15" s="1749"/>
      <c r="C15" s="1749"/>
      <c r="D15" s="1749"/>
      <c r="E15" s="1744" t="e">
        <f t="shared" ref="E15:E23" si="0">ROUND(D15*10000/B15,0)</f>
        <v>#DIV/0!</v>
      </c>
      <c r="F15" s="1744" t="e">
        <f t="shared" ref="F15:F23" si="1">ROUND(D15*10000/C15,0)</f>
        <v>#DIV/0!</v>
      </c>
      <c r="G15" s="1750"/>
      <c r="H15" s="1750"/>
      <c r="I15" s="1749"/>
      <c r="J15" s="1743"/>
    </row>
    <row r="16" spans="1:10" ht="16.5">
      <c r="A16" s="1742" t="s">
        <v>1340</v>
      </c>
      <c r="B16" s="1749"/>
      <c r="C16" s="1749"/>
      <c r="D16" s="1749"/>
      <c r="E16" s="1744" t="e">
        <f t="shared" si="0"/>
        <v>#DIV/0!</v>
      </c>
      <c r="F16" s="1744" t="e">
        <f t="shared" si="1"/>
        <v>#DIV/0!</v>
      </c>
      <c r="G16" s="1750"/>
      <c r="H16" s="1750"/>
      <c r="I16" s="1749"/>
    </row>
    <row r="17" spans="1:9" ht="16.5">
      <c r="A17" s="1742" t="s">
        <v>1339</v>
      </c>
      <c r="B17" s="1749"/>
      <c r="C17" s="1749"/>
      <c r="D17" s="1749"/>
      <c r="E17" s="1744" t="e">
        <f t="shared" si="0"/>
        <v>#DIV/0!</v>
      </c>
      <c r="F17" s="1744" t="e">
        <f t="shared" si="1"/>
        <v>#DIV/0!</v>
      </c>
      <c r="G17" s="1750"/>
      <c r="H17" s="1750"/>
      <c r="I17" s="1749"/>
    </row>
    <row r="18" spans="1:9" ht="16.5">
      <c r="A18" s="1742" t="s">
        <v>1338</v>
      </c>
      <c r="B18" s="1749"/>
      <c r="C18" s="1749"/>
      <c r="D18" s="1749"/>
      <c r="E18" s="1744" t="e">
        <f t="shared" si="0"/>
        <v>#DIV/0!</v>
      </c>
      <c r="F18" s="1744" t="e">
        <f t="shared" si="1"/>
        <v>#DIV/0!</v>
      </c>
      <c r="G18" s="1749"/>
      <c r="H18" s="1749"/>
      <c r="I18" s="1749"/>
    </row>
    <row r="19" spans="1:9" ht="16.5">
      <c r="A19" s="1742" t="s">
        <v>1337</v>
      </c>
      <c r="B19" s="1749"/>
      <c r="C19" s="1749"/>
      <c r="D19" s="1749"/>
      <c r="E19" s="1744" t="e">
        <f t="shared" si="0"/>
        <v>#DIV/0!</v>
      </c>
      <c r="F19" s="1744" t="e">
        <f t="shared" si="1"/>
        <v>#DIV/0!</v>
      </c>
      <c r="G19" s="1749"/>
      <c r="H19" s="1749"/>
      <c r="I19" s="1749"/>
    </row>
    <row r="20" spans="1:9" ht="16.5">
      <c r="A20" s="1742" t="s">
        <v>1336</v>
      </c>
      <c r="B20" s="1749"/>
      <c r="C20" s="1749"/>
      <c r="D20" s="1749"/>
      <c r="E20" s="1744" t="e">
        <f t="shared" si="0"/>
        <v>#DIV/0!</v>
      </c>
      <c r="F20" s="1744" t="e">
        <f t="shared" si="1"/>
        <v>#DIV/0!</v>
      </c>
      <c r="G20" s="1749"/>
      <c r="H20" s="1749"/>
      <c r="I20" s="1749"/>
    </row>
    <row r="21" spans="1:9" ht="16.5">
      <c r="A21" s="1742" t="s">
        <v>1335</v>
      </c>
      <c r="B21" s="1749"/>
      <c r="C21" s="1749"/>
      <c r="D21" s="1749"/>
      <c r="E21" s="1744" t="e">
        <f t="shared" si="0"/>
        <v>#DIV/0!</v>
      </c>
      <c r="F21" s="1744" t="e">
        <f t="shared" si="1"/>
        <v>#DIV/0!</v>
      </c>
      <c r="G21" s="1749"/>
      <c r="H21" s="1749"/>
      <c r="I21" s="1749"/>
    </row>
    <row r="22" spans="1:9" ht="16.5">
      <c r="A22" s="1742" t="s">
        <v>1334</v>
      </c>
      <c r="B22" s="1749"/>
      <c r="C22" s="1749"/>
      <c r="D22" s="1749"/>
      <c r="E22" s="1744" t="e">
        <f t="shared" si="0"/>
        <v>#DIV/0!</v>
      </c>
      <c r="F22" s="1744" t="e">
        <f t="shared" si="1"/>
        <v>#DIV/0!</v>
      </c>
      <c r="G22" s="1749"/>
      <c r="H22" s="1749"/>
      <c r="I22" s="1749"/>
    </row>
    <row r="23" spans="1:9" ht="16.5">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1" zoomScaleNormal="100" zoomScaleSheetLayoutView="100" zoomScalePageLayoutView="80" workbookViewId="0">
      <selection activeCell="C79" sqref="C79:C81"/>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2067</v>
      </c>
      <c r="B1" s="2422"/>
      <c r="C1" s="2423"/>
      <c r="D1" s="2422"/>
      <c r="E1" s="2422"/>
      <c r="F1" s="2424" t="s">
        <v>2068</v>
      </c>
      <c r="G1" s="2074" t="s">
        <v>3022</v>
      </c>
      <c r="H1" s="2425" t="str">
        <f>IF(G1="现房","——","估价对象范围")</f>
        <v>——</v>
      </c>
      <c r="I1" s="2426" t="s">
        <v>3069</v>
      </c>
    </row>
    <row r="2" spans="1:12" ht="21.75" customHeight="1" thickBot="1">
      <c r="A2" s="3088" t="str">
        <f>项目基本情况!S2</f>
        <v>北京市朝阳区工人体育场北路甲2号（西部）房地产</v>
      </c>
      <c r="B2" s="3089"/>
      <c r="C2" s="3089"/>
      <c r="D2" s="3089"/>
      <c r="E2" s="3089"/>
      <c r="F2" s="3089"/>
      <c r="G2" s="3089"/>
      <c r="H2" s="3089"/>
      <c r="I2" s="3090"/>
    </row>
    <row r="3" spans="1:12" ht="12.75">
      <c r="A3" s="3092" t="s">
        <v>2069</v>
      </c>
      <c r="B3" s="3093"/>
      <c r="C3" s="3093"/>
      <c r="D3" s="3093"/>
      <c r="E3" s="3093"/>
      <c r="F3" s="3093"/>
      <c r="G3" s="3093"/>
      <c r="H3" s="3093"/>
      <c r="I3" s="3093"/>
    </row>
    <row r="4" spans="1:12" ht="14.25">
      <c r="A4" s="2429" t="s">
        <v>2070</v>
      </c>
      <c r="B4" s="2430" t="s">
        <v>2071</v>
      </c>
      <c r="C4" s="2431" t="s">
        <v>3003</v>
      </c>
      <c r="D4" s="2431" t="s">
        <v>3004</v>
      </c>
      <c r="E4" s="3085" t="s">
        <v>2072</v>
      </c>
      <c r="F4" s="3086"/>
      <c r="G4" s="3086"/>
      <c r="H4" s="3086"/>
      <c r="I4" s="3094"/>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8" t="s">
        <v>2073</v>
      </c>
      <c r="B5" s="3006">
        <v>25</v>
      </c>
      <c r="C5" s="3071"/>
      <c r="D5" s="3091"/>
      <c r="E5" s="140" t="s">
        <v>2074</v>
      </c>
      <c r="F5" s="2433"/>
      <c r="G5" s="2433"/>
      <c r="H5" s="2433"/>
      <c r="I5" s="1834"/>
    </row>
    <row r="6" spans="1:12" ht="12.75">
      <c r="A6" s="3068"/>
      <c r="B6" s="3006"/>
      <c r="C6" s="3072"/>
      <c r="D6" s="3091"/>
      <c r="E6" s="140" t="s">
        <v>2075</v>
      </c>
      <c r="F6" s="2433"/>
      <c r="G6" s="2433"/>
      <c r="H6" s="2433"/>
      <c r="I6" s="1834"/>
    </row>
    <row r="7" spans="1:12" ht="12.75">
      <c r="A7" s="3068"/>
      <c r="B7" s="3006"/>
      <c r="C7" s="3073"/>
      <c r="D7" s="3091"/>
      <c r="E7" s="140" t="s">
        <v>2076</v>
      </c>
      <c r="F7" s="2433"/>
      <c r="G7" s="2433"/>
      <c r="H7" s="2433"/>
      <c r="I7" s="1834"/>
    </row>
    <row r="8" spans="1:12" ht="12.75">
      <c r="A8" s="3068" t="s">
        <v>2077</v>
      </c>
      <c r="B8" s="3006">
        <v>15</v>
      </c>
      <c r="C8" s="3071"/>
      <c r="D8" s="3091"/>
      <c r="E8" s="140" t="s">
        <v>2078</v>
      </c>
      <c r="F8" s="2433"/>
      <c r="G8" s="2433"/>
      <c r="H8" s="2433"/>
      <c r="I8" s="1834"/>
    </row>
    <row r="9" spans="1:12" ht="12.75">
      <c r="A9" s="3068"/>
      <c r="B9" s="3006"/>
      <c r="C9" s="3073"/>
      <c r="D9" s="3091"/>
      <c r="E9" s="140" t="s">
        <v>2079</v>
      </c>
      <c r="F9" s="2433"/>
      <c r="G9" s="2433"/>
      <c r="H9" s="2433"/>
      <c r="I9" s="1834"/>
    </row>
    <row r="10" spans="1:12" ht="12.75">
      <c r="A10" s="3068" t="s">
        <v>2080</v>
      </c>
      <c r="B10" s="3006">
        <v>15</v>
      </c>
      <c r="C10" s="3071"/>
      <c r="D10" s="3091"/>
      <c r="E10" s="140" t="s">
        <v>2081</v>
      </c>
      <c r="F10" s="2433"/>
      <c r="G10" s="2433"/>
      <c r="H10" s="2433"/>
      <c r="I10" s="1834"/>
    </row>
    <row r="11" spans="1:12" ht="12.75">
      <c r="A11" s="3068"/>
      <c r="B11" s="3006"/>
      <c r="C11" s="3073"/>
      <c r="D11" s="3091"/>
      <c r="E11" s="140" t="s">
        <v>2082</v>
      </c>
      <c r="F11" s="2433"/>
      <c r="G11" s="2433"/>
      <c r="H11" s="2433"/>
      <c r="I11" s="1834"/>
    </row>
    <row r="12" spans="1:12" ht="12.75">
      <c r="A12" s="3068" t="s">
        <v>2083</v>
      </c>
      <c r="B12" s="3006">
        <v>15</v>
      </c>
      <c r="C12" s="3071"/>
      <c r="D12" s="3091"/>
      <c r="E12" s="140" t="s">
        <v>2084</v>
      </c>
      <c r="F12" s="2433"/>
      <c r="G12" s="2433"/>
      <c r="H12" s="2433"/>
      <c r="I12" s="1834"/>
    </row>
    <row r="13" spans="1:12" ht="12.75">
      <c r="A13" s="3068"/>
      <c r="B13" s="3006"/>
      <c r="C13" s="3073"/>
      <c r="D13" s="3091"/>
      <c r="E13" s="140" t="s">
        <v>2085</v>
      </c>
      <c r="F13" s="2433"/>
      <c r="G13" s="2433"/>
      <c r="H13" s="2433"/>
      <c r="I13" s="1834"/>
    </row>
    <row r="14" spans="1:12" ht="12.75">
      <c r="A14" s="3068" t="s">
        <v>2086</v>
      </c>
      <c r="B14" s="3006">
        <v>30</v>
      </c>
      <c r="C14" s="3071">
        <v>1</v>
      </c>
      <c r="D14" s="3091">
        <v>0</v>
      </c>
      <c r="E14" s="140" t="s">
        <v>2087</v>
      </c>
      <c r="F14" s="2433"/>
      <c r="G14" s="2433"/>
      <c r="H14" s="2433"/>
      <c r="I14" s="1834"/>
    </row>
    <row r="15" spans="1:12" ht="12.75">
      <c r="A15" s="3068"/>
      <c r="B15" s="3006"/>
      <c r="C15" s="3072"/>
      <c r="D15" s="3091"/>
      <c r="E15" s="140" t="s">
        <v>2088</v>
      </c>
      <c r="F15" s="2433"/>
      <c r="G15" s="2433"/>
      <c r="H15" s="2433"/>
      <c r="I15" s="1834"/>
    </row>
    <row r="16" spans="1:12" ht="12.75">
      <c r="A16" s="3068"/>
      <c r="B16" s="3006"/>
      <c r="C16" s="3073"/>
      <c r="D16" s="3091"/>
      <c r="E16" s="140" t="s">
        <v>2089</v>
      </c>
      <c r="F16" s="2433"/>
      <c r="G16" s="2433"/>
      <c r="H16" s="2433"/>
      <c r="I16" s="1834"/>
    </row>
    <row r="17" spans="1:35" ht="15">
      <c r="A17" s="2434" t="s">
        <v>2090</v>
      </c>
      <c r="B17" s="64"/>
      <c r="C17" s="141">
        <f>SUM(C5:C16)</f>
        <v>1</v>
      </c>
      <c r="D17" s="141">
        <f>SUM(D5:D16)</f>
        <v>0</v>
      </c>
      <c r="E17" s="138"/>
      <c r="F17" s="138"/>
      <c r="G17" s="138"/>
      <c r="H17" s="138"/>
      <c r="I17" s="138"/>
      <c r="K17" s="2432"/>
      <c r="L17" s="2435" t="s">
        <v>2091</v>
      </c>
      <c r="M17" s="2435" t="s">
        <v>2092</v>
      </c>
    </row>
    <row r="18" spans="1:35" ht="15.75" thickBot="1">
      <c r="A18" s="2436" t="s">
        <v>2093</v>
      </c>
      <c r="B18" s="2437"/>
      <c r="C18" s="142">
        <f>ROUND(C17/SUM(C17:D17),2)</f>
        <v>1</v>
      </c>
      <c r="D18" s="142">
        <f>1-C18</f>
        <v>0</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5">
      <c r="A19" s="2438" t="s">
        <v>2095</v>
      </c>
      <c r="B19" s="2439" t="s">
        <v>2096</v>
      </c>
      <c r="C19" s="143">
        <f ca="1">SUMIF(INDIRECT("'"&amp;C4&amp;"'"&amp;"!A:A"),结果表!B19,INDIRECT("'"&amp;C4&amp;"'"&amp;"!B:B"))</f>
        <v>457909</v>
      </c>
      <c r="D19" s="144">
        <f ca="1">SUMIF(INDIRECT("'"&amp;D4&amp;"'"&amp;"!A:A"),结果表!B19,INDIRECT("'"&amp;D4&amp;"'"&amp;"!B:B"))</f>
        <v>189431</v>
      </c>
      <c r="E19" s="2438" t="s">
        <v>2097</v>
      </c>
      <c r="F19" s="2439" t="s">
        <v>2096</v>
      </c>
      <c r="G19" s="145">
        <f ca="1">ROUND(C19*$C$18+D19*$D$18,0)</f>
        <v>457909</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5">
      <c r="A20" s="2441"/>
      <c r="B20" s="1250" t="s">
        <v>2100</v>
      </c>
      <c r="C20" s="146">
        <f ca="1">SUMIF(INDIRECT("'"&amp;C4&amp;"'"&amp;"!A:A"),结果表!B20,INDIRECT("'"&amp;C4&amp;"'"&amp;"!B:B"))</f>
        <v>140188</v>
      </c>
      <c r="D20" s="147">
        <f ca="1">SUMIF(INDIRECT("'"&amp;D4&amp;"'"&amp;"!A:A"),结果表!B20,INDIRECT("'"&amp;D4&amp;"'"&amp;"!B:B"))</f>
        <v>57994</v>
      </c>
      <c r="E20" s="2441"/>
      <c r="F20" s="1250" t="s">
        <v>2100</v>
      </c>
      <c r="G20" s="148">
        <f ca="1">ROUND(C20*$C$18+D20*$D$18,0)</f>
        <v>140188</v>
      </c>
      <c r="H20" s="983" t="s">
        <v>2101</v>
      </c>
      <c r="I20" s="138"/>
    </row>
    <row r="21" spans="1:35" ht="15" customHeight="1" thickBot="1">
      <c r="A21" s="1003"/>
      <c r="B21" s="2442" t="s">
        <v>2102</v>
      </c>
      <c r="C21" s="789">
        <f ca="1">ROUND(C19*10000/L19,0)</f>
        <v>995238</v>
      </c>
      <c r="D21" s="790">
        <f ca="1">ROUND(D19*10000/L19,0)</f>
        <v>411717</v>
      </c>
      <c r="E21" s="1003"/>
      <c r="F21" s="2442" t="s">
        <v>2102</v>
      </c>
      <c r="G21" s="149">
        <f ca="1">ROUND(G19*10000/L19,0)</f>
        <v>995238</v>
      </c>
      <c r="H21" s="2443" t="s">
        <v>2101</v>
      </c>
      <c r="I21" s="138"/>
    </row>
    <row r="22" spans="1:35" ht="15" thickBot="1">
      <c r="A22" s="2285" t="s">
        <v>2103</v>
      </c>
      <c r="B22" s="2444"/>
      <c r="C22" s="2445"/>
      <c r="D22" s="791">
        <f ca="1">IF(C19&lt;D19,D19/C19-1,C19/D19-1)</f>
        <v>1.4172865053766279</v>
      </c>
      <c r="E22" s="138"/>
      <c r="F22" s="138"/>
      <c r="G22" s="138"/>
      <c r="H22" s="138"/>
      <c r="I22" s="138"/>
    </row>
    <row r="23" spans="1:35" ht="13.5" thickBot="1">
      <c r="A23" s="2422"/>
      <c r="B23" s="2422"/>
      <c r="C23" s="2422"/>
      <c r="D23" s="2422"/>
      <c r="E23" s="138"/>
      <c r="F23" s="138"/>
      <c r="G23" s="138"/>
      <c r="H23" s="138"/>
      <c r="I23" s="138"/>
    </row>
    <row r="24" spans="1:35" ht="14.25">
      <c r="A24" s="3062" t="s">
        <v>2104</v>
      </c>
      <c r="B24" s="2439" t="s">
        <v>2096</v>
      </c>
      <c r="C24" s="145">
        <f>IF(B30=0,0,D30)</f>
        <v>0</v>
      </c>
      <c r="D24" s="2446"/>
      <c r="E24" s="138"/>
      <c r="F24" s="138"/>
      <c r="G24" s="138"/>
      <c r="H24" s="138"/>
      <c r="I24" s="138"/>
    </row>
    <row r="25" spans="1:35" ht="14.25">
      <c r="A25" s="3063"/>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2960" t="s">
        <v>3085</v>
      </c>
      <c r="E28" s="138"/>
      <c r="F28" s="138"/>
      <c r="G28" s="138"/>
      <c r="H28" s="138"/>
      <c r="I28" s="138"/>
    </row>
    <row r="29" spans="1:35" ht="14.25">
      <c r="A29" s="2448"/>
      <c r="B29" s="151"/>
      <c r="C29" s="151"/>
      <c r="D29" s="152"/>
      <c r="E29" s="138"/>
      <c r="F29" s="138"/>
      <c r="G29" s="138"/>
      <c r="H29" s="138"/>
      <c r="I29" s="138"/>
    </row>
    <row r="30" spans="1:35" ht="14.25">
      <c r="A30" s="151" t="s">
        <v>2109</v>
      </c>
      <c r="B30" s="151"/>
      <c r="C30" s="151"/>
      <c r="D30" s="151"/>
      <c r="E30" s="2929" t="s">
        <v>2984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2110</v>
      </c>
      <c r="B32" s="2452"/>
      <c r="C32" s="153">
        <f ca="1">IF(D32="总价",G19-C24,G20-C25)</f>
        <v>457909</v>
      </c>
      <c r="D32" s="2453" t="s">
        <v>2111</v>
      </c>
      <c r="E32" s="138"/>
      <c r="F32" s="138"/>
      <c r="G32" s="138"/>
      <c r="H32" s="138"/>
      <c r="I32" s="138"/>
    </row>
    <row r="33" spans="1:15" ht="15">
      <c r="A33" s="960" t="s">
        <v>2112</v>
      </c>
      <c r="B33" s="2454"/>
      <c r="C33" s="2455"/>
      <c r="D33" s="2456"/>
      <c r="E33" s="2457" t="s">
        <v>2113</v>
      </c>
      <c r="F33" s="2458" t="str">
        <f>IF(D32="楼面单价","取值（单价）","取值（总价）")</f>
        <v>取值（总价）</v>
      </c>
      <c r="G33" s="138"/>
      <c r="H33" s="138"/>
      <c r="I33" s="138"/>
    </row>
    <row r="34" spans="1:15" ht="15">
      <c r="A34" s="2459"/>
      <c r="B34" s="2460" t="s">
        <v>2114</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2115</v>
      </c>
      <c r="F34" s="1739"/>
      <c r="G34" s="138"/>
      <c r="H34" s="138"/>
      <c r="I34" s="138"/>
    </row>
    <row r="35" spans="1:15" ht="15.75" thickBot="1">
      <c r="A35" s="2462"/>
      <c r="B35" s="2463" t="s">
        <v>2116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2117</v>
      </c>
      <c r="F35" s="163"/>
      <c r="G35" s="138"/>
      <c r="H35" s="138"/>
      <c r="I35" s="138"/>
    </row>
    <row r="36" spans="1:15" ht="15.75" thickBot="1">
      <c r="A36" s="3080" t="s">
        <v>2118</v>
      </c>
      <c r="B36" s="2465" t="s">
        <v>2119</v>
      </c>
      <c r="C36" s="154"/>
      <c r="D36" s="2466"/>
      <c r="E36" s="2467"/>
      <c r="F36" s="2468"/>
      <c r="G36" s="138"/>
      <c r="H36" s="138"/>
      <c r="I36" s="138"/>
    </row>
    <row r="37" spans="1:15" ht="15.75" thickBot="1">
      <c r="A37" s="3081"/>
      <c r="B37" s="2271" t="s">
        <v>2120</v>
      </c>
      <c r="C37" s="156"/>
      <c r="D37" s="1395"/>
      <c r="E37" s="1395"/>
      <c r="F37" s="2468"/>
      <c r="G37" s="138"/>
      <c r="H37" s="138"/>
      <c r="I37" s="138"/>
    </row>
    <row r="38" spans="1:15" ht="15.75" thickBot="1">
      <c r="A38" s="3082"/>
      <c r="B38" s="2469" t="s">
        <v>2121</v>
      </c>
      <c r="C38" s="727"/>
      <c r="D38" s="2470" t="s">
        <v>2122</v>
      </c>
      <c r="E38" s="1395"/>
      <c r="F38" s="2468"/>
      <c r="G38" s="138"/>
      <c r="H38" s="138"/>
      <c r="I38" s="138"/>
    </row>
    <row r="39" spans="1:15" ht="15">
      <c r="A39" s="2441" t="s">
        <v>2123</v>
      </c>
      <c r="B39" s="2471" t="s">
        <v>2124</v>
      </c>
      <c r="C39" s="2472" t="s">
        <v>2125</v>
      </c>
      <c r="D39" s="2472" t="s">
        <v>2126</v>
      </c>
      <c r="E39" s="2473" t="s">
        <v>2127</v>
      </c>
      <c r="F39" s="2468"/>
      <c r="G39" s="138"/>
      <c r="H39" s="138"/>
      <c r="I39" s="138"/>
    </row>
    <row r="40" spans="1:15" ht="14.25">
      <c r="A40" s="2474" t="s">
        <v>2128</v>
      </c>
      <c r="B40" s="158"/>
      <c r="C40" s="159"/>
      <c r="D40" s="159"/>
      <c r="E40" s="160"/>
      <c r="F40" s="2468"/>
      <c r="G40" s="138"/>
      <c r="H40" s="138"/>
      <c r="I40" s="138"/>
    </row>
    <row r="41" spans="1:15" ht="14.25">
      <c r="A41" s="2474" t="s">
        <v>2129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059" t="s">
        <v>2132</v>
      </c>
      <c r="B45" s="3060"/>
      <c r="C45" s="3061"/>
      <c r="D45" s="164">
        <f ca="1">ROUND(H101*F45,0)</f>
        <v>457909</v>
      </c>
      <c r="E45" s="165" t="s">
        <v>2133</v>
      </c>
      <c r="F45" s="166">
        <v>1</v>
      </c>
      <c r="G45" s="167" t="s">
        <v>2134</v>
      </c>
      <c r="H45" s="138"/>
      <c r="I45" s="138"/>
      <c r="J45" s="3119" t="s">
        <v>2135</v>
      </c>
      <c r="K45" s="3119"/>
      <c r="L45" s="3119"/>
      <c r="M45" s="3119"/>
      <c r="N45" s="3119"/>
      <c r="O45" s="3119"/>
    </row>
    <row r="46" spans="1:15" ht="14.25" customHeight="1">
      <c r="A46" s="3056" t="s">
        <v>2136</v>
      </c>
      <c r="B46" s="3057"/>
      <c r="C46" s="3057"/>
      <c r="D46" s="3057"/>
      <c r="E46" s="3057"/>
      <c r="F46" s="3057"/>
      <c r="G46" s="3058"/>
      <c r="H46" s="2484"/>
      <c r="I46" s="168"/>
      <c r="J46" s="1812">
        <v>1</v>
      </c>
      <c r="K46" s="3119" t="s">
        <v>2137</v>
      </c>
      <c r="L46" s="3119"/>
      <c r="M46" s="3139"/>
      <c r="N46" s="3139"/>
      <c r="O46" s="3139"/>
    </row>
    <row r="47" spans="1:15" ht="12" customHeight="1">
      <c r="A47" s="169" t="s">
        <v>2138</v>
      </c>
      <c r="B47" s="170"/>
      <c r="C47" s="171"/>
      <c r="D47" s="172" t="s">
        <v>2139</v>
      </c>
      <c r="E47" s="24" t="s">
        <v>2140</v>
      </c>
      <c r="F47" s="173" t="s">
        <v>2141</v>
      </c>
      <c r="G47" s="174" t="s">
        <v>2142</v>
      </c>
      <c r="H47" s="2484"/>
      <c r="I47" s="168"/>
      <c r="J47" s="1812">
        <v>2</v>
      </c>
      <c r="K47" s="3119" t="s">
        <v>2143</v>
      </c>
      <c r="L47" s="3119"/>
      <c r="M47" s="3140">
        <f>'数据-取费表'!B2</f>
        <v>43493</v>
      </c>
      <c r="N47" s="3140"/>
      <c r="O47" s="3140"/>
    </row>
    <row r="48" spans="1:15" ht="25.5">
      <c r="A48" s="3087" t="s">
        <v>2144</v>
      </c>
      <c r="B48" s="3070"/>
      <c r="C48" s="3070"/>
      <c r="D48" s="140">
        <f ca="1">IF(H48="情况1",0,IF(H48="情况2",D52,IF(H48="情况3",D53,IF(H48="情况4",D54))))</f>
        <v>24422</v>
      </c>
      <c r="E48" s="1801" t="str">
        <f>IF(H48="情况4","(销售额-原购置价)×税（费）率","销售额×税（费）率")</f>
        <v>(销售额-原购置价)×税（费）率</v>
      </c>
      <c r="F48" s="175">
        <f>IF(H48="情况1","免征",'数据-取费表'!B41)</f>
        <v>5.6000000000000001E-2</v>
      </c>
      <c r="G48" s="2485" t="s">
        <v>2145</v>
      </c>
      <c r="H48" s="2486" t="s">
        <v>3087</v>
      </c>
      <c r="I48" s="2484"/>
      <c r="J48" s="1812">
        <v>3</v>
      </c>
      <c r="K48" s="3119" t="s">
        <v>2146</v>
      </c>
      <c r="L48" s="3119"/>
      <c r="M48" s="3141">
        <f ca="1">H101</f>
        <v>457909</v>
      </c>
      <c r="N48" s="3141"/>
      <c r="O48" s="3141"/>
    </row>
    <row r="49" spans="1:35" ht="25.5" customHeight="1">
      <c r="A49" s="176" t="s">
        <v>2147</v>
      </c>
      <c r="B49" s="3055" t="s">
        <v>2148</v>
      </c>
      <c r="C49" s="3055"/>
      <c r="D49" s="177">
        <v>0</v>
      </c>
      <c r="E49" s="23" t="s">
        <v>2149</v>
      </c>
      <c r="F49" s="28" t="s">
        <v>34</v>
      </c>
      <c r="G49" s="3125"/>
      <c r="H49" s="138"/>
      <c r="I49" s="2487"/>
      <c r="J49" s="1812">
        <v>4</v>
      </c>
      <c r="K49" s="3119" t="str">
        <f>IF(项目基本情况!E8="房地产抵押价值","房地产抵押价值","抵押担保权已注销时的房地产抵押价值")</f>
        <v>抵押担保权已注销时的房地产抵押价值</v>
      </c>
      <c r="L49" s="3119"/>
      <c r="M49" s="3141">
        <f ca="1">IF(项目基本情况!E8="房地产抵押价值",H107,H109)</f>
        <v>457909</v>
      </c>
      <c r="N49" s="3141"/>
      <c r="O49" s="3141"/>
    </row>
    <row r="50" spans="1:35" ht="25.5" customHeight="1">
      <c r="A50" s="178"/>
      <c r="B50" s="3055" t="s">
        <v>2150</v>
      </c>
      <c r="C50" s="3055"/>
      <c r="D50" s="179"/>
      <c r="E50" s="31"/>
      <c r="F50" s="180"/>
      <c r="G50" s="3126"/>
      <c r="H50" s="138"/>
      <c r="I50" s="2487"/>
      <c r="J50" s="3119" t="s">
        <v>2151</v>
      </c>
      <c r="K50" s="3119"/>
      <c r="L50" s="3119"/>
      <c r="M50" s="3119"/>
      <c r="N50" s="3119"/>
      <c r="O50" s="3119"/>
    </row>
    <row r="51" spans="1:35" ht="12" customHeight="1">
      <c r="A51" s="181"/>
      <c r="B51" s="3055" t="s">
        <v>2152</v>
      </c>
      <c r="C51" s="3055"/>
      <c r="D51" s="182"/>
      <c r="E51" s="30"/>
      <c r="F51" s="180"/>
      <c r="G51" s="3127"/>
      <c r="H51" s="138"/>
      <c r="I51" s="2487"/>
      <c r="J51" s="2488" t="s">
        <v>2153</v>
      </c>
      <c r="K51" s="3119" t="s">
        <v>2154</v>
      </c>
      <c r="L51" s="3119"/>
      <c r="M51" s="2488" t="s">
        <v>2155</v>
      </c>
      <c r="N51" s="2488" t="s">
        <v>2156</v>
      </c>
      <c r="O51" s="2488" t="s">
        <v>2157</v>
      </c>
    </row>
    <row r="52" spans="1:35" ht="24" customHeight="1">
      <c r="A52" s="183" t="s">
        <v>2158</v>
      </c>
      <c r="B52" s="3055" t="s">
        <v>2159</v>
      </c>
      <c r="C52" s="3055"/>
      <c r="D52" s="182">
        <f ca="1">ROUND(D45*'数据-取费表'!B41/(1+'数据-取费表'!C42),0)</f>
        <v>24422</v>
      </c>
      <c r="E52" s="11" t="s">
        <v>2160</v>
      </c>
      <c r="F52" s="184">
        <f>'数据-取费表'!B41</f>
        <v>5.6000000000000001E-2</v>
      </c>
      <c r="G52" s="2489"/>
      <c r="H52" s="138"/>
      <c r="I52" s="2487"/>
      <c r="J52" s="1812">
        <v>1</v>
      </c>
      <c r="K52" s="3120" t="s">
        <v>2161</v>
      </c>
      <c r="L52" s="3120"/>
      <c r="M52" s="1754">
        <f ca="1">D48</f>
        <v>24422</v>
      </c>
      <c r="N52" s="1812" t="str">
        <f>E48</f>
        <v>(销售额-原购置价)×税（费）率</v>
      </c>
      <c r="O52" s="1755">
        <f>F48</f>
        <v>5.6000000000000001E-2</v>
      </c>
    </row>
    <row r="53" spans="1:35" ht="12" customHeight="1">
      <c r="A53" s="183" t="s">
        <v>2162</v>
      </c>
      <c r="B53" s="3078" t="s">
        <v>2163</v>
      </c>
      <c r="C53" s="3079"/>
      <c r="D53" s="182">
        <f ca="1">ROUND(D45*'数据-取费表'!B41/(1+'数据-取费表'!C42),0)</f>
        <v>24422</v>
      </c>
      <c r="E53" s="11" t="s">
        <v>2160</v>
      </c>
      <c r="F53" s="184">
        <f>'数据-取费表'!B41</f>
        <v>5.6000000000000001E-2</v>
      </c>
      <c r="G53" s="2489"/>
      <c r="H53" s="138"/>
      <c r="I53" s="2487"/>
      <c r="J53" s="1812">
        <v>2</v>
      </c>
      <c r="K53" s="3120" t="s">
        <v>2164</v>
      </c>
      <c r="L53" s="3120"/>
      <c r="M53" s="1754">
        <f t="shared" ref="M53:O54" ca="1" si="0">D55</f>
        <v>229</v>
      </c>
      <c r="N53" s="1812" t="str">
        <f t="shared" si="0"/>
        <v>销售额×税（费）率</v>
      </c>
      <c r="O53" s="1755">
        <f t="shared" si="0"/>
        <v>5.0000000000000001E-4</v>
      </c>
    </row>
    <row r="54" spans="1:35" ht="12" customHeight="1">
      <c r="A54" s="183" t="s">
        <v>2165</v>
      </c>
      <c r="B54" s="3078" t="s">
        <v>2166</v>
      </c>
      <c r="C54" s="3079"/>
      <c r="D54" s="182">
        <f ca="1">C68</f>
        <v>24422</v>
      </c>
      <c r="E54" s="30" t="s">
        <v>2167</v>
      </c>
      <c r="F54" s="184">
        <f>'数据-取费表'!B41</f>
        <v>5.6000000000000001E-2</v>
      </c>
      <c r="G54" s="2489"/>
      <c r="H54" s="2490"/>
      <c r="I54" s="2487"/>
      <c r="J54" s="1812">
        <v>3</v>
      </c>
      <c r="K54" s="3120" t="s">
        <v>2168</v>
      </c>
      <c r="L54" s="3120"/>
      <c r="M54" s="1754">
        <f t="shared" ca="1" si="0"/>
        <v>76103</v>
      </c>
      <c r="N54" s="1812" t="str">
        <f t="shared" si="0"/>
        <v>增值额×税（费）率</v>
      </c>
      <c r="O54" s="1756" t="str">
        <f t="shared" si="0"/>
        <v>——</v>
      </c>
    </row>
    <row r="55" spans="1:35" ht="24" customHeight="1">
      <c r="A55" s="3069" t="s">
        <v>2169</v>
      </c>
      <c r="B55" s="3070"/>
      <c r="C55" s="3070"/>
      <c r="D55" s="185">
        <f ca="1">IF(H55="个人住宅",0,ROUND(D45*I55,0))</f>
        <v>229</v>
      </c>
      <c r="E55" s="11" t="s">
        <v>2170</v>
      </c>
      <c r="F55" s="184">
        <f>IF(H55="正常",I55,"免征")</f>
        <v>5.0000000000000001E-4</v>
      </c>
      <c r="G55" s="2489"/>
      <c r="H55" s="2486" t="s">
        <v>2171</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2172</v>
      </c>
      <c r="B56" s="3070"/>
      <c r="C56" s="3070"/>
      <c r="D56" s="185">
        <f ca="1">IF(H56="个人住宅",D57,D58)</f>
        <v>76103</v>
      </c>
      <c r="E56" s="11" t="s">
        <v>2173</v>
      </c>
      <c r="F56" s="184" t="str">
        <f>IF(H56="正常",F58,"免征")</f>
        <v>——</v>
      </c>
      <c r="G56" s="2491" t="s">
        <v>2174</v>
      </c>
      <c r="H56" s="2492" t="s">
        <v>2171</v>
      </c>
      <c r="I56" s="2493"/>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2147</v>
      </c>
      <c r="B57" s="3085" t="s">
        <v>2175</v>
      </c>
      <c r="C57" s="3094"/>
      <c r="D57" s="187">
        <v>0</v>
      </c>
      <c r="E57" s="23" t="s">
        <v>2149</v>
      </c>
      <c r="F57" s="155"/>
      <c r="G57" s="2489"/>
      <c r="H57" s="2493"/>
      <c r="I57" s="2493"/>
      <c r="J57" s="3120">
        <f>IF(AND(J55="",J56=""),4,IF(项目基本情况!K6="上海银行",结果表!J56+1,结果表!J55+1))</f>
        <v>4</v>
      </c>
      <c r="K57" s="3120" t="s">
        <v>2176</v>
      </c>
      <c r="L57" s="2494" t="s">
        <v>2177</v>
      </c>
      <c r="M57" s="1759"/>
      <c r="N57" s="1760">
        <f ca="1">SUMIF(M52:M56,"&lt;9e307")</f>
        <v>100754</v>
      </c>
      <c r="O57" s="2495"/>
      <c r="P57" s="1753">
        <f ca="1">N57/M49</f>
        <v>0.22003061743708902</v>
      </c>
    </row>
    <row r="58" spans="1:35" ht="24.75">
      <c r="A58" s="183" t="s">
        <v>2158</v>
      </c>
      <c r="B58" s="3085" t="s">
        <v>2178</v>
      </c>
      <c r="C58" s="3086"/>
      <c r="D58" s="185">
        <f ca="1">IF(H58="转让取得",C81,C97)</f>
        <v>76103</v>
      </c>
      <c r="E58" s="11" t="s">
        <v>2173</v>
      </c>
      <c r="F58" s="24" t="s">
        <v>34</v>
      </c>
      <c r="G58" s="2489"/>
      <c r="H58" s="2492" t="s">
        <v>3086</v>
      </c>
      <c r="I58" s="2493"/>
      <c r="J58" s="3120"/>
      <c r="K58" s="3120"/>
      <c r="L58" s="2494" t="s">
        <v>2179</v>
      </c>
      <c r="M58" s="1761"/>
      <c r="N58" s="2496" t="str">
        <f ca="1">NUMBERSTRING(INT(N57*10000),2)&amp;"元整"</f>
        <v>壹拾亿零柒佰伍拾肆万元整</v>
      </c>
      <c r="O58" s="2497"/>
    </row>
    <row r="59" spans="1:35" ht="24.75" thickBot="1">
      <c r="A59" s="3123" t="s">
        <v>2180</v>
      </c>
      <c r="B59" s="3124"/>
      <c r="C59" s="3124"/>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121">
        <f>J57+1</f>
        <v>5</v>
      </c>
      <c r="K59" s="3120" t="s">
        <v>2182</v>
      </c>
      <c r="L59" s="1812" t="s">
        <v>2177</v>
      </c>
      <c r="M59" s="1762"/>
      <c r="N59" s="1763">
        <f ca="1">M49-N57</f>
        <v>357155</v>
      </c>
      <c r="O59" s="2499"/>
    </row>
    <row r="60" spans="1:35" ht="12" customHeight="1">
      <c r="A60" s="2500"/>
      <c r="B60" s="2422"/>
      <c r="C60" s="2422"/>
      <c r="D60" s="2422"/>
      <c r="E60" s="2170"/>
      <c r="F60" s="2493"/>
      <c r="G60" s="2493"/>
      <c r="H60" s="2501"/>
      <c r="I60" s="138"/>
      <c r="J60" s="3122"/>
      <c r="K60" s="3120"/>
      <c r="L60" s="2494" t="s">
        <v>2179</v>
      </c>
      <c r="M60" s="1761"/>
      <c r="N60" s="2496" t="str">
        <f ca="1">NUMBERSTRING(INT(N59*10000),2)&amp;"元整"</f>
        <v>叁拾伍亿柒仟壹佰伍拾伍万元整</v>
      </c>
      <c r="O60" s="2497"/>
    </row>
    <row r="61" spans="1:35" ht="13.5" thickBot="1">
      <c r="A61" s="3067" t="s">
        <v>2183</v>
      </c>
      <c r="B61" s="3067"/>
      <c r="C61" s="3067"/>
      <c r="D61" s="3067"/>
      <c r="E61" s="3067"/>
      <c r="F61" s="2493"/>
      <c r="G61" s="2493"/>
      <c r="H61" s="2501"/>
      <c r="I61" s="138"/>
      <c r="J61" s="1812">
        <f>J59+1</f>
        <v>6</v>
      </c>
      <c r="K61" s="3120" t="s">
        <v>2184</v>
      </c>
      <c r="L61" s="3120"/>
      <c r="M61" s="1764"/>
      <c r="N61" s="1765">
        <f ca="1">ROUND(N59*10000/'数据-汇总表'!E3,0)</f>
        <v>109342</v>
      </c>
      <c r="O61" s="2502"/>
    </row>
    <row r="62" spans="1:35" ht="12.75">
      <c r="A62" s="3083" t="s">
        <v>2185</v>
      </c>
      <c r="B62" s="3084"/>
      <c r="C62" s="1804"/>
      <c r="D62" s="1804" t="s">
        <v>2186</v>
      </c>
      <c r="E62" s="192" t="s">
        <v>2187</v>
      </c>
      <c r="F62" s="2493"/>
      <c r="G62" s="2493"/>
      <c r="H62" s="2501"/>
      <c r="I62" s="138"/>
    </row>
    <row r="63" spans="1:35" ht="12.75">
      <c r="A63" s="203" t="s">
        <v>774</v>
      </c>
      <c r="B63" s="193" t="s">
        <v>2188</v>
      </c>
      <c r="C63" s="194">
        <f ca="1">ROUND((C64+C65)/(1+'数据-取费表'!C42),0)</f>
        <v>436104</v>
      </c>
      <c r="D63" s="195"/>
      <c r="E63" s="196"/>
      <c r="F63" s="2493"/>
      <c r="G63" s="2493"/>
      <c r="H63" s="2501"/>
      <c r="I63" s="138"/>
      <c r="J63" s="3145" t="s">
        <v>2189</v>
      </c>
      <c r="K63" s="2503" t="s">
        <v>2190</v>
      </c>
      <c r="L63" s="1752">
        <f ca="1">IF(M49&gt;10000,M49*0.5%,IF(AND(M49&gt;1000,M49&lt;=10000),M49*1%,IF(AND(M49&gt;100,M49&lt;=1000),M49*3%,IF(AND(M49&gt;10,M49&lt;=100),M49*5%,M49*8%))))</f>
        <v>2289.5450000000001</v>
      </c>
      <c r="M63" s="24">
        <f ca="1">ROUND(L63,1)</f>
        <v>2289.5</v>
      </c>
      <c r="Z63" s="2427"/>
      <c r="AI63" s="2428"/>
    </row>
    <row r="64" spans="1:35" ht="14.25" customHeight="1">
      <c r="A64" s="197" t="s">
        <v>769</v>
      </c>
      <c r="B64" s="198" t="s">
        <v>2191</v>
      </c>
      <c r="C64" s="199">
        <f ca="1">D45</f>
        <v>457909</v>
      </c>
      <c r="D64" s="200" t="s">
        <v>32</v>
      </c>
      <c r="E64" s="201"/>
      <c r="F64" s="2493"/>
      <c r="G64" s="2493"/>
      <c r="H64" s="2501"/>
      <c r="I64" s="138"/>
      <c r="J64" s="3145"/>
      <c r="K64" s="2503" t="s">
        <v>2192</v>
      </c>
      <c r="L64" s="1752">
        <f ca="1">IF(M49&gt;2000,M49*0.5%,IF(AND(M49&gt;1000,M49&lt;=2000),M49*0.6%,IF(AND(M49&gt;500,M49&lt;=1000),M49*0.7%,IF(AND(M49&gt;200,M49&lt;=500),M49*0.8%,IF(AND(M49&gt;100,M49&lt;=200),M49*0.9%,IF(AND(M49&gt;50,M49&lt;=100),M49*1%,IF(AND(M49&gt;20,M49&lt;=50),M49*1.5%,IF(AND(M49&gt;10,M49&lt;=20),M49*2%,IF(AND(M49&gt;1,M49&lt;=10),M49*2.5%)))))))))</f>
        <v>2289.5450000000001</v>
      </c>
      <c r="M64" s="24">
        <f t="shared" ref="M64:M65" ca="1" si="1">ROUND(L64,1)</f>
        <v>2289.5</v>
      </c>
      <c r="N64" s="138" t="s">
        <v>2193</v>
      </c>
      <c r="Z64" s="2427"/>
      <c r="AI64" s="2428"/>
    </row>
    <row r="65" spans="1:35" ht="14.25" customHeight="1">
      <c r="A65" s="197" t="s">
        <v>770</v>
      </c>
      <c r="B65" s="198" t="s">
        <v>2194</v>
      </c>
      <c r="C65" s="202"/>
      <c r="D65" s="200"/>
      <c r="E65" s="201"/>
      <c r="F65" s="2493"/>
      <c r="G65" s="2493"/>
      <c r="H65" s="2501"/>
      <c r="I65" s="138"/>
      <c r="J65" s="3145"/>
      <c r="K65" s="2503" t="s">
        <v>2195</v>
      </c>
      <c r="L65" s="1752">
        <f ca="1">IF(M49&gt;1000,M49*0.1%,IF(AND(M49&gt;500,M49&lt;=1000),M49*0.5%,IF(AND(M49&gt;50,M49&lt;=500),M49*1%,IF(AND(M49&gt;1,M49&lt;=50),M49*1.5%))))</f>
        <v>457.90899999999999</v>
      </c>
      <c r="M65" s="24">
        <f t="shared" ca="1" si="1"/>
        <v>457.9</v>
      </c>
      <c r="N65" s="138" t="s">
        <v>2193</v>
      </c>
      <c r="Z65" s="2427"/>
      <c r="AI65" s="2428"/>
    </row>
    <row r="66" spans="1:35" ht="14.25" customHeight="1">
      <c r="A66" s="203" t="s">
        <v>771</v>
      </c>
      <c r="B66" s="204" t="s">
        <v>2196</v>
      </c>
      <c r="C66" s="205"/>
      <c r="D66" s="206" t="s">
        <v>32</v>
      </c>
      <c r="E66" s="1776" t="s">
        <v>1363</v>
      </c>
      <c r="F66" s="2493"/>
      <c r="G66" s="2493"/>
      <c r="H66" s="2501"/>
      <c r="I66" s="138"/>
      <c r="J66" s="3145"/>
      <c r="K66" s="2503" t="s">
        <v>2197</v>
      </c>
      <c r="L66" s="1752">
        <f ca="1">M49*0.5%</f>
        <v>2289.5450000000001</v>
      </c>
      <c r="M66" s="24">
        <f ca="1">IF(L66&gt;0.5,0.5,ROUND(L66,0))</f>
        <v>0.5</v>
      </c>
      <c r="N66" s="138" t="s">
        <v>2198</v>
      </c>
      <c r="Z66" s="2427"/>
      <c r="AI66" s="2428"/>
    </row>
    <row r="67" spans="1:35" ht="14.25" customHeight="1">
      <c r="A67" s="203" t="s">
        <v>772</v>
      </c>
      <c r="B67" s="204" t="s">
        <v>2199</v>
      </c>
      <c r="C67" s="207">
        <f ca="1">C63-C66</f>
        <v>436104</v>
      </c>
      <c r="D67" s="200" t="s">
        <v>32</v>
      </c>
      <c r="E67" s="201"/>
      <c r="F67" s="2493"/>
      <c r="G67" s="2493"/>
      <c r="H67" s="2501"/>
      <c r="I67" s="138"/>
      <c r="J67" s="3145"/>
      <c r="K67" s="2503" t="s">
        <v>2200</v>
      </c>
      <c r="L67" s="1752">
        <f ca="1">IF(M49&gt;=10000,(8.25+(M49-10000)*0.01%),IF(AND(M49&gt;=8000,M49&lt;10000),(7.85+(M49-8000)*0.02%),IF(AND(M49&gt;=5000,M49&lt;8000),(6.65+(M49-5000)*0.04%),IF(AND(M49&gt;=2000,M49&lt;5000),(4.25+(PM49-2000)*0.08%),IF(AND(M49&gt;=1000,M49&lt;2000),(2.75+(M49-1000)*0.15%),IF(AND(M49&gt;=100,M49&lt;1000),(0.5+(M49-100)*0.25%),IF(AND(M49&gt;0,M49&lt;100),M49*0.5%)))))))</f>
        <v>53.040900000000001</v>
      </c>
      <c r="M67" s="24">
        <f ca="1">ROUND(L67*0.9,1)</f>
        <v>47.7</v>
      </c>
      <c r="Z67" s="2427"/>
      <c r="AI67" s="2428"/>
    </row>
    <row r="68" spans="1:35" ht="14.25" customHeight="1" thickBot="1">
      <c r="A68" s="208" t="s">
        <v>773</v>
      </c>
      <c r="B68" s="209" t="s">
        <v>2201</v>
      </c>
      <c r="C68" s="210">
        <f ca="1">IF(C67&lt;=0,0,ROUND(C67*D68,0))</f>
        <v>24422</v>
      </c>
      <c r="D68" s="211">
        <f>'数据-取费表'!B41</f>
        <v>5.6000000000000001E-2</v>
      </c>
      <c r="E68" s="212"/>
      <c r="F68" s="2493"/>
      <c r="G68" s="2493"/>
      <c r="H68" s="2501"/>
      <c r="I68" s="138"/>
      <c r="J68" s="3145"/>
      <c r="K68" s="2503" t="s">
        <v>2202</v>
      </c>
      <c r="L68" s="1752">
        <f ca="1">IF(M49&gt;10000,M49*0.5%,IF(AND(M49&gt;5000,M49&lt;=10000),M49*1%,IF(AND(M49&gt;1000,M49&lt;=5000),M49*2%,IF(AND(M49&gt;200,M49&lt;=1000),M49*3%,M49*5%))))</f>
        <v>2289.5450000000001</v>
      </c>
      <c r="M68" s="24">
        <f ca="1">ROUND(L68,1)</f>
        <v>2289.5</v>
      </c>
      <c r="Z68" s="2427"/>
      <c r="AI68" s="2428"/>
    </row>
    <row r="69" spans="1:35" s="2450" customFormat="1" ht="16.5" customHeight="1">
      <c r="A69" s="2504"/>
      <c r="B69" s="2505"/>
      <c r="C69" s="2506"/>
      <c r="D69" s="2507"/>
      <c r="E69" s="2508"/>
      <c r="F69" s="2170"/>
      <c r="G69" s="2170"/>
      <c r="H69" s="2169"/>
      <c r="I69" s="2422"/>
      <c r="J69" s="3145"/>
      <c r="K69" s="2503" t="s">
        <v>2203</v>
      </c>
      <c r="L69" s="2509"/>
      <c r="M69" s="24">
        <f ca="1">ROUND(SUM(M63:M68),0)</f>
        <v>7375</v>
      </c>
      <c r="N69" s="1753">
        <f ca="1">M69/M49</f>
        <v>1.6105820152038944E-2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4" t="s">
        <v>2204</v>
      </c>
      <c r="B70" s="3105"/>
      <c r="C70" s="3105"/>
      <c r="D70" s="3105"/>
      <c r="E70" s="3105"/>
      <c r="F70" s="3105"/>
      <c r="G70" s="3105"/>
      <c r="H70" s="310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3" t="s">
        <v>2185</v>
      </c>
      <c r="B71" s="3084"/>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2205</v>
      </c>
      <c r="C72" s="207">
        <f ca="1">ROUND(D45/(1+'数据-取费表'!C42),0)</f>
        <v>436104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2206</v>
      </c>
      <c r="C73" s="207">
        <f ca="1">C74+C78</f>
        <v>218531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2208</v>
      </c>
      <c r="C75" s="218">
        <v>220000</v>
      </c>
      <c r="D75" s="200" t="s">
        <v>32</v>
      </c>
      <c r="E75" s="219" t="s">
        <v>2209</v>
      </c>
      <c r="F75" s="2515" t="s">
        <v>3088</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078" t="s">
        <v>2212</v>
      </c>
      <c r="F76" s="3055"/>
      <c r="G76" s="3055"/>
      <c r="H76" s="310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2215</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2216</v>
      </c>
      <c r="C78" s="225">
        <f ca="1">ROUND(D45*D78/(1+'数据-取费表'!C42),0)</f>
        <v>2617</v>
      </c>
      <c r="D78" s="226">
        <f>'数据-取费表'!B43</f>
        <v>6.000000000000001E-3</v>
      </c>
      <c r="E78" s="3064" t="s">
        <v>2217</v>
      </c>
      <c r="F78" s="3065"/>
      <c r="G78" s="3065"/>
      <c r="H78" s="307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2218</v>
      </c>
      <c r="C79" s="207">
        <f ca="1">C72-C73</f>
        <v>217573</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2219</v>
      </c>
      <c r="C80" s="227">
        <f ca="1">IF(C79&lt;=0,0,C79/C73)</f>
        <v>0.99561618260109552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2220</v>
      </c>
      <c r="C81" s="228">
        <f ca="1">ROUND(IF(C79&lt;=0,0,IF(C80&gt;=200%,C79*60%-C73*35%,IF(C80&gt;=100%,C79*50%-C73*15%,IF(C80&gt;=50%,C79*40%-C73*5%,IF(C80&lt;50%,C79*30%,0))))),0)</f>
        <v>76103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4" t="s">
        <v>2221</v>
      </c>
      <c r="B83" s="3105"/>
      <c r="C83" s="3105"/>
      <c r="D83" s="3105"/>
      <c r="E83" s="3105"/>
      <c r="F83" s="3105"/>
      <c r="G83" s="3105"/>
      <c r="H83" s="310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3" t="s">
        <v>2185</v>
      </c>
      <c r="B84" s="3084"/>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2205</v>
      </c>
      <c r="C85" s="207">
        <f ca="1">ROUND(D45/(1+'数据-取费表'!C42),0)</f>
        <v>436104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2206</v>
      </c>
      <c r="C86" s="207">
        <f ca="1">IF(H88="仅含出让金",C87+C90+C91+C92+C93+C94,C87+C91+C92+C93+C94)</f>
        <v>2617</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2222</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2223</v>
      </c>
      <c r="C88" s="236"/>
      <c r="D88" s="226"/>
      <c r="E88" s="237" t="s">
        <v>2224</v>
      </c>
      <c r="F88" s="1800"/>
      <c r="G88" s="238" t="s">
        <v>2225</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2213</v>
      </c>
      <c r="C89" s="225">
        <f>ROUND(C88*D89,0)</f>
        <v>0</v>
      </c>
      <c r="D89" s="226">
        <f>'数据-取费表'!B48+'数据-取费表'!B49</f>
        <v>3.0499999999999999E-2</v>
      </c>
      <c r="E89" s="237" t="s">
        <v>2226</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2227</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2228</v>
      </c>
      <c r="B91" s="198" t="s">
        <v>2229</v>
      </c>
      <c r="C91" s="225">
        <f>IF(H91="——",成本法!C33,I91)</f>
        <v>0</v>
      </c>
      <c r="D91" s="226"/>
      <c r="E91" s="3064" t="s">
        <v>2230</v>
      </c>
      <c r="F91" s="3065"/>
      <c r="G91" s="3065"/>
      <c r="H91" s="2522" t="s">
        <v>2231</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2232</v>
      </c>
      <c r="B92" s="198" t="s">
        <v>2233</v>
      </c>
      <c r="C92" s="225">
        <f>ROUND((C87+C90+C91)*D92,0)</f>
        <v>0</v>
      </c>
      <c r="D92" s="226">
        <v>0.1</v>
      </c>
      <c r="E92" s="3064" t="s">
        <v>2234</v>
      </c>
      <c r="F92" s="3065"/>
      <c r="G92" s="3065"/>
      <c r="H92" s="307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2235</v>
      </c>
      <c r="B93" s="198" t="s">
        <v>2216</v>
      </c>
      <c r="C93" s="225">
        <f ca="1">ROUND(D45*D93/(1+'数据-取费表'!C42),0)</f>
        <v>2617</v>
      </c>
      <c r="D93" s="226">
        <f>'数据-取费表'!B43</f>
        <v>6.000000000000001E-3</v>
      </c>
      <c r="E93" s="3064" t="s">
        <v>2217</v>
      </c>
      <c r="F93" s="3065"/>
      <c r="G93" s="3065"/>
      <c r="H93" s="307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2236</v>
      </c>
      <c r="B94" s="198" t="s">
        <v>2237</v>
      </c>
      <c r="C94" s="236">
        <f>ROUND((C87+C90+C91)*D94,0)</f>
        <v>0</v>
      </c>
      <c r="D94" s="226">
        <v>0.2</v>
      </c>
      <c r="E94" s="3075" t="s">
        <v>2238</v>
      </c>
      <c r="F94" s="3076"/>
      <c r="G94" s="3076"/>
      <c r="H94" s="3077"/>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2218</v>
      </c>
      <c r="C95" s="207">
        <f ca="1">ROUND(C85-C86,0)</f>
        <v>433487</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2219</v>
      </c>
      <c r="C96" s="227">
        <f ca="1">IF(C95&lt;=0,0,C95/C86)</f>
        <v>165.6427206725258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2220</v>
      </c>
      <c r="C97" s="228">
        <f ca="1">ROUND(IF(C95&lt;=0,0,IF(C96&gt;=200%,C95*60%-C86*35%,IF(C96&gt;=100%,C95*50%-C86*15%,IF(C96&gt;=50%,C95*40%-C86*5%,IF(C96&lt;50%,C95*30%,0))))),0)</f>
        <v>259176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2239</v>
      </c>
      <c r="B99" s="2422"/>
      <c r="C99" s="2422"/>
      <c r="D99" s="2422"/>
      <c r="E99" s="2170"/>
      <c r="F99" s="2170"/>
      <c r="G99" s="2170"/>
      <c r="H99" s="2169"/>
      <c r="I99" s="138"/>
    </row>
    <row r="100" spans="1:35" ht="18.75" customHeight="1">
      <c r="A100" s="3049" t="s">
        <v>2240</v>
      </c>
      <c r="B100" s="3050"/>
      <c r="C100" s="3050"/>
      <c r="D100" s="3066"/>
      <c r="E100" s="3050" t="s">
        <v>2241</v>
      </c>
      <c r="F100" s="3050"/>
      <c r="G100" s="3050"/>
      <c r="H100" s="3066"/>
      <c r="I100" s="138"/>
    </row>
    <row r="101" spans="1:35" ht="18.75" customHeight="1">
      <c r="A101" s="3128" t="s">
        <v>2242</v>
      </c>
      <c r="B101" s="3129"/>
      <c r="C101" s="736" t="str">
        <f>C4</f>
        <v>比较法-住宅</v>
      </c>
      <c r="D101" s="737" t="str">
        <f>D4</f>
        <v>收益法</v>
      </c>
      <c r="E101" s="3142" t="s">
        <v>2243</v>
      </c>
      <c r="F101" s="3096"/>
      <c r="G101" s="2524" t="s">
        <v>2244</v>
      </c>
      <c r="H101" s="1048">
        <f ca="1">H118</f>
        <v>457909</v>
      </c>
      <c r="I101" s="138"/>
    </row>
    <row r="102" spans="1:35" ht="18.75" customHeight="1">
      <c r="A102" s="3098" t="s">
        <v>2245</v>
      </c>
      <c r="B102" s="2524" t="s">
        <v>2244</v>
      </c>
      <c r="C102" s="736">
        <f ca="1">C19</f>
        <v>457909</v>
      </c>
      <c r="D102" s="737">
        <f ca="1">D19</f>
        <v>189431</v>
      </c>
      <c r="E102" s="3142"/>
      <c r="F102" s="3096"/>
      <c r="G102" s="2524" t="s">
        <v>2246</v>
      </c>
      <c r="H102" s="371">
        <f ca="1">I118</f>
        <v>140188</v>
      </c>
      <c r="I102" s="138"/>
    </row>
    <row r="103" spans="1:35" ht="42.75" customHeight="1">
      <c r="A103" s="3098"/>
      <c r="B103" s="2524" t="s">
        <v>2246</v>
      </c>
      <c r="C103" s="738">
        <f ca="1">C20</f>
        <v>140188</v>
      </c>
      <c r="D103" s="739">
        <f ca="1">D20</f>
        <v>57994</v>
      </c>
      <c r="E103" s="3137" t="s">
        <v>2247</v>
      </c>
      <c r="F103" s="3138"/>
      <c r="G103" s="2525" t="s">
        <v>2248</v>
      </c>
      <c r="H103" s="1048">
        <f>IF(D36="正常操作",H104+H105+H106,H105+H106)</f>
        <v>0</v>
      </c>
      <c r="I103" s="138"/>
    </row>
    <row r="104" spans="1:35" ht="18.75" customHeight="1">
      <c r="A104" s="3098" t="s">
        <v>2249</v>
      </c>
      <c r="B104" s="2526" t="s">
        <v>2244</v>
      </c>
      <c r="C104" s="740">
        <f ca="1">H118</f>
        <v>457909</v>
      </c>
      <c r="D104" s="741"/>
      <c r="E104" s="2271" t="s">
        <v>2250</v>
      </c>
      <c r="F104" s="2262"/>
      <c r="G104" s="2525" t="s">
        <v>2248</v>
      </c>
      <c r="H104" s="1049">
        <f>IF(D36="同一抵押权人同一抵押物续贷",C36&amp;"（未扣减，详见特别提示）",C36)</f>
        <v>0</v>
      </c>
      <c r="I104" s="138"/>
    </row>
    <row r="105" spans="1:35" ht="18.75" customHeight="1" thickBot="1">
      <c r="A105" s="3099"/>
      <c r="B105" s="2527" t="s">
        <v>2246</v>
      </c>
      <c r="C105" s="742">
        <f ca="1">I118</f>
        <v>140188</v>
      </c>
      <c r="D105" s="743"/>
      <c r="E105" s="2271" t="s">
        <v>2251</v>
      </c>
      <c r="F105" s="2262"/>
      <c r="G105" s="2525" t="s">
        <v>2248</v>
      </c>
      <c r="H105" s="1049">
        <f>C37</f>
        <v>0</v>
      </c>
      <c r="I105" s="138"/>
    </row>
    <row r="106" spans="1:35" ht="18.75" customHeight="1">
      <c r="A106" s="2422" t="s">
        <v>2252</v>
      </c>
      <c r="B106" s="2422"/>
      <c r="C106" s="2422"/>
      <c r="D106" s="2422"/>
      <c r="E106" s="2528" t="s">
        <v>2253</v>
      </c>
      <c r="F106" s="2262"/>
      <c r="G106" s="2525" t="s">
        <v>2248</v>
      </c>
      <c r="H106" s="1049">
        <f>C38</f>
        <v>0</v>
      </c>
      <c r="I106" s="138"/>
    </row>
    <row r="107" spans="1:35" ht="18.75" customHeight="1">
      <c r="A107" s="138"/>
      <c r="B107" s="138"/>
      <c r="C107" s="138"/>
      <c r="D107" s="138"/>
      <c r="E107" s="3095" t="str">
        <f>IF(项目基本情况!E8="已注销","——","3.房地产抵押价值")</f>
        <v>——</v>
      </c>
      <c r="F107" s="3096"/>
      <c r="G107" s="2524" t="s">
        <v>2244</v>
      </c>
      <c r="H107" s="1048" t="str">
        <f>IF(E107="——","——",H101-H103)</f>
        <v>——</v>
      </c>
      <c r="I107" s="138"/>
    </row>
    <row r="108" spans="1:35" ht="18.75" customHeight="1">
      <c r="A108" s="138"/>
      <c r="B108" s="138"/>
      <c r="C108" s="138"/>
      <c r="D108" s="138"/>
      <c r="E108" s="3095"/>
      <c r="F108" s="3096"/>
      <c r="G108" s="2524" t="s">
        <v>2246</v>
      </c>
      <c r="H108" s="371" t="e">
        <f>ROUND(H107*10000/'数据-汇总表'!E3,0)</f>
        <v>#VALUE!</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3.抵押担保权已注销时的房地产抵押价值</v>
      </c>
      <c r="F109" s="3096"/>
      <c r="G109" s="2524" t="s">
        <v>2244</v>
      </c>
      <c r="H109" s="348">
        <f ca="1">IF(E109="——","——",H101-H105-H106)</f>
        <v>457909</v>
      </c>
      <c r="I109" s="138"/>
    </row>
    <row r="110" spans="1:35" ht="18.75" customHeight="1">
      <c r="A110" s="138"/>
      <c r="B110" s="138"/>
      <c r="C110" s="138"/>
      <c r="D110" s="138"/>
      <c r="E110" s="3095"/>
      <c r="F110" s="3096"/>
      <c r="G110" s="2524" t="s">
        <v>2246</v>
      </c>
      <c r="H110" s="371">
        <f ca="1">IF(H109="——","——",ROUND(H109*10000/'数据-汇总表'!E3,0))</f>
        <v>140188</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4" t="s">
        <v>2244</v>
      </c>
      <c r="H111" s="1048" t="str">
        <f>IF(E111="——","——",N59)</f>
        <v>——</v>
      </c>
      <c r="I111" s="138"/>
    </row>
    <row r="112" spans="1:35" ht="18.75" customHeight="1" thickBot="1">
      <c r="A112" s="138"/>
      <c r="B112" s="138"/>
      <c r="C112" s="138"/>
      <c r="D112" s="138"/>
      <c r="E112" s="3132"/>
      <c r="F112" s="3133"/>
      <c r="G112" s="2529" t="s">
        <v>2246</v>
      </c>
      <c r="H112" s="790" t="str">
        <f>IF(E111="——","——",N61)</f>
        <v>——</v>
      </c>
      <c r="I112" s="138"/>
    </row>
    <row r="113" spans="1:11" ht="18.75" customHeight="1">
      <c r="A113" s="138"/>
      <c r="B113" s="138"/>
      <c r="C113" s="138"/>
      <c r="D113" s="138"/>
      <c r="E113" s="3100" t="s">
        <v>2252</v>
      </c>
      <c r="F113" s="3100"/>
      <c r="G113" s="3100"/>
      <c r="H113" s="3100"/>
      <c r="I113" s="138"/>
    </row>
    <row r="114" spans="1:11" ht="3.75" customHeight="1">
      <c r="A114" s="2422"/>
      <c r="B114" s="2422"/>
      <c r="C114" s="2422"/>
      <c r="D114" s="2422"/>
      <c r="E114" s="2500"/>
      <c r="F114" s="2500"/>
      <c r="G114" s="2500"/>
      <c r="H114" s="2500"/>
      <c r="I114" s="2422"/>
    </row>
    <row r="115" spans="1:11" ht="18.75" customHeight="1">
      <c r="A115" s="3113" t="s">
        <v>2254</v>
      </c>
      <c r="B115" s="3114"/>
      <c r="C115" s="3114"/>
      <c r="D115" s="3114"/>
      <c r="E115" s="3114"/>
      <c r="F115" s="3114"/>
      <c r="G115" s="3114"/>
      <c r="H115" s="3114"/>
      <c r="I115" s="3115"/>
    </row>
    <row r="116" spans="1:11" ht="27" customHeight="1">
      <c r="A116" s="3006" t="s">
        <v>2255</v>
      </c>
      <c r="B116" s="3101" t="s">
        <v>2256</v>
      </c>
      <c r="C116" s="3101" t="s">
        <v>2257</v>
      </c>
      <c r="D116" s="3117" t="s">
        <v>2258</v>
      </c>
      <c r="E116" s="3118"/>
      <c r="F116" s="3109" t="s">
        <v>2259</v>
      </c>
      <c r="G116" s="3109"/>
      <c r="H116" s="3006" t="s">
        <v>2260</v>
      </c>
      <c r="I116" s="3006"/>
    </row>
    <row r="117" spans="1:11" ht="18.75" customHeight="1">
      <c r="A117" s="3006"/>
      <c r="B117" s="3102"/>
      <c r="C117" s="3102"/>
      <c r="D117" s="1798" t="s">
        <v>2261</v>
      </c>
      <c r="E117" s="1798" t="s">
        <v>2262</v>
      </c>
      <c r="F117" s="1798" t="s">
        <v>2261</v>
      </c>
      <c r="G117" s="1798" t="s">
        <v>2263</v>
      </c>
      <c r="H117" s="1798" t="s">
        <v>2261</v>
      </c>
      <c r="I117" s="1798" t="s">
        <v>2263</v>
      </c>
    </row>
    <row r="118" spans="1:11" ht="24.75" customHeight="1">
      <c r="A118" s="2530" t="str">
        <f>项目基本情况!S2</f>
        <v>北京市朝阳区工人体育场北路甲2号（西部）房地产</v>
      </c>
      <c r="B118" s="1798">
        <f>M18</f>
        <v>32663.93</v>
      </c>
      <c r="C118" s="1798">
        <f>M19</f>
        <v>4601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457909</v>
      </c>
      <c r="I118" s="1798">
        <f ca="1">ROUND(IF(D32="楼面单价",C32,H118*10000/B118),0)</f>
        <v>140188</v>
      </c>
    </row>
    <row r="119" spans="1:11" ht="18.75" customHeight="1">
      <c r="A119" s="3006" t="s">
        <v>2264</v>
      </c>
      <c r="B119" s="3006"/>
      <c r="C119" s="3006"/>
      <c r="D119" s="3106" t="e">
        <f ca="1">NUMBERSTRING(INT(D118*10000),2)&amp;"元整"</f>
        <v>#REF!</v>
      </c>
      <c r="E119" s="3108"/>
      <c r="F119" s="3106" t="e">
        <f ca="1">NUMBERSTRING(INT(F118*10000),2)&amp;"元整"</f>
        <v>#REF!</v>
      </c>
      <c r="G119" s="3108"/>
      <c r="H119" s="3106" t="str">
        <f ca="1">NUMBERSTRING(INT(H118*10000),2)&amp;"元整"</f>
        <v>肆拾伍亿柒仟玖佰零玖万元整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7" t="str">
        <f>IF(D120=0,"故，本次评估不存在"&amp;A120,"故，本次评估"&amp;A120&amp;"为人民币"&amp;D120&amp;"万元整。")</f>
        <v>故，本次评估不存在估价师知悉的法定优先受偿款</v>
      </c>
    </row>
    <row r="121" spans="1:11" ht="18.75" customHeight="1">
      <c r="A121" s="3110" t="s">
        <v>2264</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
      </c>
      <c r="B122" s="3097"/>
      <c r="C122" s="3097"/>
      <c r="D122" s="3134" t="str">
        <f>H107</f>
        <v>——</v>
      </c>
      <c r="E122" s="3135"/>
      <c r="F122" s="3135"/>
      <c r="G122" s="3135"/>
      <c r="H122" s="3135"/>
      <c r="I122" s="3136"/>
    </row>
    <row r="123" spans="1:11" ht="18.75" customHeight="1">
      <c r="A123" s="3006" t="s">
        <v>2264</v>
      </c>
      <c r="B123" s="3006"/>
      <c r="C123" s="3006"/>
      <c r="D123" s="3106" t="e">
        <f>NUMBERSTRING(INT(D122*10000),2)&amp;"元整"</f>
        <v>#VALUE!</v>
      </c>
      <c r="E123" s="3107"/>
      <c r="F123" s="3107"/>
      <c r="G123" s="3107"/>
      <c r="H123" s="3107"/>
      <c r="I123" s="3108"/>
    </row>
    <row r="124" spans="1:11" ht="18.75" customHeight="1">
      <c r="A124" s="3097" t="str">
        <f>IF(项目基本情况!B9="房地产市场价值","",MID(E109,3,LEN(E109)-2))</f>
        <v>抵押担保权已注销时的房地产抵押价值</v>
      </c>
      <c r="B124" s="3097"/>
      <c r="C124" s="3097"/>
      <c r="D124" s="3134">
        <f ca="1">H109</f>
        <v>457909</v>
      </c>
      <c r="E124" s="3135"/>
      <c r="F124" s="3135"/>
      <c r="G124" s="3135"/>
      <c r="H124" s="3135"/>
      <c r="I124" s="3136"/>
    </row>
    <row r="125" spans="1:11" ht="18.75" customHeight="1">
      <c r="A125" s="3006" t="s">
        <v>2264</v>
      </c>
      <c r="B125" s="3006"/>
      <c r="C125" s="3006"/>
      <c r="D125" s="3106" t="str">
        <f ca="1">NUMBERSTRING(INT(D124*10000),2)&amp;"元整"</f>
        <v>肆拾伍亿柒仟玖佰零玖万元整</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2264</v>
      </c>
      <c r="B127" s="3006"/>
      <c r="C127" s="3006"/>
      <c r="D127" s="3106" t="e">
        <f>NUMBERSTRING(INT(D126*10000),2)&amp;"元整"</f>
        <v>#VALUE!</v>
      </c>
      <c r="E127" s="3107"/>
      <c r="F127" s="3107"/>
      <c r="G127" s="3107"/>
      <c r="H127" s="3107"/>
      <c r="I127" s="3108"/>
    </row>
    <row r="128" spans="1:11" ht="21.75" customHeight="1">
      <c r="A128" s="3116" t="s">
        <v>2265</v>
      </c>
      <c r="B128" s="3116"/>
      <c r="C128" s="3116"/>
      <c r="D128" s="3116"/>
      <c r="E128" s="3116"/>
      <c r="F128" s="3116"/>
      <c r="G128" s="3116"/>
      <c r="H128" s="3116"/>
      <c r="I128" s="3116"/>
    </row>
    <row r="129" spans="1:35" ht="21.75" customHeight="1">
      <c r="A129" s="2531" t="s">
        <v>2266</v>
      </c>
      <c r="B129" s="2532"/>
      <c r="C129" s="2533" t="s">
        <v>2267</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2268</v>
      </c>
      <c r="G135" s="2548"/>
      <c r="H135" s="2548"/>
      <c r="I135" s="2549" t="s">
        <v>2269</v>
      </c>
    </row>
    <row r="136" spans="1:35" ht="21.75" customHeight="1">
      <c r="A136" s="795"/>
      <c r="B136" s="2550" t="s">
        <v>2270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2271</v>
      </c>
    </row>
    <row r="139" spans="1:35" ht="21.75" customHeight="1">
      <c r="A139" s="795"/>
      <c r="B139" s="2550" t="s">
        <v>2272</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2271</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40"/>
      <c r="C1" s="242"/>
      <c r="D1" s="242"/>
      <c r="E1" s="242"/>
      <c r="F1" s="242"/>
      <c r="G1" s="1382">
        <f>MATCH(B1,'数据-取费表'!A6:A16,0)+5</f>
        <v>7</v>
      </c>
    </row>
    <row r="2" spans="1:9" s="244" customFormat="1" ht="18" customHeight="1">
      <c r="A2" s="245" t="s">
        <v>2274</v>
      </c>
      <c r="B2" s="246">
        <f ca="1">IF(D2="——",C52,C52-E2)</f>
        <v>25817</v>
      </c>
      <c r="C2" s="243" t="s">
        <v>2275</v>
      </c>
      <c r="D2" s="2553" t="s">
        <v>70</v>
      </c>
      <c r="E2" s="1443" t="e">
        <f ca="1">SUMIF(INDIRECT("'"&amp;G2&amp;"'"&amp;"!A:A"),"承租人权益价值",INDIRECT("'"&amp;G2&amp;"'"&amp;"!c:c"))</f>
        <v>#REF!</v>
      </c>
      <c r="F2" s="2554" t="s">
        <v>2275</v>
      </c>
      <c r="G2" s="2555"/>
    </row>
    <row r="3" spans="1:9" s="244" customFormat="1" ht="18" customHeight="1" thickBot="1">
      <c r="A3" s="247" t="s">
        <v>2276</v>
      </c>
      <c r="B3" s="248">
        <f ca="1">ROUND(B2*10000/(IF(B1="",'数据-汇总表'!E3,INDIRECT("'数据-取费表'!k"&amp;$G$1))),0)</f>
        <v>7904</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0</v>
      </c>
      <c r="D5" s="255" t="s">
        <v>2281</v>
      </c>
      <c r="E5" s="256" t="s">
        <v>2282</v>
      </c>
      <c r="F5" s="256" t="s">
        <v>2283</v>
      </c>
      <c r="G5" s="257"/>
    </row>
    <row r="6" spans="1:9" s="258" customFormat="1" ht="13.5" customHeight="1">
      <c r="A6" s="952" t="s">
        <v>2284</v>
      </c>
      <c r="B6" s="259" t="s">
        <v>2285</v>
      </c>
      <c r="C6" s="260"/>
      <c r="D6" s="261"/>
      <c r="E6" s="262"/>
      <c r="F6" s="262"/>
      <c r="G6" s="263"/>
    </row>
    <row r="7" spans="1:9" s="258" customFormat="1" ht="13.5" customHeight="1">
      <c r="A7" s="952" t="s">
        <v>2286</v>
      </c>
      <c r="B7" s="259" t="s">
        <v>2287</v>
      </c>
      <c r="C7" s="264">
        <f>ROUND(C6*F7,0)</f>
        <v>0</v>
      </c>
      <c r="D7" s="264"/>
      <c r="E7" s="262"/>
      <c r="F7" s="265">
        <f>'数据-取费表'!B48+'数据-取费表'!B49</f>
        <v>3.0499999999999999E-2</v>
      </c>
      <c r="G7" s="263"/>
    </row>
    <row r="8" spans="1:9" s="267" customFormat="1">
      <c r="A8" s="952" t="s">
        <v>2288</v>
      </c>
      <c r="B8" s="259" t="s">
        <v>2289</v>
      </c>
      <c r="C8" s="264">
        <f>IF(G8="已包含在土地购买价格中","0",IF(B1="",'数据-取费表'!B29,IF(G9="全部缴纳",C9+C10,H9)))</f>
        <v>0</v>
      </c>
      <c r="D8" s="266"/>
      <c r="E8" s="264"/>
      <c r="F8" s="265"/>
      <c r="G8" s="2556"/>
    </row>
    <row r="9" spans="1:9" s="258" customFormat="1" ht="13.5" customHeight="1">
      <c r="A9" s="953" t="s">
        <v>799</v>
      </c>
      <c r="B9" s="268" t="s">
        <v>2290</v>
      </c>
      <c r="C9" s="269">
        <f ca="1">ROUND(D9*E9/10000,0)</f>
        <v>523</v>
      </c>
      <c r="D9" s="1035">
        <f ca="1">IF(B1="",'数据-汇总表'!E5,IF(INDIRECT("'数据-取费表'!c"&amp;$G$1)="住宅",INDIRECT("'数据-取费表'!k"&amp;$G$1),0))</f>
        <v>32663.93</v>
      </c>
      <c r="E9" s="269">
        <f>'数据-取费表'!B27</f>
        <v>160</v>
      </c>
      <c r="F9" s="265"/>
      <c r="G9" s="2557"/>
      <c r="H9" s="1393"/>
      <c r="I9" s="2558" t="s">
        <v>2291</v>
      </c>
    </row>
    <row r="10" spans="1:9" s="258" customFormat="1" ht="13.5" customHeight="1">
      <c r="A10" s="953" t="s">
        <v>800</v>
      </c>
      <c r="B10" s="268" t="s">
        <v>2292</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2293</v>
      </c>
      <c r="C11" s="255"/>
      <c r="D11" s="1037"/>
      <c r="E11" s="262"/>
      <c r="F11" s="262"/>
      <c r="G11" s="263"/>
    </row>
    <row r="12" spans="1:9" s="258" customFormat="1" ht="13.5" hidden="1" customHeight="1">
      <c r="A12" s="271" t="s">
        <v>8</v>
      </c>
      <c r="B12" s="259" t="s">
        <v>2294</v>
      </c>
      <c r="C12" s="255">
        <v>0</v>
      </c>
      <c r="D12" s="1037"/>
      <c r="E12" s="272"/>
      <c r="F12" s="265">
        <v>3.0499999999999999E-2</v>
      </c>
      <c r="G12" s="263"/>
    </row>
    <row r="13" spans="1:9" s="258" customFormat="1" ht="13.5" hidden="1" customHeight="1">
      <c r="A13" s="271" t="s">
        <v>9</v>
      </c>
      <c r="B13" s="259" t="s">
        <v>2295</v>
      </c>
      <c r="C13" s="255"/>
      <c r="D13" s="1037"/>
      <c r="E13" s="262"/>
      <c r="F13" s="262"/>
      <c r="G13" s="263"/>
    </row>
    <row r="14" spans="1:9" s="258" customFormat="1" ht="13.5" hidden="1" customHeight="1">
      <c r="A14" s="271" t="s">
        <v>10</v>
      </c>
      <c r="B14" s="259" t="s">
        <v>2296</v>
      </c>
      <c r="C14" s="255"/>
      <c r="D14" s="1037"/>
      <c r="E14" s="262"/>
      <c r="F14" s="262"/>
      <c r="G14" s="263" t="s">
        <v>2297</v>
      </c>
    </row>
    <row r="15" spans="1:9" s="258" customFormat="1" ht="13.5" hidden="1" customHeight="1">
      <c r="A15" s="271" t="s">
        <v>11</v>
      </c>
      <c r="B15" s="259" t="s">
        <v>2298</v>
      </c>
      <c r="C15" s="264"/>
      <c r="D15" s="1037"/>
      <c r="E15" s="262"/>
      <c r="F15" s="262"/>
      <c r="G15" s="263" t="s">
        <v>2299</v>
      </c>
    </row>
    <row r="16" spans="1:9" s="258" customFormat="1" ht="13.5" hidden="1" customHeight="1">
      <c r="A16" s="271" t="s">
        <v>12</v>
      </c>
      <c r="B16" s="259" t="s">
        <v>2296</v>
      </c>
      <c r="C16" s="264"/>
      <c r="D16" s="1037"/>
      <c r="E16" s="262"/>
      <c r="F16" s="262"/>
      <c r="G16" s="263"/>
    </row>
    <row r="17" spans="1:7" s="258" customFormat="1" ht="13.5" hidden="1" customHeight="1">
      <c r="A17" s="271" t="s">
        <v>13</v>
      </c>
      <c r="B17" s="259" t="s">
        <v>2300</v>
      </c>
      <c r="C17" s="273"/>
      <c r="D17" s="1038"/>
      <c r="E17" s="273"/>
      <c r="F17" s="273"/>
      <c r="G17" s="263" t="s">
        <v>2299</v>
      </c>
    </row>
    <row r="18" spans="1:7" s="258" customFormat="1" ht="13.5" hidden="1" customHeight="1">
      <c r="A18" s="271" t="s">
        <v>14</v>
      </c>
      <c r="B18" s="259" t="s">
        <v>2301</v>
      </c>
      <c r="C18" s="264">
        <v>0</v>
      </c>
      <c r="D18" s="1037"/>
      <c r="E18" s="262"/>
      <c r="F18" s="265">
        <v>3.0499999999999999E-2</v>
      </c>
      <c r="G18" s="263" t="s">
        <v>2302</v>
      </c>
    </row>
    <row r="19" spans="1:7" s="267" customFormat="1" ht="13.5" customHeight="1">
      <c r="A19" s="299" t="s">
        <v>2303</v>
      </c>
      <c r="B19" s="254" t="s">
        <v>2304</v>
      </c>
      <c r="C19" s="255">
        <f ca="1">IF(G19="已包含在土地取得成本中","0",ROUND(D19*E19/10000,0))</f>
        <v>653</v>
      </c>
      <c r="D19" s="1039">
        <f ca="1">D9+D10</f>
        <v>32663.93</v>
      </c>
      <c r="E19" s="255">
        <f>'数据-取费表'!B31</f>
        <v>200</v>
      </c>
      <c r="F19" s="275"/>
      <c r="G19" s="2556"/>
    </row>
    <row r="20" spans="1:7" s="258" customFormat="1" ht="13.5" customHeight="1">
      <c r="A20" s="299" t="s">
        <v>2305</v>
      </c>
      <c r="B20" s="254" t="s">
        <v>2306</v>
      </c>
      <c r="C20" s="276">
        <f ca="1">ROUND((C5+C19)*F20,0)</f>
        <v>13</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57">
        <f ca="1">ROUND(SUM(C23:C25),0)</f>
        <v>65</v>
      </c>
      <c r="D22" s="279">
        <f ca="1">C26</f>
        <v>1E-3</v>
      </c>
      <c r="E22" s="280" t="s">
        <v>2310</v>
      </c>
      <c r="F22" s="281">
        <f ca="1">'数据-取费表'!B40</f>
        <v>4.7500000000000001E-2</v>
      </c>
      <c r="G22" s="278" t="str">
        <f>IF('数据-取费表'!B22&lt;=1,"单利计息","复利计息")</f>
        <v>复利计息</v>
      </c>
    </row>
    <row r="23" spans="1:7" s="258" customFormat="1" ht="13.5" customHeight="1">
      <c r="A23" s="954" t="s">
        <v>2314</v>
      </c>
      <c r="B23" s="259" t="s">
        <v>2315</v>
      </c>
      <c r="C23" s="1358">
        <f ca="1">ROUND(IF('数据-取费表'!B22&lt;=1,C5*F22*'数据-取费表'!B23,C5*(POWER((1+F22),'数据-取费表'!B23)-1)),0)</f>
        <v>0</v>
      </c>
      <c r="D23" s="282"/>
      <c r="E23" s="282"/>
      <c r="F23" s="283"/>
      <c r="G23" s="284" t="s">
        <v>2316</v>
      </c>
    </row>
    <row r="24" spans="1:7" s="258" customFormat="1" ht="13.5" customHeight="1">
      <c r="A24" s="954" t="s">
        <v>2317</v>
      </c>
      <c r="B24" s="259" t="s">
        <v>2318</v>
      </c>
      <c r="C24" s="1358">
        <f ca="1">ROUND(IF('数据-取费表'!B22&lt;=1,C19*F22*('数据-取费表'!B19/2+'数据-取费表'!B21),C19*(POWER((1+F22),('数据-取费表'!B19/2+'数据-取费表'!B21))-1)),0)</f>
        <v>64</v>
      </c>
      <c r="D24" s="282"/>
      <c r="E24" s="282"/>
      <c r="F24" s="283"/>
      <c r="G24" s="284" t="s">
        <v>2319</v>
      </c>
    </row>
    <row r="25" spans="1:7" s="258" customFormat="1" ht="24">
      <c r="A25" s="954" t="s">
        <v>2320</v>
      </c>
      <c r="B25" s="259" t="s">
        <v>2321</v>
      </c>
      <c r="C25" s="1358">
        <f ca="1">ROUND(IF('数据-取费表'!B22&lt;=1,C20*F22*'数据-取费表'!B23/2,C20*(POWER((1+F22),'数据-取费表'!B23/2)-1)),0)</f>
        <v>1</v>
      </c>
      <c r="D25" s="282"/>
      <c r="E25" s="285"/>
      <c r="F25" s="283"/>
      <c r="G25" s="286" t="s">
        <v>2322</v>
      </c>
    </row>
    <row r="26" spans="1:7" s="258" customFormat="1">
      <c r="A26" s="954"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133</v>
      </c>
      <c r="D27" s="279">
        <f ca="1">C29</f>
        <v>4.0000000000000001E-3</v>
      </c>
      <c r="E27" s="280" t="s">
        <v>2326</v>
      </c>
      <c r="F27" s="290">
        <f ca="1">IF(B1="",'数据-取费表'!Q16,INDIRECT("'数据-取费表'!q"&amp;$G$1))</f>
        <v>0.2</v>
      </c>
      <c r="G27" s="291" t="s">
        <v>2327</v>
      </c>
    </row>
    <row r="28" spans="1:7" s="258" customFormat="1" ht="13.5" customHeight="1">
      <c r="A28" s="954" t="s">
        <v>790</v>
      </c>
      <c r="B28" s="292" t="s">
        <v>2328</v>
      </c>
      <c r="C28" s="293">
        <f ca="1">ROUND((C5+C19+C20)*F27*'数据-取费表'!B21/'数据-取费表'!B20,0)</f>
        <v>133</v>
      </c>
      <c r="D28" s="279"/>
      <c r="E28" s="280"/>
      <c r="F28" s="290"/>
      <c r="G28" s="291"/>
    </row>
    <row r="29" spans="1:7" s="258" customFormat="1" ht="13.5" customHeight="1">
      <c r="A29" s="954" t="s">
        <v>791</v>
      </c>
      <c r="B29" s="292" t="s">
        <v>2329</v>
      </c>
      <c r="C29" s="282">
        <f ca="1">ROUND(C21*F27*'数据-取费表'!B21/'数据-取费表'!B20,4)</f>
        <v>4.0000000000000001E-3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937</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22113</v>
      </c>
      <c r="D33" s="276"/>
      <c r="E33" s="256"/>
      <c r="F33" s="285"/>
      <c r="G33" s="278"/>
    </row>
    <row r="34" spans="1:7" s="302" customFormat="1" ht="13.5" customHeight="1">
      <c r="A34" s="954" t="s">
        <v>790</v>
      </c>
      <c r="B34" s="259" t="s">
        <v>2337</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2338</v>
      </c>
    </row>
    <row r="35" spans="1:7" ht="13.5" customHeight="1">
      <c r="A35" s="954" t="s">
        <v>795</v>
      </c>
      <c r="B35" s="259" t="s">
        <v>2339</v>
      </c>
      <c r="C35" s="264">
        <f ca="1">ROUND(C34*F35,0)</f>
        <v>588</v>
      </c>
      <c r="D35" s="264"/>
      <c r="E35" s="264"/>
      <c r="F35" s="303">
        <f>'数据-取费表'!B33</f>
        <v>0.03</v>
      </c>
      <c r="G35" s="263" t="s">
        <v>2340</v>
      </c>
    </row>
    <row r="36" spans="1:7" ht="24">
      <c r="A36" s="954" t="s">
        <v>796</v>
      </c>
      <c r="B36" s="259" t="s">
        <v>2341</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2342</v>
      </c>
    </row>
    <row r="37" spans="1:7" s="302" customFormat="1" ht="13.5" customHeight="1">
      <c r="A37" s="954" t="s">
        <v>797</v>
      </c>
      <c r="B37" s="259" t="s">
        <v>2343</v>
      </c>
      <c r="C37" s="293">
        <f ca="1">ROUND(E37*D37*F34/10000,0)</f>
        <v>653</v>
      </c>
      <c r="D37" s="261">
        <f ca="1">D19</f>
        <v>32663.93</v>
      </c>
      <c r="E37" s="293">
        <f>'数据-取费表'!B35</f>
        <v>200</v>
      </c>
      <c r="F37" s="303"/>
      <c r="G37" s="305" t="s">
        <v>2344</v>
      </c>
    </row>
    <row r="38" spans="1:7" ht="13.5" customHeight="1">
      <c r="A38" s="954" t="s">
        <v>798</v>
      </c>
      <c r="B38" s="259" t="s">
        <v>2345</v>
      </c>
      <c r="C38" s="264">
        <f ca="1">ROUND(C34*F38,0)</f>
        <v>294</v>
      </c>
      <c r="D38" s="264"/>
      <c r="E38" s="264"/>
      <c r="F38" s="303">
        <f>'数据-取费表'!B36</f>
        <v>1.4999999999999999E-2</v>
      </c>
      <c r="G38" s="263" t="s">
        <v>2340</v>
      </c>
    </row>
    <row r="39" spans="1:7" s="258" customFormat="1" ht="13.5" customHeight="1">
      <c r="A39" s="299" t="s">
        <v>2346</v>
      </c>
      <c r="B39" s="254" t="s">
        <v>2347</v>
      </c>
      <c r="C39" s="276">
        <f ca="1">ROUND(C33*F20,0)</f>
        <v>442</v>
      </c>
      <c r="D39" s="276"/>
      <c r="E39" s="276"/>
      <c r="F39" s="277"/>
      <c r="G39" s="278" t="s">
        <v>2348</v>
      </c>
    </row>
    <row r="40" spans="1:7" s="258" customFormat="1" ht="13.5" customHeight="1">
      <c r="A40" s="299" t="s">
        <v>2349</v>
      </c>
      <c r="B40" s="254" t="s">
        <v>2350</v>
      </c>
      <c r="C40" s="1731">
        <f>F21</f>
        <v>0.02</v>
      </c>
      <c r="D40" s="280" t="s">
        <v>2351</v>
      </c>
      <c r="E40" s="276"/>
      <c r="F40" s="277"/>
      <c r="G40" s="278" t="s">
        <v>2352</v>
      </c>
    </row>
    <row r="41" spans="1:7" s="258" customFormat="1" ht="13.5" customHeight="1">
      <c r="A41" s="299" t="s">
        <v>2353</v>
      </c>
      <c r="B41" s="254" t="s">
        <v>2354</v>
      </c>
      <c r="C41" s="276">
        <f ca="1">ROUND(SUM(C42:C43),0)</f>
        <v>1071</v>
      </c>
      <c r="D41" s="279">
        <f ca="1">C44</f>
        <v>1E-3</v>
      </c>
      <c r="E41" s="280" t="s">
        <v>2351</v>
      </c>
      <c r="F41" s="281"/>
      <c r="G41" s="278" t="str">
        <f>IF('数据-取费表'!B22&lt;=1,"单利计息","复利计息")</f>
        <v>复利计息</v>
      </c>
    </row>
    <row r="42" spans="1:7" ht="13.5" customHeight="1">
      <c r="A42" s="954" t="s">
        <v>790</v>
      </c>
      <c r="B42" s="259" t="s">
        <v>2355</v>
      </c>
      <c r="C42" s="282">
        <f ca="1">ROUND(IF('数据-取费表'!B22&lt;=1,C33*F22*'数据-取费表'!B21/2,C33*(POWER((1+F22),'数据-取费表'!B21/2)-1)),0)</f>
        <v>1050</v>
      </c>
      <c r="D42" s="282"/>
      <c r="E42" s="282"/>
      <c r="F42" s="283"/>
      <c r="G42" s="3148" t="s">
        <v>2356</v>
      </c>
    </row>
    <row r="43" spans="1:7" ht="13.5" customHeight="1">
      <c r="A43" s="954" t="s">
        <v>791</v>
      </c>
      <c r="B43" s="259" t="s">
        <v>2357</v>
      </c>
      <c r="C43" s="282">
        <f ca="1">ROUND(IF('数据-取费表'!B22&lt;=1,C39*F22*'数据-取费表'!B21/2,C39*(POWER((1+F22),'数据-取费表'!B21/2)-1)),0)</f>
        <v>21</v>
      </c>
      <c r="D43" s="282"/>
      <c r="E43" s="282"/>
      <c r="F43" s="283"/>
      <c r="G43" s="3149"/>
    </row>
    <row r="44" spans="1:7" ht="13.5" customHeight="1">
      <c r="A44" s="954" t="s">
        <v>792</v>
      </c>
      <c r="B44" s="259" t="s">
        <v>2358</v>
      </c>
      <c r="C44" s="282">
        <f ca="1">ROUND(IF('数据-取费表'!B22&lt;=1,C40*F22*'数据-取费表'!B21/2,C40*(POWER((1+F22),'数据-取费表'!B21/2)-1)),4)</f>
        <v>1E-3</v>
      </c>
      <c r="D44" s="282"/>
      <c r="E44" s="282"/>
      <c r="F44" s="283"/>
      <c r="G44" s="3150"/>
    </row>
    <row r="45" spans="1:7" s="258" customFormat="1" ht="13.5" customHeight="1">
      <c r="A45" s="299" t="s">
        <v>2359</v>
      </c>
      <c r="B45" s="288" t="s">
        <v>2325</v>
      </c>
      <c r="C45" s="289">
        <f ca="1">C46</f>
        <v>4511</v>
      </c>
      <c r="D45" s="279">
        <f ca="1">C47</f>
        <v>4.0000000000000001E-3</v>
      </c>
      <c r="E45" s="280" t="s">
        <v>2351</v>
      </c>
      <c r="F45" s="290"/>
      <c r="G45" s="291" t="s">
        <v>2360</v>
      </c>
    </row>
    <row r="46" spans="1:7" s="258" customFormat="1" ht="13.5" customHeight="1">
      <c r="A46" s="954" t="s">
        <v>790</v>
      </c>
      <c r="B46" s="292" t="s">
        <v>2361</v>
      </c>
      <c r="C46" s="293">
        <f ca="1">ROUND((C33+C39)*F27,0)</f>
        <v>4511</v>
      </c>
      <c r="D46" s="307"/>
      <c r="E46" s="280"/>
      <c r="F46" s="290"/>
      <c r="G46" s="291"/>
    </row>
    <row r="47" spans="1:7" s="258" customFormat="1" ht="13.5" customHeight="1">
      <c r="A47" s="954" t="s">
        <v>791</v>
      </c>
      <c r="B47" s="292" t="s">
        <v>2362</v>
      </c>
      <c r="C47" s="282">
        <f ca="1">ROUND(C40*F27,4)</f>
        <v>4.0000000000000001E-3</v>
      </c>
      <c r="D47" s="307"/>
      <c r="E47" s="280"/>
      <c r="F47" s="290"/>
      <c r="G47" s="291"/>
    </row>
    <row r="48" spans="1:7" s="258" customFormat="1" ht="13.5" customHeight="1">
      <c r="A48" s="299" t="s">
        <v>2324</v>
      </c>
      <c r="B48" s="254" t="s">
        <v>2363</v>
      </c>
      <c r="C48" s="1731">
        <f>ROUND(F30/(1+'数据-取费表'!C42),4)</f>
        <v>5.33E-2</v>
      </c>
      <c r="D48" s="280" t="s">
        <v>2351</v>
      </c>
      <c r="E48" s="276"/>
      <c r="F48" s="281"/>
      <c r="G48" s="278" t="s">
        <v>2364</v>
      </c>
    </row>
    <row r="49" spans="1:7" ht="16.5" customHeight="1">
      <c r="A49" s="299" t="s">
        <v>2330</v>
      </c>
      <c r="B49" s="254" t="s">
        <v>2365</v>
      </c>
      <c r="C49" s="276">
        <f ca="1">ROUND((C33+C39+C41+C45)/(1-C40-D41-D45-C48),0)</f>
        <v>30527</v>
      </c>
      <c r="D49" s="276"/>
      <c r="E49" s="276"/>
      <c r="F49" s="308"/>
      <c r="G49" s="278" t="s">
        <v>2366</v>
      </c>
    </row>
    <row r="50" spans="1:7" s="302" customFormat="1" ht="24">
      <c r="A50" s="299" t="s">
        <v>2367</v>
      </c>
      <c r="B50" s="254" t="s">
        <v>2368</v>
      </c>
      <c r="C50" s="276"/>
      <c r="D50" s="276"/>
      <c r="E50" s="276"/>
      <c r="F50" s="308">
        <f>IF('数据-取费表'!B24=0,'数据-取费表'!N16,1)</f>
        <v>0.81499999999999995</v>
      </c>
      <c r="G50" s="291" t="s">
        <v>2369</v>
      </c>
    </row>
    <row r="51" spans="1:7" ht="16.5" customHeight="1">
      <c r="A51" s="299" t="s">
        <v>2370</v>
      </c>
      <c r="B51" s="254" t="s">
        <v>2371</v>
      </c>
      <c r="C51" s="276">
        <f ca="1">ROUND(C49*F50,0)</f>
        <v>24880</v>
      </c>
      <c r="D51" s="276"/>
      <c r="E51" s="276"/>
      <c r="F51" s="308"/>
      <c r="G51" s="278" t="s">
        <v>2372</v>
      </c>
    </row>
    <row r="52" spans="1:7" s="252" customFormat="1" ht="16.5" thickBot="1">
      <c r="A52" s="309" t="s">
        <v>2373</v>
      </c>
      <c r="B52" s="310"/>
      <c r="C52" s="311">
        <f ca="1">C31+C51</f>
        <v>25817</v>
      </c>
      <c r="D52" s="310"/>
      <c r="E52" s="310"/>
      <c r="F52" s="310"/>
      <c r="G52" s="312"/>
    </row>
    <row r="55" spans="1:7" ht="15">
      <c r="B55" s="314" t="s">
        <v>2374</v>
      </c>
      <c r="C55" s="315"/>
    </row>
    <row r="56" spans="1:7">
      <c r="B56" s="317" t="s">
        <v>1505</v>
      </c>
      <c r="C56" s="319">
        <f ca="1">1-C57</f>
        <v>3.6000000000000032E-2</v>
      </c>
    </row>
    <row r="57" spans="1:7">
      <c r="B57" s="317" t="s">
        <v>1506</v>
      </c>
      <c r="C57" s="318">
        <f ca="1">ROUND(C51/C52,3)</f>
        <v>0.96399999999999997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2" t="str">
        <f>项目基本情况!B1</f>
        <v>北京市朝阳区工人体育场北路甲2号（西部）房地产抵押价值预评估</v>
      </c>
      <c r="C37" s="2962"/>
      <c r="D37" s="2962"/>
      <c r="E37" s="2962"/>
      <c r="F37" s="2962"/>
      <c r="G37" s="2962"/>
      <c r="H37" s="2962"/>
      <c r="I37" s="2962"/>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40"/>
      <c r="C1" s="2559" t="s">
        <v>2375</v>
      </c>
      <c r="D1" s="242"/>
      <c r="E1" s="242"/>
      <c r="F1" s="242"/>
      <c r="G1" s="1382">
        <f>MATCH(B1,'数据-取费表'!A6:A16,0)+5</f>
        <v>7</v>
      </c>
      <c r="H1" s="1285" t="str">
        <f>IF(ISERROR(FIND("住宅",B1)),"非住宅","住宅")</f>
        <v>非住宅</v>
      </c>
    </row>
    <row r="2" spans="1:8" s="244" customFormat="1" ht="18" customHeight="1">
      <c r="A2" s="245" t="s">
        <v>2274</v>
      </c>
      <c r="B2" s="246">
        <f ca="1">ROUND(IF(D2="——",C52/10000,C52/10000-E2),0)</f>
        <v>26568</v>
      </c>
      <c r="C2" s="243" t="s">
        <v>2275</v>
      </c>
      <c r="D2" s="2553" t="s">
        <v>70</v>
      </c>
      <c r="E2" s="1443" t="e">
        <f ca="1">SUMIF(INDIRECT("'"&amp;G2&amp;"'"&amp;"!A:A"),"承租人权益价值",INDIRECT("'"&amp;G2&amp;"'"&amp;"!c:c"))</f>
        <v>#REF!</v>
      </c>
      <c r="F2" s="2554" t="s">
        <v>2275</v>
      </c>
      <c r="G2" s="2555"/>
    </row>
    <row r="3" spans="1:8" s="244" customFormat="1" ht="18" customHeight="1" thickBot="1">
      <c r="A3" s="247" t="s">
        <v>2276</v>
      </c>
      <c r="B3" s="248">
        <f ca="1">ROUND(B2*10000/(IF(B1="",'数据-汇总表'!E3,INDIRECT("'数据-取费表'!k"&amp;$G$1))),0)</f>
        <v>8134</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5226229</v>
      </c>
      <c r="D5" s="255" t="s">
        <v>2281</v>
      </c>
      <c r="E5" s="256" t="s">
        <v>2282</v>
      </c>
      <c r="F5" s="256" t="s">
        <v>2283</v>
      </c>
      <c r="G5" s="257"/>
    </row>
    <row r="6" spans="1:8" s="258" customFormat="1" ht="13.5" customHeight="1">
      <c r="A6" s="952" t="s">
        <v>2284</v>
      </c>
      <c r="B6" s="259" t="s">
        <v>2285</v>
      </c>
      <c r="C6" s="260"/>
      <c r="D6" s="261"/>
      <c r="E6" s="262"/>
      <c r="F6" s="262"/>
      <c r="G6" s="263"/>
    </row>
    <row r="7" spans="1:8" s="258" customFormat="1" ht="13.5" customHeight="1">
      <c r="A7" s="952" t="s">
        <v>2286</v>
      </c>
      <c r="B7" s="259" t="s">
        <v>2287</v>
      </c>
      <c r="C7" s="264">
        <f>ROUND(C6*F7,0)</f>
        <v>0</v>
      </c>
      <c r="D7" s="264"/>
      <c r="E7" s="262"/>
      <c r="F7" s="265">
        <f>'数据-取费表'!B48+'数据-取费表'!B49</f>
        <v>3.0499999999999999E-2</v>
      </c>
      <c r="G7" s="263"/>
    </row>
    <row r="8" spans="1:8" s="267" customFormat="1">
      <c r="A8" s="952" t="s">
        <v>2288</v>
      </c>
      <c r="B8" s="259" t="s">
        <v>2289</v>
      </c>
      <c r="C8" s="264">
        <f ca="1">IF(G8="已包含在土地购买价格中",0,C9+C10)</f>
        <v>5226229</v>
      </c>
      <c r="D8" s="266"/>
      <c r="E8" s="264"/>
      <c r="F8" s="265"/>
      <c r="G8" s="2556"/>
    </row>
    <row r="9" spans="1:8" s="258" customFormat="1" ht="13.5" customHeight="1">
      <c r="A9" s="953" t="s">
        <v>799</v>
      </c>
      <c r="B9" s="268" t="s">
        <v>2290</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2292</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2293</v>
      </c>
      <c r="C11" s="255"/>
      <c r="D11" s="1037"/>
      <c r="E11" s="262"/>
      <c r="F11" s="262"/>
      <c r="G11" s="263"/>
    </row>
    <row r="12" spans="1:8" s="258" customFormat="1" ht="13.5" hidden="1" customHeight="1">
      <c r="A12" s="271" t="s">
        <v>8</v>
      </c>
      <c r="B12" s="259" t="s">
        <v>2376</v>
      </c>
      <c r="C12" s="255">
        <v>0</v>
      </c>
      <c r="D12" s="1037"/>
      <c r="E12" s="272"/>
      <c r="F12" s="265">
        <v>3.0499999999999999E-2</v>
      </c>
      <c r="G12" s="263"/>
    </row>
    <row r="13" spans="1:8" s="258" customFormat="1" ht="13.5" hidden="1" customHeight="1">
      <c r="A13" s="271" t="s">
        <v>9</v>
      </c>
      <c r="B13" s="259" t="s">
        <v>2377</v>
      </c>
      <c r="C13" s="255"/>
      <c r="D13" s="1037"/>
      <c r="E13" s="262"/>
      <c r="F13" s="262"/>
      <c r="G13" s="263"/>
    </row>
    <row r="14" spans="1:8" s="258" customFormat="1" ht="13.5" hidden="1" customHeight="1">
      <c r="A14" s="271" t="s">
        <v>10</v>
      </c>
      <c r="B14" s="259" t="s">
        <v>2289</v>
      </c>
      <c r="C14" s="255"/>
      <c r="D14" s="1037"/>
      <c r="E14" s="262"/>
      <c r="F14" s="262"/>
      <c r="G14" s="263" t="s">
        <v>2378</v>
      </c>
    </row>
    <row r="15" spans="1:8" s="258" customFormat="1" ht="13.5" hidden="1" customHeight="1">
      <c r="A15" s="271" t="s">
        <v>11</v>
      </c>
      <c r="B15" s="259" t="s">
        <v>2379</v>
      </c>
      <c r="C15" s="264"/>
      <c r="D15" s="1037"/>
      <c r="E15" s="262"/>
      <c r="F15" s="262"/>
      <c r="G15" s="263" t="s">
        <v>2380</v>
      </c>
    </row>
    <row r="16" spans="1:8" s="258" customFormat="1" ht="13.5" hidden="1" customHeight="1">
      <c r="A16" s="271" t="s">
        <v>12</v>
      </c>
      <c r="B16" s="259" t="s">
        <v>2289</v>
      </c>
      <c r="C16" s="264"/>
      <c r="D16" s="1037"/>
      <c r="E16" s="262"/>
      <c r="F16" s="262"/>
      <c r="G16" s="263"/>
    </row>
    <row r="17" spans="1:7" s="258" customFormat="1" ht="13.5" hidden="1" customHeight="1">
      <c r="A17" s="271" t="s">
        <v>13</v>
      </c>
      <c r="B17" s="259" t="s">
        <v>2381</v>
      </c>
      <c r="C17" s="273"/>
      <c r="D17" s="1038"/>
      <c r="E17" s="273"/>
      <c r="F17" s="273"/>
      <c r="G17" s="263" t="s">
        <v>2380</v>
      </c>
    </row>
    <row r="18" spans="1:7" s="258" customFormat="1" ht="13.5" hidden="1" customHeight="1">
      <c r="A18" s="271" t="s">
        <v>14</v>
      </c>
      <c r="B18" s="259" t="s">
        <v>2382</v>
      </c>
      <c r="C18" s="264">
        <v>0</v>
      </c>
      <c r="D18" s="1037"/>
      <c r="E18" s="262"/>
      <c r="F18" s="265">
        <v>3.0499999999999999E-2</v>
      </c>
      <c r="G18" s="263" t="s">
        <v>2383</v>
      </c>
    </row>
    <row r="19" spans="1:7" s="267" customFormat="1" ht="13.5" customHeight="1">
      <c r="A19" s="299" t="s">
        <v>2384</v>
      </c>
      <c r="B19" s="254" t="s">
        <v>2385</v>
      </c>
      <c r="C19" s="255">
        <f ca="1">IF(G19="已包含在土地取得成本中","0",ROUND(D19*E19,0))</f>
        <v>6532786</v>
      </c>
      <c r="D19" s="1039">
        <f ca="1">D9+D10</f>
        <v>32663.93</v>
      </c>
      <c r="E19" s="255">
        <f>'数据-取费表'!B31</f>
        <v>200</v>
      </c>
      <c r="F19" s="275"/>
      <c r="G19" s="2556"/>
    </row>
    <row r="20" spans="1:7" s="258" customFormat="1" ht="13.5" customHeight="1">
      <c r="A20" s="299" t="s">
        <v>2386</v>
      </c>
      <c r="B20" s="254" t="s">
        <v>2387</v>
      </c>
      <c r="C20" s="276">
        <f ca="1">ROUND((C5+C19)*F20,0)</f>
        <v>235180</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83">
        <f ca="1">ROUND(SUM(C23:C25),0)</f>
        <v>1154808</v>
      </c>
      <c r="D22" s="279">
        <f ca="1">C26</f>
        <v>1E-3</v>
      </c>
      <c r="E22" s="280" t="s">
        <v>2391</v>
      </c>
      <c r="F22" s="281">
        <f ca="1">'数据-取费表'!B40</f>
        <v>4.7500000000000001E-2</v>
      </c>
      <c r="G22" s="278" t="str">
        <f>IF('数据-取费表'!B22&lt;=1,"单利计息","复利计息")</f>
        <v>复利计息</v>
      </c>
    </row>
    <row r="23" spans="1:7" s="258" customFormat="1" ht="13.5" customHeight="1">
      <c r="A23" s="954" t="s">
        <v>2284</v>
      </c>
      <c r="B23" s="259" t="s">
        <v>2395</v>
      </c>
      <c r="C23" s="1384">
        <f ca="1">ROUND(IF('数据-取费表'!B22&lt;=1,C5*F22*'数据-取费表'!B22,C5*(POWER((1+F22),'数据-取费表'!B22)-1)),0)</f>
        <v>508283</v>
      </c>
      <c r="D23" s="282"/>
      <c r="E23" s="282"/>
      <c r="F23" s="283"/>
      <c r="G23" s="284" t="s">
        <v>2396</v>
      </c>
    </row>
    <row r="24" spans="1:7" s="258" customFormat="1" ht="13.5" customHeight="1">
      <c r="A24" s="954" t="s">
        <v>2286</v>
      </c>
      <c r="B24" s="259" t="s">
        <v>2397</v>
      </c>
      <c r="C24" s="1384">
        <f ca="1">ROUND(IF('数据-取费表'!B22&lt;=1,C19*F22*('数据-取费表'!B19/2+'数据-取费表'!B20),C19*(POWER((1+F22),('数据-取费表'!B19/2+'数据-取费表'!B20))-1)),0)</f>
        <v>635354</v>
      </c>
      <c r="D24" s="282"/>
      <c r="E24" s="282"/>
      <c r="F24" s="283"/>
      <c r="G24" s="284" t="s">
        <v>2398</v>
      </c>
    </row>
    <row r="25" spans="1:7" s="258" customFormat="1" ht="24">
      <c r="A25" s="954" t="s">
        <v>2288</v>
      </c>
      <c r="B25" s="259" t="s">
        <v>2399</v>
      </c>
      <c r="C25" s="1384">
        <f ca="1">ROUND(IF('数据-取费表'!B22&lt;=1,C20*F22*'数据-取费表'!B22/2,C20*(POWER((1+F22),'数据-取费表'!B22/2)-1)),0)</f>
        <v>11171</v>
      </c>
      <c r="D25" s="282"/>
      <c r="E25" s="285"/>
      <c r="F25" s="283"/>
      <c r="G25" s="286" t="s">
        <v>2400</v>
      </c>
    </row>
    <row r="26" spans="1:7" s="258" customFormat="1">
      <c r="A26" s="954"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2398839</v>
      </c>
      <c r="D27" s="279">
        <f ca="1">C29</f>
        <v>4.0000000000000001E-3</v>
      </c>
      <c r="E27" s="280" t="s">
        <v>2326</v>
      </c>
      <c r="F27" s="290">
        <f ca="1">IF(B1="",'数据-取费表'!Q16,INDIRECT("'数据-取费表'!q"&amp;$G$1))</f>
        <v>0.2</v>
      </c>
      <c r="G27" s="291" t="s">
        <v>2327</v>
      </c>
    </row>
    <row r="28" spans="1:7" s="258" customFormat="1" ht="13.5" customHeight="1">
      <c r="A28" s="954" t="s">
        <v>790</v>
      </c>
      <c r="B28" s="292" t="s">
        <v>2328</v>
      </c>
      <c r="C28" s="293">
        <f ca="1">ROUND((C5+C19+C20)*F27,0)</f>
        <v>2398839</v>
      </c>
      <c r="D28" s="279"/>
      <c r="E28" s="280"/>
      <c r="F28" s="290"/>
      <c r="G28" s="291"/>
    </row>
    <row r="29" spans="1:7" s="258" customFormat="1" ht="13.5" customHeight="1">
      <c r="A29" s="954" t="s">
        <v>791</v>
      </c>
      <c r="B29" s="292" t="s">
        <v>2329</v>
      </c>
      <c r="C29" s="282">
        <f ca="1">ROUND(C21*F27,4)</f>
        <v>4.0000000000000001E-3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16868658</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221134806</v>
      </c>
      <c r="D33" s="276"/>
      <c r="E33" s="256"/>
      <c r="F33" s="285"/>
      <c r="G33" s="278"/>
    </row>
    <row r="34" spans="1:7" s="302" customFormat="1" ht="13.5" customHeight="1">
      <c r="A34" s="954" t="s">
        <v>790</v>
      </c>
      <c r="B34" s="259" t="s">
        <v>2337</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2339</v>
      </c>
      <c r="C35" s="264">
        <f ca="1">ROUND(C34*F35,0)</f>
        <v>5879507</v>
      </c>
      <c r="D35" s="264"/>
      <c r="E35" s="264"/>
      <c r="F35" s="303">
        <f>'数据-取费表'!B33</f>
        <v>0.03</v>
      </c>
      <c r="G35" s="263" t="s">
        <v>2340</v>
      </c>
    </row>
    <row r="36" spans="1:7" ht="24">
      <c r="A36" s="954" t="s">
        <v>796</v>
      </c>
      <c r="B36" s="259" t="s">
        <v>2341</v>
      </c>
      <c r="C36" s="264">
        <f ca="1">ROUND(IF(B1="",SUM('数据-取费表'!AP6:AP13)*F36,IF(INDIRECT("'数据-取费表'!c"&amp;$G$1)="住宅",INDIRECT("'数据-取费表'!k"&amp;$G$1)*INDIRECT("'数据-取费表'!l"&amp;$G$1)*F36,0)),0)</f>
        <v>9799179</v>
      </c>
      <c r="D36" s="264"/>
      <c r="E36" s="264"/>
      <c r="F36" s="303">
        <f>'数据-取费表'!B34</f>
        <v>0.05</v>
      </c>
      <c r="G36" s="304" t="s">
        <v>2342</v>
      </c>
    </row>
    <row r="37" spans="1:7" s="302" customFormat="1" ht="13.5" customHeight="1">
      <c r="A37" s="954" t="s">
        <v>797</v>
      </c>
      <c r="B37" s="259" t="s">
        <v>2343</v>
      </c>
      <c r="C37" s="293">
        <f ca="1">ROUND(E37*D37,0)</f>
        <v>6532786</v>
      </c>
      <c r="D37" s="261">
        <f ca="1">D19</f>
        <v>32663.93</v>
      </c>
      <c r="E37" s="293">
        <f>'数据-取费表'!B35</f>
        <v>200</v>
      </c>
      <c r="F37" s="303"/>
      <c r="G37" s="305"/>
    </row>
    <row r="38" spans="1:7" ht="13.5" customHeight="1">
      <c r="A38" s="954" t="s">
        <v>798</v>
      </c>
      <c r="B38" s="259" t="s">
        <v>2345</v>
      </c>
      <c r="C38" s="264">
        <f ca="1">ROUND(C34*F38,0)</f>
        <v>2939754</v>
      </c>
      <c r="D38" s="264"/>
      <c r="E38" s="264"/>
      <c r="F38" s="303">
        <f>'数据-取费表'!B36</f>
        <v>1.4999999999999999E-2</v>
      </c>
      <c r="G38" s="263" t="s">
        <v>2340</v>
      </c>
    </row>
    <row r="39" spans="1:7" s="258" customFormat="1" ht="13.5" customHeight="1">
      <c r="A39" s="299" t="s">
        <v>2346</v>
      </c>
      <c r="B39" s="254" t="s">
        <v>2347</v>
      </c>
      <c r="C39" s="276">
        <f ca="1">ROUND(C33*F20,0)</f>
        <v>4422696</v>
      </c>
      <c r="D39" s="276"/>
      <c r="E39" s="276"/>
      <c r="F39" s="277"/>
      <c r="G39" s="278" t="s">
        <v>2348</v>
      </c>
    </row>
    <row r="40" spans="1:7" s="258" customFormat="1" ht="13.5" customHeight="1">
      <c r="A40" s="299" t="s">
        <v>2349</v>
      </c>
      <c r="B40" s="254" t="s">
        <v>2350</v>
      </c>
      <c r="C40" s="1731">
        <f>F21</f>
        <v>0.02</v>
      </c>
      <c r="D40" s="280" t="s">
        <v>2351</v>
      </c>
      <c r="E40" s="276"/>
      <c r="F40" s="277"/>
      <c r="G40" s="278" t="s">
        <v>2352</v>
      </c>
    </row>
    <row r="41" spans="1:7" s="258" customFormat="1" ht="13.5" customHeight="1">
      <c r="A41" s="299" t="s">
        <v>2353</v>
      </c>
      <c r="B41" s="254" t="s">
        <v>2354</v>
      </c>
      <c r="C41" s="276">
        <f ca="1">ROUND(SUM(C42:C43),0)</f>
        <v>10713981</v>
      </c>
      <c r="D41" s="279">
        <f ca="1">C44</f>
        <v>1E-3</v>
      </c>
      <c r="E41" s="280" t="s">
        <v>2351</v>
      </c>
      <c r="F41" s="281"/>
      <c r="G41" s="278" t="str">
        <f>IF('数据-取费表'!B22&lt;=1,"单利计息","复利计息")</f>
        <v>复利计息</v>
      </c>
    </row>
    <row r="42" spans="1:7" ht="13.5" customHeight="1">
      <c r="A42" s="954" t="s">
        <v>790</v>
      </c>
      <c r="B42" s="259" t="s">
        <v>2355</v>
      </c>
      <c r="C42" s="282">
        <f ca="1">ROUND(IF('数据-取费表'!B22&lt;=1,C33*F22*'数据-取费表'!B20/2,C33*(POWER((1+F22),'数据-取费表'!B20/2)-1)),0)</f>
        <v>10503903</v>
      </c>
      <c r="D42" s="282"/>
      <c r="E42" s="282"/>
      <c r="F42" s="283"/>
      <c r="G42" s="3148" t="s">
        <v>2403</v>
      </c>
    </row>
    <row r="43" spans="1:7" ht="13.5" customHeight="1">
      <c r="A43" s="954" t="s">
        <v>791</v>
      </c>
      <c r="B43" s="259" t="s">
        <v>2357</v>
      </c>
      <c r="C43" s="282">
        <f ca="1">ROUND(IF('数据-取费表'!B22&lt;=1,C39*F22*'数据-取费表'!B20/2,C39*(POWER((1+F22),'数据-取费表'!B20/2)-1)),0)</f>
        <v>210078</v>
      </c>
      <c r="D43" s="282"/>
      <c r="E43" s="282"/>
      <c r="F43" s="283"/>
      <c r="G43" s="3149"/>
    </row>
    <row r="44" spans="1:7" ht="13.5" customHeight="1">
      <c r="A44" s="954" t="s">
        <v>792</v>
      </c>
      <c r="B44" s="259" t="s">
        <v>2358</v>
      </c>
      <c r="C44" s="282">
        <f ca="1">ROUND(IF('数据-取费表'!B22&lt;=1,C40*F22*'数据-取费表'!B20/2,C40*(POWER((1+F22),'数据-取费表'!B20/2)-1)),4)</f>
        <v>1E-3</v>
      </c>
      <c r="D44" s="282"/>
      <c r="E44" s="282"/>
      <c r="F44" s="283"/>
      <c r="G44" s="3150"/>
    </row>
    <row r="45" spans="1:7" s="258" customFormat="1" ht="13.5" customHeight="1">
      <c r="A45" s="299" t="s">
        <v>2359</v>
      </c>
      <c r="B45" s="288" t="s">
        <v>2325</v>
      </c>
      <c r="C45" s="289">
        <f ca="1">C46</f>
        <v>45111500</v>
      </c>
      <c r="D45" s="279">
        <f ca="1">C47</f>
        <v>4.0000000000000001E-3</v>
      </c>
      <c r="E45" s="280" t="s">
        <v>2351</v>
      </c>
      <c r="F45" s="290"/>
      <c r="G45" s="291" t="s">
        <v>2360</v>
      </c>
    </row>
    <row r="46" spans="1:7" s="258" customFormat="1" ht="13.5" customHeight="1">
      <c r="A46" s="954" t="s">
        <v>790</v>
      </c>
      <c r="B46" s="292" t="s">
        <v>2361</v>
      </c>
      <c r="C46" s="293">
        <f ca="1">ROUND((C33+C39)*F27,0)</f>
        <v>45111500</v>
      </c>
      <c r="D46" s="307"/>
      <c r="E46" s="280"/>
      <c r="F46" s="290"/>
      <c r="G46" s="291"/>
    </row>
    <row r="47" spans="1:7" s="258" customFormat="1" ht="13.5" customHeight="1">
      <c r="A47" s="954" t="s">
        <v>791</v>
      </c>
      <c r="B47" s="292" t="s">
        <v>2362</v>
      </c>
      <c r="C47" s="282">
        <f ca="1">ROUND(C40*F27,4)</f>
        <v>4.0000000000000001E-3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305286951</v>
      </c>
      <c r="D49" s="276"/>
      <c r="E49" s="276"/>
      <c r="F49" s="308"/>
      <c r="G49" s="278" t="s">
        <v>2366</v>
      </c>
    </row>
    <row r="50" spans="1:7" s="302" customFormat="1">
      <c r="A50" s="299" t="s">
        <v>2367</v>
      </c>
      <c r="B50" s="254" t="s">
        <v>2368</v>
      </c>
      <c r="C50" s="276"/>
      <c r="D50" s="276"/>
      <c r="E50" s="276"/>
      <c r="F50" s="308">
        <f>IF('数据-取费表'!B24=0,'数据-取费表'!N16,1)</f>
        <v>0.81499999999999995</v>
      </c>
      <c r="G50" s="291"/>
    </row>
    <row r="51" spans="1:7" ht="16.5" customHeight="1">
      <c r="A51" s="299" t="s">
        <v>2370</v>
      </c>
      <c r="B51" s="254" t="s">
        <v>2405</v>
      </c>
      <c r="C51" s="276">
        <f ca="1">ROUND(C49*F50,0)</f>
        <v>248808865</v>
      </c>
      <c r="D51" s="276"/>
      <c r="E51" s="276"/>
      <c r="F51" s="308"/>
      <c r="G51" s="278" t="s">
        <v>2372</v>
      </c>
    </row>
    <row r="52" spans="1:7" s="252" customFormat="1" ht="16.5" thickBot="1">
      <c r="A52" s="309" t="s">
        <v>2373</v>
      </c>
      <c r="B52" s="310"/>
      <c r="C52" s="311">
        <f ca="1">C31+C51</f>
        <v>265677523</v>
      </c>
      <c r="D52" s="310"/>
      <c r="E52" s="310"/>
      <c r="F52" s="310"/>
      <c r="G52" s="312"/>
    </row>
    <row r="55" spans="1:7" ht="15">
      <c r="B55" s="314" t="s">
        <v>2374</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2406</v>
      </c>
      <c r="B1" s="1584"/>
      <c r="C1" s="1585"/>
      <c r="D1" s="1583"/>
      <c r="E1" s="320"/>
      <c r="F1" s="320"/>
      <c r="G1" s="1584"/>
      <c r="H1" s="320"/>
      <c r="I1" s="320"/>
      <c r="J1" s="320"/>
      <c r="K1" s="320">
        <f>MATCH(C1,'数据-取费表'!A6:A16,0)+5</f>
        <v>7</v>
      </c>
    </row>
    <row r="2" spans="1:33" ht="18" customHeight="1">
      <c r="A2" s="245" t="s">
        <v>2274</v>
      </c>
      <c r="B2" s="248">
        <f ca="1">C32</f>
        <v>-622</v>
      </c>
      <c r="C2" s="320" t="s">
        <v>2407</v>
      </c>
      <c r="D2" s="320"/>
      <c r="E2" s="320"/>
      <c r="F2" s="320"/>
      <c r="G2" s="320"/>
      <c r="H2" s="320"/>
      <c r="I2" s="320"/>
      <c r="J2" s="320"/>
      <c r="K2" s="320"/>
    </row>
    <row r="3" spans="1:33" ht="18" customHeight="1" thickBot="1">
      <c r="A3" s="247" t="s">
        <v>2276</v>
      </c>
      <c r="B3" s="248">
        <f ca="1">ROUND(B2*10000/IF(C1="",'数据-汇总表'!E3,INDIRECT("'数据-取费表'!K"&amp;$K$1)),0)</f>
        <v>-190</v>
      </c>
      <c r="C3" s="320" t="s">
        <v>2408</v>
      </c>
      <c r="D3" s="320"/>
      <c r="E3" s="320"/>
      <c r="F3" s="320"/>
      <c r="G3" s="320"/>
      <c r="H3" s="320"/>
      <c r="I3" s="320"/>
      <c r="J3" s="320"/>
      <c r="K3" s="320"/>
    </row>
    <row r="4" spans="1:33" s="959" customFormat="1" ht="16.5" customHeight="1">
      <c r="A4" s="956" t="s">
        <v>2409</v>
      </c>
      <c r="B4" s="957"/>
      <c r="C4" s="999">
        <f>SUM(C8:K8)</f>
        <v>0</v>
      </c>
      <c r="D4" s="957"/>
      <c r="E4" s="957"/>
      <c r="F4" s="957"/>
      <c r="G4" s="957"/>
      <c r="H4" s="957"/>
      <c r="I4" s="957"/>
      <c r="J4" s="957"/>
      <c r="K4" s="958"/>
    </row>
    <row r="5" spans="1:33" s="963" customFormat="1" ht="24.75">
      <c r="A5" s="960" t="s">
        <v>2410</v>
      </c>
      <c r="B5" s="961" t="s">
        <v>2411</v>
      </c>
      <c r="C5" s="2560" t="s">
        <v>2412</v>
      </c>
      <c r="D5" s="2560" t="s">
        <v>2413</v>
      </c>
      <c r="E5" s="2560" t="s">
        <v>2414</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2418</v>
      </c>
      <c r="B8" s="177" t="s">
        <v>2419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2420</v>
      </c>
      <c r="B9" s="957"/>
      <c r="C9" s="957"/>
      <c r="D9" s="957"/>
      <c r="E9" s="957"/>
      <c r="F9" s="957"/>
      <c r="G9" s="957"/>
      <c r="H9" s="957"/>
      <c r="I9" s="957"/>
      <c r="J9" s="957"/>
      <c r="K9" s="958"/>
    </row>
    <row r="10" spans="1:33" s="973" customFormat="1" ht="13.5" customHeight="1">
      <c r="A10" s="960" t="s">
        <v>2421</v>
      </c>
      <c r="B10" s="8" t="s">
        <v>2422</v>
      </c>
      <c r="C10" s="969" t="s">
        <v>2423</v>
      </c>
      <c r="D10" s="970" t="s">
        <v>2424</v>
      </c>
      <c r="E10" s="970" t="s">
        <v>2425</v>
      </c>
      <c r="F10" s="970" t="s">
        <v>2426</v>
      </c>
      <c r="G10" s="8"/>
      <c r="H10" s="971"/>
      <c r="I10" s="971"/>
      <c r="J10" s="971"/>
      <c r="K10" s="972"/>
    </row>
    <row r="11" spans="1:33" s="978" customFormat="1" ht="13.5" customHeight="1">
      <c r="A11" s="974" t="s">
        <v>1326</v>
      </c>
      <c r="B11" s="975" t="s">
        <v>2427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2428</v>
      </c>
      <c r="C12" s="24">
        <f ca="1">ROUND(C11*F12,0)</f>
        <v>0</v>
      </c>
      <c r="D12" s="976"/>
      <c r="E12" s="375"/>
      <c r="F12" s="979">
        <f>'数据-取费表'!B33</f>
        <v>0.03</v>
      </c>
      <c r="G12" s="8" t="s">
        <v>2429</v>
      </c>
      <c r="H12" s="971"/>
      <c r="I12" s="971"/>
      <c r="J12" s="971"/>
      <c r="K12" s="972"/>
    </row>
    <row r="13" spans="1:33" s="978" customFormat="1" ht="13.5" customHeight="1">
      <c r="A13" s="974" t="s">
        <v>1328</v>
      </c>
      <c r="B13" s="975" t="s">
        <v>2430</v>
      </c>
      <c r="C13" s="24">
        <f ca="1">ROUND(IF(C1="",SUMIF('数据-取费表'!C:C,"住宅",'数据-取费表'!P:P)*F13,IF(INDIRECT("'数据-取费表'!c"&amp;$K$1)="住宅",INDIRECT("'数据-取费表'!P"&amp;$K$1)*F13,0)),0)</f>
        <v>0</v>
      </c>
      <c r="D13" s="1036"/>
      <c r="E13" s="375"/>
      <c r="F13" s="979">
        <f>'数据-取费表'!B34</f>
        <v>0.05</v>
      </c>
      <c r="G13" s="8" t="s">
        <v>2431</v>
      </c>
      <c r="H13" s="971"/>
      <c r="I13" s="971"/>
      <c r="J13" s="971"/>
      <c r="K13" s="972"/>
    </row>
    <row r="14" spans="1:33" s="980" customFormat="1" ht="13.5" customHeight="1">
      <c r="A14" s="974" t="s">
        <v>1329</v>
      </c>
      <c r="B14" s="975" t="s">
        <v>2432</v>
      </c>
      <c r="C14" s="24">
        <f ca="1">ROUND(D14*E14*F11/10000,0)</f>
        <v>0</v>
      </c>
      <c r="D14" s="1036">
        <f ca="1">IF(C1="",'数据-汇总表'!E3,INDIRECT("'数据-取费表'!K"&amp;$K$1)+INDIRECT("'数据-取费表'!S"&amp;$K$1))</f>
        <v>32663.93</v>
      </c>
      <c r="E14" s="24">
        <f>'数据-取费表'!B35</f>
        <v>200</v>
      </c>
      <c r="F14" s="979"/>
      <c r="G14" s="8" t="s">
        <v>2433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2434</v>
      </c>
      <c r="C15" s="986">
        <f ca="1">ROUND(C11*F15,0)</f>
        <v>0</v>
      </c>
      <c r="D15" s="981"/>
      <c r="E15" s="986"/>
      <c r="F15" s="987">
        <f>'数据-取费表'!B36</f>
        <v>1.4999999999999999E-2</v>
      </c>
      <c r="G15" s="140" t="s">
        <v>2435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2437</v>
      </c>
      <c r="C17" s="24">
        <f ca="1">ROUND(D17*E17/10000,0)</f>
        <v>0</v>
      </c>
      <c r="D17" s="1036">
        <f ca="1">D14</f>
        <v>32663.93</v>
      </c>
      <c r="E17" s="24">
        <f>'数据-取费表'!B32</f>
        <v>0</v>
      </c>
      <c r="F17" s="981"/>
      <c r="G17" s="140" t="s">
        <v>2438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2439</v>
      </c>
      <c r="C18" s="24">
        <f ca="1">C19+C20-IF(C1="",'数据-取费表'!B29,IF(G18="已全部缴纳",C19+C20,H18))</f>
        <v>523</v>
      </c>
      <c r="D18" s="1036"/>
      <c r="E18" s="24"/>
      <c r="F18" s="979"/>
      <c r="G18" s="2562"/>
      <c r="H18" s="1580"/>
      <c r="I18" s="2563" t="s">
        <v>2440</v>
      </c>
      <c r="J18" s="982"/>
      <c r="K18" s="983"/>
    </row>
    <row r="19" spans="1:33" s="978" customFormat="1" ht="13.5" customHeight="1">
      <c r="A19" s="974" t="s">
        <v>804</v>
      </c>
      <c r="B19" s="975" t="s">
        <v>2441</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2442</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2443</v>
      </c>
      <c r="C21" s="989">
        <f ca="1">C16+C17+C18</f>
        <v>523</v>
      </c>
      <c r="D21" s="990"/>
      <c r="E21" s="325"/>
      <c r="F21" s="325"/>
      <c r="G21" s="140" t="s">
        <v>2444</v>
      </c>
      <c r="H21" s="982"/>
      <c r="I21" s="982"/>
      <c r="J21" s="982"/>
      <c r="K21" s="983"/>
    </row>
    <row r="22" spans="1:33" s="978" customFormat="1" ht="13.5" customHeight="1">
      <c r="A22" s="964" t="s">
        <v>2416</v>
      </c>
      <c r="B22" s="988" t="s">
        <v>2445</v>
      </c>
      <c r="C22" s="989">
        <f ca="1">ROUND(C21*F22,0)</f>
        <v>10</v>
      </c>
      <c r="D22" s="325"/>
      <c r="E22" s="325"/>
      <c r="F22" s="991">
        <f>'数据-取费表'!B37</f>
        <v>0.02</v>
      </c>
      <c r="G22" s="8" t="s">
        <v>2446</v>
      </c>
      <c r="H22" s="971"/>
      <c r="I22" s="971"/>
      <c r="J22" s="971"/>
      <c r="K22" s="972"/>
    </row>
    <row r="23" spans="1:33" s="978" customFormat="1" ht="13.5" customHeight="1">
      <c r="A23" s="964" t="s">
        <v>2418</v>
      </c>
      <c r="B23" s="988" t="s">
        <v>2447</v>
      </c>
      <c r="C23" s="989">
        <f ca="1">ROUND(C4*F23*F11,0)</f>
        <v>0</v>
      </c>
      <c r="D23" s="325"/>
      <c r="E23" s="325"/>
      <c r="F23" s="991">
        <f>'数据-取费表'!B38</f>
        <v>0.02</v>
      </c>
      <c r="G23" s="8" t="s">
        <v>2448</v>
      </c>
      <c r="H23" s="971"/>
      <c r="I23" s="971"/>
      <c r="J23" s="971"/>
      <c r="K23" s="972"/>
    </row>
    <row r="24" spans="1:33" s="978" customFormat="1" ht="13.5" customHeight="1">
      <c r="A24" s="964" t="s">
        <v>2449</v>
      </c>
      <c r="B24" s="988" t="s">
        <v>2450</v>
      </c>
      <c r="C24" s="324">
        <f>ROUND(F24/(1+'数据-取费表'!C42),4)</f>
        <v>2.9000000000000001E-2</v>
      </c>
      <c r="D24" s="325" t="s">
        <v>15</v>
      </c>
      <c r="E24" s="325"/>
      <c r="F24" s="991">
        <f>'数据-取费表'!B48+'数据-取费表'!B49</f>
        <v>3.0499999999999999E-2</v>
      </c>
      <c r="G24" s="8" t="s">
        <v>2451</v>
      </c>
      <c r="H24" s="993"/>
      <c r="I24" s="993"/>
      <c r="J24" s="993"/>
      <c r="K24" s="994"/>
    </row>
    <row r="25" spans="1:33" s="978" customFormat="1" ht="13.5" customHeight="1">
      <c r="A25" s="964" t="s">
        <v>2452</v>
      </c>
      <c r="B25" s="990" t="s">
        <v>2453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2454</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2455</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2456</v>
      </c>
      <c r="B28" s="2565" t="s">
        <v>2457</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2458</v>
      </c>
      <c r="C29" s="328">
        <f ca="1">ROUND((1+C24)*F28*'数据-取费表'!B24/'数据-取费表'!B20,4)</f>
        <v>0</v>
      </c>
      <c r="D29" s="328"/>
      <c r="E29" s="329"/>
      <c r="F29" s="334"/>
      <c r="G29" s="140" t="s">
        <v>2459</v>
      </c>
      <c r="H29" s="982"/>
      <c r="I29" s="982"/>
      <c r="J29" s="982"/>
      <c r="K29" s="983"/>
    </row>
    <row r="30" spans="1:33" s="335" customFormat="1" ht="13.5" customHeight="1">
      <c r="A30" s="974" t="s">
        <v>803</v>
      </c>
      <c r="B30" s="997" t="s">
        <v>2460</v>
      </c>
      <c r="C30" s="336">
        <f ca="1">ROUND((C21+C22+C23)*F28,0)</f>
        <v>107</v>
      </c>
      <c r="D30" s="328"/>
      <c r="E30" s="329"/>
      <c r="F30" s="334"/>
      <c r="G30" s="140"/>
      <c r="H30" s="982"/>
      <c r="I30" s="982"/>
      <c r="J30" s="982"/>
      <c r="K30" s="983"/>
    </row>
    <row r="31" spans="1:33" s="978" customFormat="1" ht="13.5" customHeight="1" thickBot="1">
      <c r="A31" s="2566" t="s">
        <v>2461</v>
      </c>
      <c r="B31" s="1008" t="s">
        <v>2462</v>
      </c>
      <c r="C31" s="1009">
        <f>ROUND(C4*F31/(1+'数据-取费表'!C42),0)</f>
        <v>0</v>
      </c>
      <c r="D31" s="1010"/>
      <c r="E31" s="1011"/>
      <c r="F31" s="1012">
        <f>'数据-取费表'!B41</f>
        <v>5.6000000000000001E-2</v>
      </c>
      <c r="G31" s="1013" t="s">
        <v>2463</v>
      </c>
      <c r="H31" s="1014"/>
      <c r="I31" s="1014"/>
      <c r="J31" s="1014"/>
      <c r="K31" s="1015"/>
    </row>
    <row r="32" spans="1:33" s="973" customFormat="1" ht="13.5" customHeight="1" thickBot="1">
      <c r="A32" s="1003" t="s">
        <v>2464</v>
      </c>
      <c r="B32" s="1004"/>
      <c r="C32" s="1005">
        <f ca="1">ROUND((C4-C21-C22-C23-C25-C28-C31)/(1+C24+D25+D28),0)</f>
        <v>-622</v>
      </c>
      <c r="D32" s="1004"/>
      <c r="E32" s="1004"/>
      <c r="F32" s="1004"/>
      <c r="G32" s="1006" t="s">
        <v>2465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23.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588" t="s">
        <v>2476</v>
      </c>
      <c r="C1" s="1637" t="s">
        <v>2477</v>
      </c>
      <c r="D1" s="1624" t="s">
        <v>3001</v>
      </c>
      <c r="E1" s="2589"/>
      <c r="F1" s="2590" t="s">
        <v>2478</v>
      </c>
      <c r="G1" s="1634" t="s">
        <v>2479</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457909</v>
      </c>
      <c r="C2" s="2592" t="s">
        <v>70</v>
      </c>
      <c r="D2" s="1368" t="e">
        <f ca="1">SUMIF(INDIRECT("'"&amp;F2&amp;"'"&amp;"!A:A"),"承租人权益价值",INDIRECT("'"&amp;F2&amp;"'"&amp;"!c:c"))</f>
        <v>#REF!</v>
      </c>
      <c r="E2" s="2593" t="s">
        <v>2480</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140188</v>
      </c>
      <c r="C3" s="400" t="s">
        <v>2481</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2482</v>
      </c>
      <c r="B4" s="402"/>
      <c r="C4" s="3169" t="s">
        <v>2483</v>
      </c>
      <c r="D4" s="3170"/>
      <c r="E4" s="3171" t="s">
        <v>2484</v>
      </c>
      <c r="F4" s="3172"/>
      <c r="G4" s="3169" t="s">
        <v>2485</v>
      </c>
      <c r="H4" s="3170"/>
      <c r="I4" s="3169" t="s">
        <v>2486</v>
      </c>
      <c r="J4" s="3170"/>
      <c r="K4" s="2602" t="s">
        <v>2487</v>
      </c>
      <c r="L4" s="1133"/>
      <c r="M4" s="1134"/>
      <c r="N4" s="1134"/>
      <c r="O4" s="1134"/>
      <c r="P4" s="3173" t="s">
        <v>2488</v>
      </c>
      <c r="Q4" s="3174"/>
      <c r="R4" s="3179" t="s">
        <v>2484</v>
      </c>
      <c r="S4" s="3180"/>
      <c r="T4" s="3179" t="s">
        <v>2485</v>
      </c>
      <c r="U4" s="3180"/>
      <c r="V4" s="3185" t="s">
        <v>2486</v>
      </c>
      <c r="W4" s="3185"/>
      <c r="X4" s="1816"/>
      <c r="Y4" s="3179" t="s">
        <v>2488</v>
      </c>
      <c r="Z4" s="3180"/>
      <c r="AA4" s="3166" t="s">
        <v>2484</v>
      </c>
      <c r="AB4" s="3166" t="s">
        <v>2485</v>
      </c>
      <c r="AC4" s="3166" t="s">
        <v>2486</v>
      </c>
    </row>
    <row r="5" spans="1:29" ht="15">
      <c r="A5" s="404"/>
      <c r="B5" s="405"/>
      <c r="C5" s="3188" t="s">
        <v>3046</v>
      </c>
      <c r="D5" s="3189"/>
      <c r="E5" s="3195" t="s">
        <v>3084</v>
      </c>
      <c r="F5" s="3196"/>
      <c r="G5" s="3188" t="s">
        <v>3080</v>
      </c>
      <c r="H5" s="3189"/>
      <c r="I5" s="3188" t="s">
        <v>3077</v>
      </c>
      <c r="J5" s="3189"/>
      <c r="K5" s="2603"/>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2493</v>
      </c>
      <c r="D6" s="3187"/>
      <c r="E6" s="3193" t="s">
        <v>2493</v>
      </c>
      <c r="F6" s="3194"/>
      <c r="G6" s="3186" t="s">
        <v>2493</v>
      </c>
      <c r="H6" s="3187"/>
      <c r="I6" s="3186" t="s">
        <v>2493</v>
      </c>
      <c r="J6" s="3187"/>
      <c r="K6" s="2603" t="s">
        <v>2494</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2495</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190" t="s">
        <v>2496</v>
      </c>
      <c r="Q7" s="3192"/>
      <c r="R7" s="770" t="s">
        <v>23</v>
      </c>
      <c r="S7" s="771">
        <f t="shared" ref="S7:S15" si="0">F7</f>
        <v>100</v>
      </c>
      <c r="T7" s="770" t="s">
        <v>23</v>
      </c>
      <c r="U7" s="771">
        <f t="shared" ref="U7:U15" si="1">H7</f>
        <v>100</v>
      </c>
      <c r="V7" s="770" t="s">
        <v>23</v>
      </c>
      <c r="W7" s="771">
        <f t="shared" ref="W7:W15" si="2">J7</f>
        <v>100</v>
      </c>
      <c r="X7" s="772"/>
      <c r="Y7" s="3190" t="s">
        <v>2496</v>
      </c>
      <c r="Z7" s="3191"/>
      <c r="AA7" s="773">
        <f>D7/F7</f>
        <v>1</v>
      </c>
      <c r="AB7" s="773">
        <f>D7/H7</f>
        <v>1</v>
      </c>
      <c r="AC7" s="773">
        <f>D7/J7</f>
        <v>1</v>
      </c>
    </row>
    <row r="8" spans="1:29" s="117" customFormat="1" ht="15.75" thickBot="1">
      <c r="A8" s="408" t="s">
        <v>2497</v>
      </c>
      <c r="B8" s="409"/>
      <c r="C8" s="414" t="s">
        <v>2498</v>
      </c>
      <c r="D8" s="411">
        <v>100</v>
      </c>
      <c r="E8" s="2605" t="s">
        <v>3068</v>
      </c>
      <c r="F8" s="413">
        <f>SUMIF(61:61,E8,62:62)-SUMIF(61:61,C8,62:62)+100</f>
        <v>100</v>
      </c>
      <c r="G8" s="2605" t="s">
        <v>3068</v>
      </c>
      <c r="H8" s="411">
        <f>SUMIF(61:61,G8,62:62)-SUMIF(61:61,C8,62:62)+100</f>
        <v>100</v>
      </c>
      <c r="I8" s="2605" t="s">
        <v>3068</v>
      </c>
      <c r="J8" s="411">
        <f>SUMIF(61:61,I8,62:62)-SUMIF(61:61,C8,62:62)+100</f>
        <v>100</v>
      </c>
      <c r="K8" s="2604"/>
      <c r="L8" s="1135"/>
      <c r="M8" s="1136"/>
      <c r="N8" s="1136"/>
      <c r="O8" s="1136"/>
      <c r="P8" s="3190" t="s">
        <v>2499</v>
      </c>
      <c r="Q8" s="3191"/>
      <c r="R8" s="770" t="s">
        <v>23</v>
      </c>
      <c r="S8" s="771">
        <f t="shared" si="0"/>
        <v>100</v>
      </c>
      <c r="T8" s="770" t="s">
        <v>23</v>
      </c>
      <c r="U8" s="771">
        <f t="shared" si="1"/>
        <v>100</v>
      </c>
      <c r="V8" s="770" t="s">
        <v>23</v>
      </c>
      <c r="W8" s="771">
        <f t="shared" si="2"/>
        <v>100</v>
      </c>
      <c r="X8" s="772"/>
      <c r="Y8" s="3190" t="s">
        <v>2499</v>
      </c>
      <c r="Z8" s="3191"/>
      <c r="AA8" s="773">
        <f t="shared" ref="AA8:AA19" si="3">D8/F8</f>
        <v>1</v>
      </c>
      <c r="AB8" s="773">
        <f t="shared" ref="AB8:AB19" si="4">D8/H8</f>
        <v>1</v>
      </c>
      <c r="AC8" s="773">
        <f t="shared" ref="AC8:AC19" si="5">D8/J8</f>
        <v>1</v>
      </c>
    </row>
    <row r="9" spans="1:29" s="117" customFormat="1">
      <c r="A9" s="415" t="s">
        <v>2500</v>
      </c>
      <c r="B9" s="71" t="s">
        <v>2501</v>
      </c>
      <c r="C9" s="2954" t="s">
        <v>3059</v>
      </c>
      <c r="D9" s="135">
        <v>100</v>
      </c>
      <c r="E9" s="417" t="s">
        <v>3031</v>
      </c>
      <c r="F9" s="418">
        <f>SUMIF(63:63,E9,64:64)-SUMIF(63:63,C9,64:64)+100</f>
        <v>100</v>
      </c>
      <c r="G9" s="417" t="s">
        <v>3031</v>
      </c>
      <c r="H9" s="135">
        <f>SUMIF(63:63,G9,64:64)-SUMIF(63:63,C9,64:64)+100</f>
        <v>100</v>
      </c>
      <c r="I9" s="417" t="s">
        <v>3031</v>
      </c>
      <c r="J9" s="135">
        <f>SUMIF(63:63,I9,64:64)-SUMIF(63:63,C9,64:64)+100</f>
        <v>100</v>
      </c>
      <c r="K9" s="2604"/>
      <c r="L9" s="1135"/>
      <c r="M9" s="1136"/>
      <c r="N9" s="1136"/>
      <c r="O9" s="1136"/>
      <c r="P9" s="3165" t="s">
        <v>2502</v>
      </c>
      <c r="Q9" s="1798" t="str">
        <f t="shared" ref="Q9:Q15" si="6">B9</f>
        <v>用途</v>
      </c>
      <c r="R9" s="770" t="s">
        <v>17</v>
      </c>
      <c r="S9" s="771">
        <f t="shared" si="0"/>
        <v>100</v>
      </c>
      <c r="T9" s="770" t="s">
        <v>17</v>
      </c>
      <c r="U9" s="771">
        <f t="shared" si="1"/>
        <v>100</v>
      </c>
      <c r="V9" s="770" t="s">
        <v>17</v>
      </c>
      <c r="W9" s="771">
        <f t="shared" si="2"/>
        <v>100</v>
      </c>
      <c r="X9" s="772"/>
      <c r="Y9" s="3006" t="s">
        <v>2503</v>
      </c>
      <c r="Z9" s="55" t="str">
        <f t="shared" ref="Z9:Z15" si="7">Q9</f>
        <v>用途</v>
      </c>
      <c r="AA9" s="773">
        <f t="shared" si="3"/>
        <v>1</v>
      </c>
      <c r="AB9" s="773">
        <f t="shared" si="4"/>
        <v>1</v>
      </c>
      <c r="AC9" s="773">
        <f t="shared" si="5"/>
        <v>1</v>
      </c>
    </row>
    <row r="10" spans="1:29" s="427" customFormat="1" ht="27">
      <c r="A10" s="421"/>
      <c r="B10" s="422" t="s">
        <v>2504</v>
      </c>
      <c r="C10" s="423" t="s">
        <v>3060</v>
      </c>
      <c r="D10" s="136">
        <v>100</v>
      </c>
      <c r="E10" s="424" t="s">
        <v>3076</v>
      </c>
      <c r="F10" s="425">
        <f>SUMIF(65:65,E10,66:66)-SUMIF(65:65,C10,66:66)+100</f>
        <v>103</v>
      </c>
      <c r="G10" s="423" t="s">
        <v>3072</v>
      </c>
      <c r="H10" s="136">
        <f>SUMIF(65:65,G10,66:66)-SUMIF(65:65,C10,66:66)+100</f>
        <v>101.5</v>
      </c>
      <c r="I10" s="423" t="s">
        <v>3076</v>
      </c>
      <c r="J10" s="136">
        <f>SUMIF(65:65,I10,66:66)-SUMIF(65:65,C10,66:66)+100</f>
        <v>103</v>
      </c>
      <c r="K10" s="426">
        <v>1.5</v>
      </c>
      <c r="L10" s="1138"/>
      <c r="M10" s="1139"/>
      <c r="N10" s="1139"/>
      <c r="O10" s="1139"/>
      <c r="P10" s="3165"/>
      <c r="Q10" s="1798" t="str">
        <f t="shared" si="6"/>
        <v>土地使用年限（年）</v>
      </c>
      <c r="R10" s="770" t="s">
        <v>17</v>
      </c>
      <c r="S10" s="771">
        <f t="shared" si="0"/>
        <v>103</v>
      </c>
      <c r="T10" s="770" t="s">
        <v>17</v>
      </c>
      <c r="U10" s="771">
        <f t="shared" si="1"/>
        <v>101.5</v>
      </c>
      <c r="V10" s="770" t="s">
        <v>17</v>
      </c>
      <c r="W10" s="771">
        <f t="shared" si="2"/>
        <v>103</v>
      </c>
      <c r="X10" s="772"/>
      <c r="Y10" s="3006"/>
      <c r="Z10" s="55" t="str">
        <f t="shared" si="7"/>
        <v>土地使用年限（年）</v>
      </c>
      <c r="AA10" s="773">
        <f t="shared" si="3"/>
        <v>0.970873786407767</v>
      </c>
      <c r="AB10" s="773">
        <f t="shared" si="4"/>
        <v>0.98522167487684731</v>
      </c>
      <c r="AC10" s="773">
        <f t="shared" si="5"/>
        <v>0.970873786407767</v>
      </c>
    </row>
    <row r="11" spans="1:29" ht="15">
      <c r="A11" s="428"/>
      <c r="B11" s="422" t="s">
        <v>2505</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65"/>
      <c r="Q11" s="1798" t="str">
        <f t="shared" si="6"/>
        <v>容积率</v>
      </c>
      <c r="R11" s="770" t="s">
        <v>21</v>
      </c>
      <c r="S11" s="771">
        <f t="shared" si="0"/>
        <v>100</v>
      </c>
      <c r="T11" s="770" t="s">
        <v>21</v>
      </c>
      <c r="U11" s="771">
        <f t="shared" si="1"/>
        <v>95</v>
      </c>
      <c r="V11" s="770" t="s">
        <v>21</v>
      </c>
      <c r="W11" s="771">
        <f t="shared" si="2"/>
        <v>100</v>
      </c>
      <c r="X11" s="772"/>
      <c r="Y11" s="3006"/>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5"/>
      <c r="Q12" s="1798">
        <f t="shared" si="6"/>
        <v>0</v>
      </c>
      <c r="R12" s="770" t="s">
        <v>21</v>
      </c>
      <c r="S12" s="771">
        <f t="shared" si="0"/>
        <v>100</v>
      </c>
      <c r="T12" s="770" t="s">
        <v>21</v>
      </c>
      <c r="U12" s="771">
        <f t="shared" si="1"/>
        <v>100</v>
      </c>
      <c r="V12" s="770" t="s">
        <v>21</v>
      </c>
      <c r="W12" s="771">
        <f t="shared" si="2"/>
        <v>100</v>
      </c>
      <c r="X12" s="772"/>
      <c r="Y12" s="3006"/>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5"/>
      <c r="Q13" s="1798">
        <f t="shared" si="6"/>
        <v>0</v>
      </c>
      <c r="R13" s="770" t="s">
        <v>21</v>
      </c>
      <c r="S13" s="771">
        <f t="shared" si="0"/>
        <v>100</v>
      </c>
      <c r="T13" s="770" t="s">
        <v>21</v>
      </c>
      <c r="U13" s="771">
        <f t="shared" si="1"/>
        <v>100</v>
      </c>
      <c r="V13" s="770" t="s">
        <v>21</v>
      </c>
      <c r="W13" s="771">
        <f t="shared" si="2"/>
        <v>100</v>
      </c>
      <c r="X13" s="772"/>
      <c r="Y13" s="3006"/>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5"/>
      <c r="Q14" s="1798">
        <f t="shared" si="6"/>
        <v>0</v>
      </c>
      <c r="R14" s="770" t="s">
        <v>21</v>
      </c>
      <c r="S14" s="771">
        <f t="shared" si="0"/>
        <v>100</v>
      </c>
      <c r="T14" s="770" t="s">
        <v>21</v>
      </c>
      <c r="U14" s="771">
        <f t="shared" si="1"/>
        <v>100</v>
      </c>
      <c r="V14" s="770" t="s">
        <v>21</v>
      </c>
      <c r="W14" s="771">
        <f t="shared" si="2"/>
        <v>100</v>
      </c>
      <c r="X14" s="772"/>
      <c r="Y14" s="3006"/>
      <c r="Z14" s="55">
        <f t="shared" si="7"/>
        <v>0</v>
      </c>
      <c r="AA14" s="773">
        <f t="shared" si="3"/>
        <v>1</v>
      </c>
      <c r="AB14" s="773">
        <f t="shared" si="4"/>
        <v>1</v>
      </c>
      <c r="AC14" s="773">
        <f t="shared" si="5"/>
        <v>1</v>
      </c>
    </row>
    <row r="15" spans="1:29" ht="89.25" customHeight="1">
      <c r="A15" s="440" t="s">
        <v>2506</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8" t="s">
        <v>3073</v>
      </c>
      <c r="F15" s="441">
        <f>SUMIF(76:76,E16,77:77)-SUMIF(76:76,C16,77:77)+100</f>
        <v>100</v>
      </c>
      <c r="G15" s="2958" t="s">
        <v>3081</v>
      </c>
      <c r="H15" s="441">
        <f>SUMIF(76:76,G16,77:77)-SUMIF(76:76,C16,77:77)+100</f>
        <v>104</v>
      </c>
      <c r="I15" s="2958" t="s">
        <v>3073</v>
      </c>
      <c r="J15" s="441">
        <f>SUMIF(76:76,I16,77:77)-SUMIF(76:76,C16,77:77)+100</f>
        <v>100</v>
      </c>
      <c r="K15" s="445">
        <v>4</v>
      </c>
      <c r="L15" s="1143"/>
      <c r="M15" s="1134"/>
      <c r="N15" s="1134"/>
      <c r="O15" s="1134"/>
      <c r="P15" s="3163" t="s">
        <v>2507</v>
      </c>
      <c r="Q15" s="1813" t="str">
        <f t="shared" si="6"/>
        <v>居住社区成熟度</v>
      </c>
      <c r="R15" s="774" t="s">
        <v>21</v>
      </c>
      <c r="S15" s="775">
        <f t="shared" si="0"/>
        <v>100</v>
      </c>
      <c r="T15" s="774" t="s">
        <v>21</v>
      </c>
      <c r="U15" s="775">
        <f t="shared" si="1"/>
        <v>104</v>
      </c>
      <c r="V15" s="774" t="s">
        <v>21</v>
      </c>
      <c r="W15" s="775">
        <f t="shared" si="2"/>
        <v>100</v>
      </c>
      <c r="X15" s="1816"/>
      <c r="Y15" s="3156" t="s">
        <v>2507</v>
      </c>
      <c r="Z15" s="1817" t="str">
        <f t="shared" si="7"/>
        <v>居住社区成熟度</v>
      </c>
      <c r="AA15" s="1814">
        <f t="shared" si="3"/>
        <v>1</v>
      </c>
      <c r="AB15" s="1814">
        <f t="shared" si="4"/>
        <v>0.96153846153846156</v>
      </c>
      <c r="AC15" s="1814">
        <f t="shared" si="5"/>
        <v>1</v>
      </c>
    </row>
    <row r="16" spans="1:29" ht="15">
      <c r="A16" s="428"/>
      <c r="B16" s="446"/>
      <c r="C16" s="447" t="s">
        <v>3061</v>
      </c>
      <c r="D16" s="448"/>
      <c r="E16" s="2610" t="s">
        <v>3061</v>
      </c>
      <c r="F16" s="448"/>
      <c r="G16" s="2610" t="s">
        <v>3063</v>
      </c>
      <c r="H16" s="450"/>
      <c r="I16" s="2610" t="s">
        <v>3061</v>
      </c>
      <c r="J16" s="448"/>
      <c r="K16" s="2612"/>
      <c r="L16" s="1143"/>
      <c r="M16" s="1134"/>
      <c r="N16" s="1134"/>
      <c r="O16" s="1134"/>
      <c r="P16" s="3164"/>
      <c r="Q16" s="1813"/>
      <c r="R16" s="774"/>
      <c r="S16" s="775"/>
      <c r="T16" s="774"/>
      <c r="U16" s="775"/>
      <c r="V16" s="774"/>
      <c r="W16" s="775"/>
      <c r="X16" s="1816"/>
      <c r="Y16" s="3157"/>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9" t="s">
        <v>3082</v>
      </c>
      <c r="F17" s="450">
        <f>SUMIF(78:78,E18,79:79)-SUMIF(78:78,C18,79:79)+100</f>
        <v>100</v>
      </c>
      <c r="G17" s="454" t="s">
        <v>3074</v>
      </c>
      <c r="H17" s="455">
        <f>SUMIF(78:78,G18,79:79)-SUMIF(78:78,C18,79:79)+100</f>
        <v>101</v>
      </c>
      <c r="I17" s="454" t="s">
        <v>3044</v>
      </c>
      <c r="J17" s="455">
        <f>SUMIF(78:78,I18,79:79)-SUMIF(78:78,C18,79:79)+100</f>
        <v>100</v>
      </c>
      <c r="K17" s="445">
        <v>1</v>
      </c>
      <c r="L17" s="1143"/>
      <c r="M17" s="1134"/>
      <c r="N17" s="1134"/>
      <c r="O17" s="1134"/>
      <c r="P17" s="3164"/>
      <c r="Q17" s="1813" t="str">
        <f>B17</f>
        <v>交通便捷度</v>
      </c>
      <c r="R17" s="774" t="s">
        <v>21</v>
      </c>
      <c r="S17" s="775">
        <f>F17</f>
        <v>100</v>
      </c>
      <c r="T17" s="774" t="s">
        <v>21</v>
      </c>
      <c r="U17" s="775">
        <f>H17</f>
        <v>101</v>
      </c>
      <c r="V17" s="774" t="s">
        <v>21</v>
      </c>
      <c r="W17" s="775">
        <f>J17</f>
        <v>100</v>
      </c>
      <c r="X17" s="1816"/>
      <c r="Y17" s="3157"/>
      <c r="Z17" s="1817" t="str">
        <f>Q17</f>
        <v>交通便捷度</v>
      </c>
      <c r="AA17" s="1814">
        <f t="shared" si="3"/>
        <v>1</v>
      </c>
      <c r="AB17" s="1814">
        <f t="shared" si="4"/>
        <v>0.99009900990099009</v>
      </c>
      <c r="AC17" s="1814">
        <f t="shared" si="5"/>
        <v>1</v>
      </c>
    </row>
    <row r="18" spans="1:29" ht="15">
      <c r="A18" s="428"/>
      <c r="B18" s="456"/>
      <c r="C18" s="2614" t="s">
        <v>3061</v>
      </c>
      <c r="D18" s="450"/>
      <c r="E18" s="2615" t="s">
        <v>3061</v>
      </c>
      <c r="F18" s="450"/>
      <c r="G18" s="2615" t="s">
        <v>3063</v>
      </c>
      <c r="H18" s="448"/>
      <c r="I18" s="2615" t="s">
        <v>3061</v>
      </c>
      <c r="J18" s="448"/>
      <c r="K18" s="2612"/>
      <c r="L18" s="1143"/>
      <c r="M18" s="1134"/>
      <c r="N18" s="1134"/>
      <c r="O18" s="1134"/>
      <c r="P18" s="3164"/>
      <c r="Q18" s="1813"/>
      <c r="R18" s="774"/>
      <c r="S18" s="775"/>
      <c r="T18" s="774"/>
      <c r="U18" s="775"/>
      <c r="V18" s="774"/>
      <c r="W18" s="775"/>
      <c r="X18" s="1816"/>
      <c r="Y18" s="3157"/>
      <c r="Z18" s="1817"/>
      <c r="AA18" s="1814">
        <v>1</v>
      </c>
      <c r="AB18" s="1814">
        <v>1</v>
      </c>
      <c r="AC18" s="1814">
        <v>1</v>
      </c>
    </row>
    <row r="19" spans="1:29" ht="42.75">
      <c r="A19" s="428"/>
      <c r="B19" s="451" t="s">
        <v>2048</v>
      </c>
      <c r="C19" s="2613" t="str">
        <f>估价对象房地状况!C7</f>
        <v>估价对象所在区域公共配套设施齐备情况好</v>
      </c>
      <c r="D19" s="455">
        <v>100</v>
      </c>
      <c r="E19" s="459" t="s">
        <v>3042</v>
      </c>
      <c r="F19" s="455">
        <f>SUMIF(80:80,E20,81:81)-SUMIF(80:80,C20,81:81)+100</f>
        <v>100</v>
      </c>
      <c r="G19" s="459" t="s">
        <v>3042</v>
      </c>
      <c r="H19" s="450">
        <f>SUMIF(80:80,G20,81:81)-SUMIF(80:80,C20,81:81)+100</f>
        <v>100</v>
      </c>
      <c r="I19" s="459" t="s">
        <v>3042</v>
      </c>
      <c r="J19" s="450">
        <f>SUMIF(80:80,I20,81:81)-SUMIF(80:80,C20,81:81)+100</f>
        <v>100</v>
      </c>
      <c r="K19" s="445">
        <v>1</v>
      </c>
      <c r="L19" s="1143"/>
      <c r="M19" s="1134"/>
      <c r="N19" s="1134"/>
      <c r="O19" s="1134"/>
      <c r="P19" s="3164"/>
      <c r="Q19" s="1813" t="str">
        <f>B19</f>
        <v>公共配套设施</v>
      </c>
      <c r="R19" s="774" t="s">
        <v>21</v>
      </c>
      <c r="S19" s="775">
        <f>F19</f>
        <v>100</v>
      </c>
      <c r="T19" s="774" t="s">
        <v>21</v>
      </c>
      <c r="U19" s="775">
        <f>H19</f>
        <v>100</v>
      </c>
      <c r="V19" s="774" t="s">
        <v>21</v>
      </c>
      <c r="W19" s="775">
        <f>J19</f>
        <v>100</v>
      </c>
      <c r="X19" s="1816"/>
      <c r="Y19" s="3157"/>
      <c r="Z19" s="1817" t="str">
        <f>Q19</f>
        <v>公共配套设施</v>
      </c>
      <c r="AA19" s="1814">
        <f t="shared" si="3"/>
        <v>1</v>
      </c>
      <c r="AB19" s="1814">
        <f t="shared" si="4"/>
        <v>1</v>
      </c>
      <c r="AC19" s="1814">
        <f t="shared" si="5"/>
        <v>1</v>
      </c>
    </row>
    <row r="20" spans="1:29" ht="15">
      <c r="A20" s="428"/>
      <c r="B20" s="456"/>
      <c r="C20" s="447" t="s">
        <v>3063</v>
      </c>
      <c r="D20" s="448"/>
      <c r="E20" s="2610" t="s">
        <v>3063</v>
      </c>
      <c r="F20" s="448"/>
      <c r="G20" s="2610" t="s">
        <v>3063</v>
      </c>
      <c r="H20" s="448"/>
      <c r="I20" s="2610" t="s">
        <v>3063</v>
      </c>
      <c r="J20" s="448"/>
      <c r="K20" s="2612"/>
      <c r="L20" s="1143"/>
      <c r="M20" s="1134"/>
      <c r="N20" s="1134"/>
      <c r="O20" s="1134"/>
      <c r="P20" s="3164"/>
      <c r="Q20" s="1813"/>
      <c r="R20" s="774"/>
      <c r="S20" s="775"/>
      <c r="T20" s="774"/>
      <c r="U20" s="775"/>
      <c r="V20" s="774"/>
      <c r="W20" s="775"/>
      <c r="X20" s="1816"/>
      <c r="Y20" s="3157"/>
      <c r="Z20" s="1817"/>
      <c r="AA20" s="1814">
        <v>1</v>
      </c>
      <c r="AB20" s="1814">
        <v>1</v>
      </c>
      <c r="AC20" s="1814">
        <v>1</v>
      </c>
    </row>
    <row r="21" spans="1:29" ht="42.75">
      <c r="A21" s="428"/>
      <c r="B21" s="1387" t="s">
        <v>2050</v>
      </c>
      <c r="C21" s="2613" t="str">
        <f>估价对象房地状况!C8</f>
        <v>估价对象所在区域基础设施水平好</v>
      </c>
      <c r="D21" s="450">
        <v>100</v>
      </c>
      <c r="E21" s="459" t="s">
        <v>3040</v>
      </c>
      <c r="F21" s="455">
        <f>SUMIF(82:82,E22,83:83)-SUMIF(82:82,C22,83:83)+100</f>
        <v>100</v>
      </c>
      <c r="G21" s="459" t="s">
        <v>3040</v>
      </c>
      <c r="H21" s="450">
        <f>SUMIF(82:82,G22,83:83)-SUMIF(82:82,C22,83:83)+100</f>
        <v>100</v>
      </c>
      <c r="I21" s="459" t="s">
        <v>3040</v>
      </c>
      <c r="J21" s="450">
        <f>SUMIF(82:82,I22,83:83)-SUMIF(82:82,C22,83:83)+100</f>
        <v>100</v>
      </c>
      <c r="K21" s="445">
        <v>1</v>
      </c>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4" t="s">
        <v>3058</v>
      </c>
      <c r="D22" s="448"/>
      <c r="E22" s="447" t="s">
        <v>3058</v>
      </c>
      <c r="F22" s="448"/>
      <c r="G22" s="447" t="s">
        <v>3058</v>
      </c>
      <c r="H22" s="448"/>
      <c r="I22" s="447" t="s">
        <v>3058</v>
      </c>
      <c r="J22" s="448"/>
      <c r="K22" s="2618"/>
      <c r="L22" s="1143"/>
      <c r="M22" s="1134"/>
      <c r="N22" s="1134"/>
      <c r="O22" s="1134"/>
      <c r="P22" s="3164"/>
      <c r="Q22" s="1813"/>
      <c r="R22" s="774"/>
      <c r="S22" s="775"/>
      <c r="T22" s="774"/>
      <c r="U22" s="775"/>
      <c r="V22" s="774"/>
      <c r="W22" s="775"/>
      <c r="X22" s="1816"/>
      <c r="Y22" s="3157"/>
      <c r="Z22" s="1817"/>
      <c r="AA22" s="1814">
        <v>1</v>
      </c>
      <c r="AB22" s="1814">
        <v>1</v>
      </c>
      <c r="AC22" s="1814">
        <v>1</v>
      </c>
    </row>
    <row r="23" spans="1:29" ht="68.25">
      <c r="A23" s="428"/>
      <c r="B23" s="451" t="s">
        <v>2052</v>
      </c>
      <c r="C23" s="2613" t="str">
        <f>估价对象房地状况!C9</f>
        <v>区域自然环境：团结湖公园；人文环境：农业展览馆；综合评价环境状况好</v>
      </c>
      <c r="D23" s="450">
        <v>100</v>
      </c>
      <c r="E23" s="2959" t="s">
        <v>3083</v>
      </c>
      <c r="F23" s="450">
        <f>SUMIF(84:84,E24,85:85)-SUMIF(84:84,C24,85:85)+100</f>
        <v>98</v>
      </c>
      <c r="G23" s="454" t="s">
        <v>3075</v>
      </c>
      <c r="H23" s="450">
        <f>SUMIF(84:84,G24,85:85)-SUMIF(84:84,C24,85:85)+100</f>
        <v>100</v>
      </c>
      <c r="I23" s="2959" t="s">
        <v>3038</v>
      </c>
      <c r="J23" s="450">
        <f>SUMIF(84:84,I24,85:85)-SUMIF(84:84,C24,85:85)+100</f>
        <v>100</v>
      </c>
      <c r="K23" s="445">
        <v>2</v>
      </c>
      <c r="L23" s="1143"/>
      <c r="M23" s="1134"/>
      <c r="N23" s="1134"/>
      <c r="O23" s="1134"/>
      <c r="P23" s="3164"/>
      <c r="Q23" s="1813" t="str">
        <f>B23</f>
        <v>自然及人文环境</v>
      </c>
      <c r="R23" s="774" t="s">
        <v>21</v>
      </c>
      <c r="S23" s="775">
        <f>F23</f>
        <v>98</v>
      </c>
      <c r="T23" s="774" t="s">
        <v>21</v>
      </c>
      <c r="U23" s="775">
        <f>H23</f>
        <v>100</v>
      </c>
      <c r="V23" s="774" t="s">
        <v>21</v>
      </c>
      <c r="W23" s="775">
        <f>J23</f>
        <v>100</v>
      </c>
      <c r="X23" s="1816"/>
      <c r="Y23" s="3157"/>
      <c r="Z23" s="1817" t="str">
        <f>Q23</f>
        <v>自然及人文环境</v>
      </c>
      <c r="AA23" s="1814">
        <f>D23/F23</f>
        <v>1.0204081632653061</v>
      </c>
      <c r="AB23" s="1814">
        <f>D23/H23</f>
        <v>1</v>
      </c>
      <c r="AC23" s="1814">
        <f>D23/J23</f>
        <v>1</v>
      </c>
    </row>
    <row r="24" spans="1:29" ht="15">
      <c r="A24" s="428"/>
      <c r="B24" s="456"/>
      <c r="C24" s="447" t="s">
        <v>3063</v>
      </c>
      <c r="D24" s="448"/>
      <c r="E24" s="2610" t="s">
        <v>3061</v>
      </c>
      <c r="F24" s="448"/>
      <c r="G24" s="2610" t="s">
        <v>3063</v>
      </c>
      <c r="H24" s="448"/>
      <c r="I24" s="2610" t="s">
        <v>3063</v>
      </c>
      <c r="J24" s="448"/>
      <c r="K24" s="2612"/>
      <c r="L24" s="1143"/>
      <c r="M24" s="1134"/>
      <c r="N24" s="1134"/>
      <c r="O24" s="1134"/>
      <c r="P24" s="3164"/>
      <c r="Q24" s="1813"/>
      <c r="R24" s="774"/>
      <c r="S24" s="775"/>
      <c r="T24" s="774"/>
      <c r="U24" s="775"/>
      <c r="V24" s="774"/>
      <c r="W24" s="775"/>
      <c r="X24" s="1816"/>
      <c r="Y24" s="3157"/>
      <c r="Z24" s="1817"/>
      <c r="AA24" s="1814">
        <v>1</v>
      </c>
      <c r="AB24" s="1814">
        <v>1</v>
      </c>
      <c r="AC24" s="1814">
        <v>1</v>
      </c>
    </row>
    <row r="25" spans="1:29" ht="15">
      <c r="A25" s="428"/>
      <c r="B25" s="422" t="s">
        <v>2508</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16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7"/>
      <c r="Z25" s="1817" t="str">
        <f>Q25</f>
        <v>楼层-1</v>
      </c>
      <c r="AA25" s="1814">
        <f t="shared" ref="AA25:AA46" si="15">D25/F25</f>
        <v>1</v>
      </c>
      <c r="AB25" s="1814">
        <f t="shared" ref="AB25:AB46" si="16">D25/H25</f>
        <v>1</v>
      </c>
      <c r="AC25" s="1814">
        <f t="shared" ref="AC25:AC46" si="17">D25/J25</f>
        <v>1</v>
      </c>
    </row>
    <row r="26" spans="1:29" ht="15">
      <c r="A26" s="428"/>
      <c r="B26" s="422" t="s">
        <v>2509</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164"/>
      <c r="Q26" s="1813" t="str">
        <f t="shared" si="11"/>
        <v>朝向</v>
      </c>
      <c r="R26" s="774" t="s">
        <v>21</v>
      </c>
      <c r="S26" s="775">
        <f t="shared" si="12"/>
        <v>100</v>
      </c>
      <c r="T26" s="774" t="s">
        <v>21</v>
      </c>
      <c r="U26" s="775">
        <f t="shared" si="13"/>
        <v>100</v>
      </c>
      <c r="V26" s="774" t="s">
        <v>21</v>
      </c>
      <c r="W26" s="775">
        <f t="shared" si="14"/>
        <v>100</v>
      </c>
      <c r="X26" s="1816"/>
      <c r="Y26" s="3157"/>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64"/>
      <c r="Q27" s="1798">
        <f t="shared" si="11"/>
        <v>0</v>
      </c>
      <c r="R27" s="770" t="s">
        <v>21</v>
      </c>
      <c r="S27" s="771">
        <f t="shared" si="12"/>
        <v>100</v>
      </c>
      <c r="T27" s="770" t="s">
        <v>21</v>
      </c>
      <c r="U27" s="771">
        <f t="shared" si="13"/>
        <v>100</v>
      </c>
      <c r="V27" s="770" t="s">
        <v>21</v>
      </c>
      <c r="W27" s="771">
        <f t="shared" si="14"/>
        <v>100</v>
      </c>
      <c r="X27" s="772"/>
      <c r="Y27" s="3157"/>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64"/>
      <c r="Q28" s="1813">
        <f t="shared" si="11"/>
        <v>0</v>
      </c>
      <c r="R28" s="774" t="s">
        <v>21</v>
      </c>
      <c r="S28" s="775">
        <f t="shared" si="12"/>
        <v>100</v>
      </c>
      <c r="T28" s="774" t="s">
        <v>21</v>
      </c>
      <c r="U28" s="775">
        <f t="shared" si="13"/>
        <v>100</v>
      </c>
      <c r="V28" s="774" t="s">
        <v>21</v>
      </c>
      <c r="W28" s="775">
        <f t="shared" si="14"/>
        <v>100</v>
      </c>
      <c r="X28" s="1816"/>
      <c r="Y28" s="3157"/>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64"/>
      <c r="Q29" s="1813">
        <f t="shared" si="11"/>
        <v>0</v>
      </c>
      <c r="R29" s="774" t="s">
        <v>21</v>
      </c>
      <c r="S29" s="775">
        <f t="shared" si="12"/>
        <v>100</v>
      </c>
      <c r="T29" s="774" t="s">
        <v>21</v>
      </c>
      <c r="U29" s="775">
        <f t="shared" si="13"/>
        <v>100</v>
      </c>
      <c r="V29" s="774" t="s">
        <v>21</v>
      </c>
      <c r="W29" s="775">
        <f t="shared" si="14"/>
        <v>100</v>
      </c>
      <c r="X29" s="1816"/>
      <c r="Y29" s="3157"/>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64"/>
      <c r="Q30" s="1813">
        <f t="shared" si="11"/>
        <v>0</v>
      </c>
      <c r="R30" s="774" t="s">
        <v>21</v>
      </c>
      <c r="S30" s="775">
        <f t="shared" si="12"/>
        <v>100</v>
      </c>
      <c r="T30" s="774" t="s">
        <v>21</v>
      </c>
      <c r="U30" s="775">
        <f t="shared" si="13"/>
        <v>100</v>
      </c>
      <c r="V30" s="774" t="s">
        <v>21</v>
      </c>
      <c r="W30" s="775">
        <f t="shared" si="14"/>
        <v>100</v>
      </c>
      <c r="X30" s="1816"/>
      <c r="Y30" s="3157"/>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64"/>
      <c r="Q31" s="1813">
        <f t="shared" si="11"/>
        <v>0</v>
      </c>
      <c r="R31" s="774" t="s">
        <v>21</v>
      </c>
      <c r="S31" s="775">
        <f t="shared" si="12"/>
        <v>100</v>
      </c>
      <c r="T31" s="774" t="s">
        <v>21</v>
      </c>
      <c r="U31" s="775">
        <f t="shared" si="13"/>
        <v>100</v>
      </c>
      <c r="V31" s="774" t="s">
        <v>21</v>
      </c>
      <c r="W31" s="775">
        <f t="shared" si="14"/>
        <v>100</v>
      </c>
      <c r="X31" s="1816"/>
      <c r="Y31" s="3157"/>
      <c r="Z31" s="1817">
        <f t="shared" si="18"/>
        <v>0</v>
      </c>
      <c r="AA31" s="1814">
        <f t="shared" si="15"/>
        <v>1</v>
      </c>
      <c r="AB31" s="1814">
        <f t="shared" si="16"/>
        <v>1</v>
      </c>
      <c r="AC31" s="1814">
        <f t="shared" si="17"/>
        <v>1</v>
      </c>
    </row>
    <row r="32" spans="1:29" ht="15">
      <c r="A32" s="440" t="s">
        <v>2510</v>
      </c>
      <c r="B32" s="71" t="s">
        <v>2511</v>
      </c>
      <c r="C32" s="2623" t="s">
        <v>3048</v>
      </c>
      <c r="D32" s="467">
        <v>100</v>
      </c>
      <c r="E32" s="2624" t="s">
        <v>3048</v>
      </c>
      <c r="F32" s="461">
        <f>SUMIF(100:100,E32,101:101)-SUMIF(100:100,C32,101:101)+100</f>
        <v>100</v>
      </c>
      <c r="G32" s="2624" t="s">
        <v>3048</v>
      </c>
      <c r="H32" s="467">
        <f>SUMIF(100:100,G32,101:101)-SUMIF(100:100,C32,101:101)+100</f>
        <v>100</v>
      </c>
      <c r="I32" s="2624" t="s">
        <v>3048</v>
      </c>
      <c r="J32" s="435">
        <f>SUMIF(100:100,I32,101:101)-SUMIF(100:100,C32,101:101)+100</f>
        <v>100</v>
      </c>
      <c r="K32" s="426">
        <v>1</v>
      </c>
      <c r="L32" s="1143"/>
      <c r="M32" s="1134"/>
      <c r="N32" s="1134"/>
      <c r="O32" s="1134"/>
      <c r="P32" s="3158" t="s">
        <v>2512</v>
      </c>
      <c r="Q32" s="1813" t="str">
        <f t="shared" si="11"/>
        <v>建筑类型</v>
      </c>
      <c r="R32" s="774" t="s">
        <v>21</v>
      </c>
      <c r="S32" s="775">
        <f t="shared" si="12"/>
        <v>100</v>
      </c>
      <c r="T32" s="774" t="s">
        <v>21</v>
      </c>
      <c r="U32" s="775">
        <f t="shared" si="13"/>
        <v>100</v>
      </c>
      <c r="V32" s="774" t="s">
        <v>21</v>
      </c>
      <c r="W32" s="775">
        <f t="shared" si="14"/>
        <v>100</v>
      </c>
      <c r="X32" s="1816"/>
      <c r="Y32" s="3161" t="s">
        <v>2512</v>
      </c>
      <c r="Z32" s="1817" t="str">
        <f t="shared" si="18"/>
        <v>建筑类型</v>
      </c>
      <c r="AA32" s="1814">
        <f t="shared" si="15"/>
        <v>1</v>
      </c>
      <c r="AB32" s="1814">
        <f t="shared" si="16"/>
        <v>1</v>
      </c>
      <c r="AC32" s="1814">
        <f t="shared" si="17"/>
        <v>1</v>
      </c>
    </row>
    <row r="33" spans="1:29" s="471" customFormat="1" ht="15">
      <c r="A33" s="468"/>
      <c r="B33" s="422" t="s">
        <v>2513</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159"/>
      <c r="Q33" s="776" t="str">
        <f t="shared" si="11"/>
        <v>项目建筑规模</v>
      </c>
      <c r="R33" s="777" t="s">
        <v>21</v>
      </c>
      <c r="S33" s="778">
        <f t="shared" si="12"/>
        <v>100</v>
      </c>
      <c r="T33" s="777" t="s">
        <v>21</v>
      </c>
      <c r="U33" s="778">
        <f t="shared" si="13"/>
        <v>100</v>
      </c>
      <c r="V33" s="777" t="s">
        <v>21</v>
      </c>
      <c r="W33" s="778">
        <f t="shared" si="14"/>
        <v>100</v>
      </c>
      <c r="X33" s="779"/>
      <c r="Y33" s="3161"/>
      <c r="Z33" s="780" t="str">
        <f t="shared" si="18"/>
        <v>项目建筑规模</v>
      </c>
      <c r="AA33" s="1814">
        <f t="shared" si="15"/>
        <v>1</v>
      </c>
      <c r="AB33" s="1814">
        <f t="shared" si="16"/>
        <v>1</v>
      </c>
      <c r="AC33" s="1814">
        <f t="shared" si="17"/>
        <v>1</v>
      </c>
    </row>
    <row r="34" spans="1:29" ht="15">
      <c r="A34" s="472"/>
      <c r="B34" s="422" t="s">
        <v>2514</v>
      </c>
      <c r="C34" s="2625" t="s">
        <v>3033</v>
      </c>
      <c r="D34" s="435">
        <v>100</v>
      </c>
      <c r="E34" s="2626" t="s">
        <v>3033</v>
      </c>
      <c r="F34" s="461">
        <f>SUMIF(105:105,E34,106:106)-SUMIF(105:105,C34,106:106)+100</f>
        <v>100</v>
      </c>
      <c r="G34" s="2626" t="s">
        <v>3033</v>
      </c>
      <c r="H34" s="435">
        <f>SUMIF(105:105,G34,106:106)-SUMIF(105:105,C34,106:106)+100</f>
        <v>100</v>
      </c>
      <c r="I34" s="2626" t="s">
        <v>3033</v>
      </c>
      <c r="J34" s="435">
        <f>SUMIF(105:105,I34,106:106)-SUMIF(105:105,C34,106:106)+100</f>
        <v>100</v>
      </c>
      <c r="K34" s="426">
        <v>1</v>
      </c>
      <c r="L34" s="1143"/>
      <c r="M34" s="1134"/>
      <c r="N34" s="1134"/>
      <c r="O34" s="1134"/>
      <c r="P34" s="3159"/>
      <c r="Q34" s="1813" t="str">
        <f t="shared" si="11"/>
        <v>建筑结构</v>
      </c>
      <c r="R34" s="774" t="s">
        <v>21</v>
      </c>
      <c r="S34" s="775">
        <f t="shared" si="12"/>
        <v>100</v>
      </c>
      <c r="T34" s="774" t="s">
        <v>21</v>
      </c>
      <c r="U34" s="775">
        <f t="shared" si="13"/>
        <v>100</v>
      </c>
      <c r="V34" s="774" t="s">
        <v>21</v>
      </c>
      <c r="W34" s="775">
        <f t="shared" si="14"/>
        <v>100</v>
      </c>
      <c r="X34" s="1816"/>
      <c r="Y34" s="3161"/>
      <c r="Z34" s="1817" t="str">
        <f t="shared" si="18"/>
        <v>建筑结构</v>
      </c>
      <c r="AA34" s="1814">
        <f t="shared" si="15"/>
        <v>1</v>
      </c>
      <c r="AB34" s="1814">
        <f t="shared" si="16"/>
        <v>1</v>
      </c>
      <c r="AC34" s="1814">
        <f t="shared" si="17"/>
        <v>1</v>
      </c>
    </row>
    <row r="35" spans="1:29" ht="15">
      <c r="A35" s="472"/>
      <c r="B35" s="422" t="s">
        <v>2515</v>
      </c>
      <c r="C35" s="2619" t="s">
        <v>3052</v>
      </c>
      <c r="D35" s="435">
        <v>100</v>
      </c>
      <c r="E35" s="2620" t="s">
        <v>3052</v>
      </c>
      <c r="F35" s="461">
        <f>SUMIF(107:107,E35,108:108)-SUMIF(107:107,C35,108:108)+100</f>
        <v>100</v>
      </c>
      <c r="G35" s="2620" t="s">
        <v>3052</v>
      </c>
      <c r="H35" s="435">
        <f>SUMIF(107:107,G35,108:108)-SUMIF(107:107,C35,108:108)+100</f>
        <v>100</v>
      </c>
      <c r="I35" s="2620" t="s">
        <v>3052</v>
      </c>
      <c r="J35" s="435">
        <f>SUMIF(107:107,I35,108:108)-SUMIF(107:107,C35,108:108)+100</f>
        <v>100</v>
      </c>
      <c r="K35" s="426">
        <v>1</v>
      </c>
      <c r="L35" s="1143"/>
      <c r="M35" s="1134"/>
      <c r="N35" s="1134"/>
      <c r="O35" s="1134"/>
      <c r="P35" s="3159"/>
      <c r="Q35" s="1813" t="str">
        <f t="shared" si="11"/>
        <v>建筑品质</v>
      </c>
      <c r="R35" s="774" t="s">
        <v>21</v>
      </c>
      <c r="S35" s="775">
        <f t="shared" si="12"/>
        <v>100</v>
      </c>
      <c r="T35" s="774" t="s">
        <v>21</v>
      </c>
      <c r="U35" s="775">
        <f t="shared" si="13"/>
        <v>100</v>
      </c>
      <c r="V35" s="774" t="s">
        <v>21</v>
      </c>
      <c r="W35" s="775">
        <f t="shared" si="14"/>
        <v>100</v>
      </c>
      <c r="X35" s="1816"/>
      <c r="Y35" s="3161"/>
      <c r="Z35" s="1817" t="str">
        <f t="shared" si="18"/>
        <v>建筑品质</v>
      </c>
      <c r="AA35" s="1814">
        <f t="shared" si="15"/>
        <v>1</v>
      </c>
      <c r="AB35" s="1814">
        <f t="shared" si="16"/>
        <v>1</v>
      </c>
      <c r="AC35" s="1814">
        <f t="shared" si="17"/>
        <v>1</v>
      </c>
    </row>
    <row r="36" spans="1:29" ht="15">
      <c r="A36" s="472"/>
      <c r="B36" s="422" t="s">
        <v>2516</v>
      </c>
      <c r="C36" s="2619" t="s">
        <v>3054</v>
      </c>
      <c r="D36" s="435">
        <v>100</v>
      </c>
      <c r="E36" s="2620" t="s">
        <v>3054</v>
      </c>
      <c r="F36" s="461">
        <f>SUMIF(109:109,E36,110:110)-SUMIF(109:109,C36,110:110)+100</f>
        <v>100</v>
      </c>
      <c r="G36" s="2620" t="s">
        <v>3054</v>
      </c>
      <c r="H36" s="435">
        <f>SUMIF(109:109,G36,110:110)-SUMIF(109:109,C36,110:110)+100</f>
        <v>100</v>
      </c>
      <c r="I36" s="2620" t="s">
        <v>3054</v>
      </c>
      <c r="J36" s="435">
        <f>SUMIF(109:109,I36,110:110)-SUMIF(109:109,C36,110:110)+100</f>
        <v>100</v>
      </c>
      <c r="K36" s="426">
        <v>1</v>
      </c>
      <c r="L36" s="1143"/>
      <c r="M36" s="1134"/>
      <c r="N36" s="1134"/>
      <c r="O36" s="1134"/>
      <c r="P36" s="3159"/>
      <c r="Q36" s="1813" t="str">
        <f t="shared" si="11"/>
        <v>公共部分装修</v>
      </c>
      <c r="R36" s="774" t="s">
        <v>21</v>
      </c>
      <c r="S36" s="775">
        <f t="shared" si="12"/>
        <v>100</v>
      </c>
      <c r="T36" s="774" t="s">
        <v>21</v>
      </c>
      <c r="U36" s="775">
        <f t="shared" si="13"/>
        <v>100</v>
      </c>
      <c r="V36" s="774" t="s">
        <v>21</v>
      </c>
      <c r="W36" s="775">
        <f t="shared" si="14"/>
        <v>100</v>
      </c>
      <c r="X36" s="1816"/>
      <c r="Y36" s="3161"/>
      <c r="Z36" s="1817" t="str">
        <f t="shared" si="18"/>
        <v>公共部分装修</v>
      </c>
      <c r="AA36" s="1814">
        <f t="shared" si="15"/>
        <v>1</v>
      </c>
      <c r="AB36" s="1814">
        <f t="shared" si="16"/>
        <v>1</v>
      </c>
      <c r="AC36" s="1814">
        <f t="shared" si="17"/>
        <v>1</v>
      </c>
    </row>
    <row r="37" spans="1:29" s="117" customFormat="1" ht="15">
      <c r="A37" s="473"/>
      <c r="B37" s="422" t="s">
        <v>2517</v>
      </c>
      <c r="C37" s="2956">
        <f>'数据-取费表'!N6</f>
        <v>0.81499999999999995</v>
      </c>
      <c r="D37" s="136">
        <v>100</v>
      </c>
      <c r="E37" s="2956">
        <f>ROUND(1-(2019-2002)/60,2)</f>
        <v>0.72</v>
      </c>
      <c r="F37" s="425">
        <f>LOOKUP(E37,112:112,113:113)-LOOKUP(C37,112:112,113:113)+100</f>
        <v>99</v>
      </c>
      <c r="G37" s="2956">
        <f>ROUND(1-(2019-2007)/60,2)</f>
        <v>0.8</v>
      </c>
      <c r="H37" s="136">
        <f>LOOKUP(G37,112:112,113:113)-LOOKUP(C37,112:112,113:113)+100</f>
        <v>100</v>
      </c>
      <c r="I37" s="2956">
        <v>1</v>
      </c>
      <c r="J37" s="136">
        <f>LOOKUP(I37,112:112,113:113)-LOOKUP(C37,112:112,113:113)+100</f>
        <v>101</v>
      </c>
      <c r="K37" s="426">
        <v>1</v>
      </c>
      <c r="L37" s="1135"/>
      <c r="M37" s="1136"/>
      <c r="N37" s="1136"/>
      <c r="O37" s="1136"/>
      <c r="P37" s="3159"/>
      <c r="Q37" s="1798" t="str">
        <f t="shared" si="11"/>
        <v>成新度</v>
      </c>
      <c r="R37" s="770" t="s">
        <v>21</v>
      </c>
      <c r="S37" s="771">
        <f t="shared" si="12"/>
        <v>99</v>
      </c>
      <c r="T37" s="770" t="s">
        <v>21</v>
      </c>
      <c r="U37" s="771">
        <f t="shared" si="13"/>
        <v>100</v>
      </c>
      <c r="V37" s="770" t="s">
        <v>21</v>
      </c>
      <c r="W37" s="771">
        <f t="shared" si="14"/>
        <v>101</v>
      </c>
      <c r="X37" s="772"/>
      <c r="Y37" s="3161"/>
      <c r="Z37" s="55" t="str">
        <f t="shared" si="18"/>
        <v>成新度</v>
      </c>
      <c r="AA37" s="773">
        <f t="shared" si="15"/>
        <v>1.0101010101010102</v>
      </c>
      <c r="AB37" s="773">
        <f t="shared" si="16"/>
        <v>1</v>
      </c>
      <c r="AC37" s="773">
        <f t="shared" si="17"/>
        <v>0.99009900990099009</v>
      </c>
    </row>
    <row r="38" spans="1:29" ht="15">
      <c r="A38" s="472"/>
      <c r="B38" s="422" t="s">
        <v>2518</v>
      </c>
      <c r="C38" s="2619" t="s">
        <v>3056</v>
      </c>
      <c r="D38" s="435">
        <v>100</v>
      </c>
      <c r="E38" s="2620" t="s">
        <v>3056</v>
      </c>
      <c r="F38" s="461">
        <f>SUMIF(114:114,E38,115:115)-SUMIF(114:114,C38,115:115)+100</f>
        <v>100</v>
      </c>
      <c r="G38" s="2620" t="s">
        <v>3056</v>
      </c>
      <c r="H38" s="435">
        <f>SUMIF(114:114,G38,115:115)-SUMIF(114:114,C38,115:115)+100</f>
        <v>100</v>
      </c>
      <c r="I38" s="2620" t="s">
        <v>3056</v>
      </c>
      <c r="J38" s="435">
        <f>SUMIF(114:114,I38,115:115)-SUMIF(114:114,C38,115:115)+100</f>
        <v>100</v>
      </c>
      <c r="K38" s="426">
        <v>1</v>
      </c>
      <c r="L38" s="1143"/>
      <c r="M38" s="1134"/>
      <c r="N38" s="1134"/>
      <c r="O38" s="1134"/>
      <c r="P38" s="3159" t="s">
        <v>2512</v>
      </c>
      <c r="Q38" s="1813" t="str">
        <f t="shared" si="11"/>
        <v>物业管理</v>
      </c>
      <c r="R38" s="774" t="s">
        <v>21</v>
      </c>
      <c r="S38" s="775">
        <f t="shared" si="12"/>
        <v>100</v>
      </c>
      <c r="T38" s="774" t="s">
        <v>21</v>
      </c>
      <c r="U38" s="775">
        <f t="shared" si="13"/>
        <v>100</v>
      </c>
      <c r="V38" s="774" t="s">
        <v>21</v>
      </c>
      <c r="W38" s="775">
        <f t="shared" si="14"/>
        <v>100</v>
      </c>
      <c r="X38" s="1816"/>
      <c r="Y38" s="3161" t="s">
        <v>2512</v>
      </c>
      <c r="Z38" s="1817" t="str">
        <f t="shared" si="18"/>
        <v>物业管理</v>
      </c>
      <c r="AA38" s="1814">
        <f t="shared" si="15"/>
        <v>1</v>
      </c>
      <c r="AB38" s="1814">
        <f t="shared" si="16"/>
        <v>1</v>
      </c>
      <c r="AC38" s="1814">
        <f t="shared" si="17"/>
        <v>1</v>
      </c>
    </row>
    <row r="39" spans="1:29" ht="15">
      <c r="A39" s="472"/>
      <c r="B39" s="422" t="s">
        <v>2519</v>
      </c>
      <c r="C39" s="2619" t="s">
        <v>3064</v>
      </c>
      <c r="D39" s="435">
        <v>100</v>
      </c>
      <c r="E39" s="2620" t="s">
        <v>3064</v>
      </c>
      <c r="F39" s="461">
        <f>SUMIF(116:116,E39,117:117)-SUMIF(116:116,C39,117:117)+100</f>
        <v>100</v>
      </c>
      <c r="G39" s="2620" t="s">
        <v>3064</v>
      </c>
      <c r="H39" s="435">
        <f>SUMIF(116:116,G39,117:117)-SUMIF(116:116,C39,117:117)+100</f>
        <v>100</v>
      </c>
      <c r="I39" s="2620" t="s">
        <v>3064</v>
      </c>
      <c r="J39" s="435">
        <f>SUMIF(116:116,I39,117:117)-SUMIF(116:116,C39,117:117)+100</f>
        <v>100</v>
      </c>
      <c r="K39" s="426">
        <v>1</v>
      </c>
      <c r="L39" s="1143"/>
      <c r="M39" s="1134"/>
      <c r="N39" s="1134"/>
      <c r="O39" s="1134"/>
      <c r="P39" s="3159"/>
      <c r="Q39" s="1813" t="str">
        <f t="shared" si="11"/>
        <v>市政基础设施</v>
      </c>
      <c r="R39" s="774" t="s">
        <v>21</v>
      </c>
      <c r="S39" s="775">
        <f t="shared" si="12"/>
        <v>100</v>
      </c>
      <c r="T39" s="774" t="s">
        <v>21</v>
      </c>
      <c r="U39" s="775">
        <f t="shared" si="13"/>
        <v>100</v>
      </c>
      <c r="V39" s="774" t="s">
        <v>21</v>
      </c>
      <c r="W39" s="775">
        <f t="shared" si="14"/>
        <v>100</v>
      </c>
      <c r="X39" s="1816"/>
      <c r="Y39" s="3161"/>
      <c r="Z39" s="1817" t="str">
        <f t="shared" si="18"/>
        <v>市政基础设施</v>
      </c>
      <c r="AA39" s="1814">
        <f t="shared" si="15"/>
        <v>1</v>
      </c>
      <c r="AB39" s="1814">
        <f t="shared" si="16"/>
        <v>1</v>
      </c>
      <c r="AC39" s="1814">
        <f t="shared" si="17"/>
        <v>1</v>
      </c>
    </row>
    <row r="40" spans="1:29" ht="15">
      <c r="A40" s="472"/>
      <c r="B40" s="422" t="s">
        <v>2520</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159"/>
      <c r="Q40" s="1813" t="str">
        <f t="shared" si="11"/>
        <v>房型</v>
      </c>
      <c r="R40" s="774" t="s">
        <v>21</v>
      </c>
      <c r="S40" s="775">
        <f t="shared" si="12"/>
        <v>100</v>
      </c>
      <c r="T40" s="774" t="s">
        <v>21</v>
      </c>
      <c r="U40" s="775">
        <f t="shared" si="13"/>
        <v>100</v>
      </c>
      <c r="V40" s="774" t="s">
        <v>21</v>
      </c>
      <c r="W40" s="775">
        <f t="shared" si="14"/>
        <v>100</v>
      </c>
      <c r="X40" s="1816"/>
      <c r="Y40" s="3161"/>
      <c r="Z40" s="1817" t="str">
        <f t="shared" si="18"/>
        <v>房型</v>
      </c>
      <c r="AA40" s="1814">
        <f t="shared" si="15"/>
        <v>1</v>
      </c>
      <c r="AB40" s="1814">
        <f t="shared" si="16"/>
        <v>1</v>
      </c>
      <c r="AC40" s="1814">
        <f t="shared" si="17"/>
        <v>1</v>
      </c>
    </row>
    <row r="41" spans="1:29" s="471" customFormat="1" ht="28.5">
      <c r="A41" s="468"/>
      <c r="B41" s="422" t="s">
        <v>2521</v>
      </c>
      <c r="C41" s="469" t="s">
        <v>3047</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15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4">
        <f t="shared" si="15"/>
        <v>1</v>
      </c>
      <c r="AB41" s="1814">
        <f t="shared" si="16"/>
        <v>1</v>
      </c>
      <c r="AC41" s="1814">
        <f t="shared" si="17"/>
        <v>1</v>
      </c>
    </row>
    <row r="42" spans="1:29" ht="15">
      <c r="A42" s="472"/>
      <c r="B42" s="422" t="s">
        <v>2522</v>
      </c>
      <c r="C42" s="2619" t="s">
        <v>3054</v>
      </c>
      <c r="D42" s="435">
        <v>100</v>
      </c>
      <c r="E42" s="2620" t="s">
        <v>3054</v>
      </c>
      <c r="F42" s="461">
        <f>SUMIF(122:122,E42,123:123)-SUMIF(122:122,C42,123:123)+100</f>
        <v>100</v>
      </c>
      <c r="G42" s="2620" t="s">
        <v>3078</v>
      </c>
      <c r="H42" s="435">
        <f>SUMIF(122:122,G42,123:123)-SUMIF(122:122,C42,123:123)+100</f>
        <v>101</v>
      </c>
      <c r="I42" s="2620" t="s">
        <v>3054</v>
      </c>
      <c r="J42" s="435">
        <f>SUMIF(122:122,I42,123:123)-SUMIF(122:122,C42,123:123)+100</f>
        <v>100</v>
      </c>
      <c r="K42" s="426">
        <v>1</v>
      </c>
      <c r="L42" s="1143"/>
      <c r="M42" s="1134"/>
      <c r="N42" s="1134"/>
      <c r="O42" s="1134"/>
      <c r="P42" s="3159"/>
      <c r="Q42" s="1813" t="str">
        <f t="shared" si="11"/>
        <v>内部装修</v>
      </c>
      <c r="R42" s="774" t="s">
        <v>21</v>
      </c>
      <c r="S42" s="775">
        <f t="shared" si="12"/>
        <v>100</v>
      </c>
      <c r="T42" s="774" t="s">
        <v>21</v>
      </c>
      <c r="U42" s="775">
        <f t="shared" si="13"/>
        <v>101</v>
      </c>
      <c r="V42" s="774" t="s">
        <v>21</v>
      </c>
      <c r="W42" s="775">
        <f t="shared" si="14"/>
        <v>100</v>
      </c>
      <c r="X42" s="1816"/>
      <c r="Y42" s="3161"/>
      <c r="Z42" s="1817" t="str">
        <f t="shared" si="18"/>
        <v>内部装修</v>
      </c>
      <c r="AA42" s="1814">
        <f t="shared" si="15"/>
        <v>1</v>
      </c>
      <c r="AB42" s="1814">
        <f t="shared" si="16"/>
        <v>0.99009900990099009</v>
      </c>
      <c r="AC42" s="1814">
        <f t="shared" si="17"/>
        <v>1</v>
      </c>
    </row>
    <row r="43" spans="1:29" ht="15">
      <c r="A43" s="472"/>
      <c r="B43" s="422" t="s">
        <v>2523</v>
      </c>
      <c r="C43" s="2619" t="s">
        <v>3061</v>
      </c>
      <c r="D43" s="435">
        <v>100</v>
      </c>
      <c r="E43" s="2620" t="s">
        <v>3061</v>
      </c>
      <c r="F43" s="461">
        <f>SUMIF(124:124,E43,125:125)-SUMIF(124:124,C43,125:125)+100</f>
        <v>100</v>
      </c>
      <c r="G43" s="2620" t="s">
        <v>3061</v>
      </c>
      <c r="H43" s="435">
        <f>SUMIF(124:124,G43,125:125)-SUMIF(124:124,C43,125:125)+100</f>
        <v>100</v>
      </c>
      <c r="I43" s="2620" t="s">
        <v>3061</v>
      </c>
      <c r="J43" s="435">
        <f>SUMIF(124:124,I43,125:125)-SUMIF(124:124,C43,125:125)+100</f>
        <v>100</v>
      </c>
      <c r="K43" s="426">
        <v>1</v>
      </c>
      <c r="L43" s="1143"/>
      <c r="M43" s="1134"/>
      <c r="N43" s="1134"/>
      <c r="O43" s="1134"/>
      <c r="P43" s="3159"/>
      <c r="Q43" s="1813" t="str">
        <f t="shared" si="11"/>
        <v>内部装修维护情况</v>
      </c>
      <c r="R43" s="774" t="s">
        <v>21</v>
      </c>
      <c r="S43" s="775">
        <f t="shared" si="12"/>
        <v>100</v>
      </c>
      <c r="T43" s="774" t="s">
        <v>21</v>
      </c>
      <c r="U43" s="775">
        <f t="shared" si="13"/>
        <v>100</v>
      </c>
      <c r="V43" s="774" t="s">
        <v>21</v>
      </c>
      <c r="W43" s="775">
        <f t="shared" si="14"/>
        <v>100</v>
      </c>
      <c r="X43" s="1816"/>
      <c r="Y43" s="3161"/>
      <c r="Z43" s="1817" t="str">
        <f t="shared" si="18"/>
        <v>内部装修维护情况</v>
      </c>
      <c r="AA43" s="1814">
        <f t="shared" si="15"/>
        <v>1</v>
      </c>
      <c r="AB43" s="1814">
        <f t="shared" si="16"/>
        <v>1</v>
      </c>
      <c r="AC43" s="1814">
        <f t="shared" si="17"/>
        <v>1</v>
      </c>
    </row>
    <row r="44" spans="1:29" s="117" customFormat="1" ht="15">
      <c r="A44" s="473"/>
      <c r="B44" s="2957"/>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59"/>
      <c r="Q44" s="1798">
        <f t="shared" si="11"/>
        <v>0</v>
      </c>
      <c r="R44" s="770" t="s">
        <v>21</v>
      </c>
      <c r="S44" s="771">
        <f t="shared" si="12"/>
        <v>100</v>
      </c>
      <c r="T44" s="770" t="s">
        <v>21</v>
      </c>
      <c r="U44" s="771">
        <f t="shared" si="13"/>
        <v>100</v>
      </c>
      <c r="V44" s="770" t="s">
        <v>21</v>
      </c>
      <c r="W44" s="771">
        <f t="shared" si="14"/>
        <v>100</v>
      </c>
      <c r="X44" s="772"/>
      <c r="Y44" s="3161"/>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59"/>
      <c r="Q45" s="1813">
        <f t="shared" si="11"/>
        <v>0</v>
      </c>
      <c r="R45" s="774" t="s">
        <v>21</v>
      </c>
      <c r="S45" s="775">
        <f t="shared" si="12"/>
        <v>100</v>
      </c>
      <c r="T45" s="774" t="s">
        <v>21</v>
      </c>
      <c r="U45" s="775">
        <f t="shared" si="13"/>
        <v>100</v>
      </c>
      <c r="V45" s="774" t="s">
        <v>21</v>
      </c>
      <c r="W45" s="775">
        <f t="shared" si="14"/>
        <v>100</v>
      </c>
      <c r="X45" s="1816"/>
      <c r="Y45" s="3161"/>
      <c r="Z45" s="1817">
        <f t="shared" si="18"/>
        <v>0</v>
      </c>
      <c r="AA45" s="1814">
        <f t="shared" si="15"/>
        <v>1</v>
      </c>
      <c r="AB45" s="1814">
        <f t="shared" si="16"/>
        <v>1</v>
      </c>
      <c r="AC45" s="1814">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60"/>
      <c r="Q46" s="1813">
        <f t="shared" si="11"/>
        <v>0</v>
      </c>
      <c r="R46" s="774" t="s">
        <v>20</v>
      </c>
      <c r="S46" s="775">
        <f t="shared" si="12"/>
        <v>100</v>
      </c>
      <c r="T46" s="774" t="s">
        <v>20</v>
      </c>
      <c r="U46" s="775">
        <f t="shared" si="13"/>
        <v>100</v>
      </c>
      <c r="V46" s="774" t="s">
        <v>20</v>
      </c>
      <c r="W46" s="775">
        <f t="shared" si="14"/>
        <v>100</v>
      </c>
      <c r="X46" s="1816"/>
      <c r="Y46" s="3162"/>
      <c r="Z46" s="1817">
        <f t="shared" si="18"/>
        <v>0</v>
      </c>
      <c r="AA46" s="1814">
        <f t="shared" si="15"/>
        <v>1</v>
      </c>
      <c r="AB46" s="1814">
        <f t="shared" si="16"/>
        <v>1</v>
      </c>
      <c r="AC46" s="1814">
        <f t="shared" si="17"/>
        <v>1</v>
      </c>
    </row>
    <row r="47" spans="1:29" ht="15">
      <c r="A47" s="479" t="s">
        <v>2524</v>
      </c>
      <c r="B47" s="480"/>
      <c r="C47" s="1410" t="s">
        <v>19</v>
      </c>
      <c r="D47" s="1411"/>
      <c r="E47" s="1412">
        <v>145000</v>
      </c>
      <c r="F47" s="1413"/>
      <c r="G47" s="1414">
        <v>153957</v>
      </c>
      <c r="H47" s="1415"/>
      <c r="I47" s="1412">
        <v>130000</v>
      </c>
      <c r="J47" s="1415"/>
      <c r="K47" s="2627"/>
      <c r="L47" s="1146"/>
      <c r="M47" s="1147"/>
      <c r="N47" s="1134"/>
      <c r="O47" s="1147"/>
      <c r="P47" s="3154" t="str">
        <f>A47</f>
        <v>成交单价（元/平方米）</v>
      </c>
      <c r="Q47" s="3154"/>
      <c r="R47" s="3155">
        <f>E47</f>
        <v>145000</v>
      </c>
      <c r="S47" s="3155"/>
      <c r="T47" s="3155">
        <f>G47</f>
        <v>153957</v>
      </c>
      <c r="U47" s="3155"/>
      <c r="V47" s="3155">
        <f>I47</f>
        <v>130000</v>
      </c>
      <c r="W47" s="3155"/>
      <c r="X47" s="759"/>
      <c r="Y47" s="781"/>
      <c r="Z47" s="759"/>
      <c r="AA47" s="759"/>
      <c r="AB47" s="759"/>
      <c r="AC47" s="759"/>
    </row>
    <row r="48" spans="1:29" ht="15.75" thickBot="1">
      <c r="A48" s="486" t="s">
        <v>2525</v>
      </c>
      <c r="B48" s="487"/>
      <c r="C48" s="1416">
        <f>R49</f>
        <v>140188</v>
      </c>
      <c r="D48" s="1417"/>
      <c r="E48" s="1418">
        <f>R48</f>
        <v>145101</v>
      </c>
      <c r="F48" s="1418"/>
      <c r="G48" s="1416">
        <f>T48</f>
        <v>150499</v>
      </c>
      <c r="H48" s="1417"/>
      <c r="I48" s="1418">
        <f>V48</f>
        <v>124964</v>
      </c>
      <c r="J48" s="1417"/>
      <c r="K48" s="2628"/>
      <c r="L48" s="1146"/>
      <c r="M48" s="1147"/>
      <c r="N48" s="1147"/>
      <c r="O48" s="1147"/>
      <c r="P48" s="3154" t="str">
        <f>A48</f>
        <v>比较价值（元/平方米）</v>
      </c>
      <c r="Q48" s="3154"/>
      <c r="R48" s="3155">
        <f>IF(F1="售价",ROUND(PRODUCT(R47,AA7:AA46),0),ROUND(PRODUCT(R47,AA7:AA46),1))</f>
        <v>145101</v>
      </c>
      <c r="S48" s="3155"/>
      <c r="T48" s="3155">
        <f>IF(F1="售价",ROUND(PRODUCT(T47,AB7:AB46),0),ROUND(PRODUCT(T47,AB7:AB46),1))</f>
        <v>150499</v>
      </c>
      <c r="U48" s="3155"/>
      <c r="V48" s="3155">
        <f>IF(F1="售价",ROUND(PRODUCT(V47,AC7:AC46),0),ROUND(PRODUCT(V47,AC7:AC46),1))</f>
        <v>124964</v>
      </c>
      <c r="W48" s="3155"/>
      <c r="X48" s="759"/>
      <c r="Y48" s="759"/>
      <c r="Z48" s="759"/>
      <c r="AA48" s="759"/>
      <c r="AB48" s="759"/>
      <c r="AC48" s="759"/>
    </row>
    <row r="49" spans="1:29" ht="15.75" thickBot="1">
      <c r="A49" s="492" t="s">
        <v>3006</v>
      </c>
      <c r="B49" s="493"/>
      <c r="C49" s="1419">
        <f>R49</f>
        <v>140188</v>
      </c>
      <c r="D49" s="1420"/>
      <c r="E49" s="1420"/>
      <c r="F49" s="1420"/>
      <c r="G49" s="1420"/>
      <c r="H49" s="1420"/>
      <c r="I49" s="1420"/>
      <c r="J49" s="1420"/>
      <c r="K49" s="2629"/>
      <c r="L49" s="1146"/>
      <c r="M49" s="1147"/>
      <c r="N49" s="1147"/>
      <c r="O49" s="1147"/>
      <c r="P49" s="3151" t="str">
        <f>A49</f>
        <v>估价对象住宅用房的比较价值（楼面单价，元/平方米）</v>
      </c>
      <c r="Q49" s="3152"/>
      <c r="R49" s="3153">
        <f>IF(F1="售价",ROUND(AVERAGE(R48:V48),0),ROUND(AVERAGE(R48:V48),1))</f>
        <v>140188</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2526</v>
      </c>
      <c r="D52" s="498"/>
      <c r="E52" s="499">
        <f>IF(E47&lt;E48,E48/E47-1,E47/E48-1)</f>
        <v>6.9655172413796151E-4</v>
      </c>
      <c r="F52" s="500" t="str">
        <f>IF(OR(E52&gt;=0.3,E52&lt;=-0.3),"超过30%","")</f>
        <v/>
      </c>
      <c r="G52" s="499">
        <f>IF(G47&lt;G48,G48/G47-1,G47/G48-1)</f>
        <v>2.2976896856457429E-2</v>
      </c>
      <c r="H52" s="500" t="str">
        <f>IF(OR(G52&gt;=0.3,G52&lt;=-0.3),"超过30%","")</f>
        <v/>
      </c>
      <c r="I52" s="499">
        <f>IF(I47&lt;I48,I48/I47-1,I47/I48-1)</f>
        <v>4.0299606286610556E-2</v>
      </c>
      <c r="J52" s="500" t="str">
        <f>IF(OR(I52&gt;=0.3,I52&lt;=-0.3),"超过30%","")</f>
        <v/>
      </c>
      <c r="K52" s="1108"/>
      <c r="L52" s="1109"/>
      <c r="M52" s="1147"/>
      <c r="N52" s="1147"/>
      <c r="O52" s="1147"/>
    </row>
    <row r="53" spans="1:29" ht="13.5" customHeight="1">
      <c r="A53" s="1147"/>
      <c r="B53" s="1147"/>
      <c r="C53" s="497" t="s">
        <v>2527</v>
      </c>
      <c r="D53" s="501"/>
      <c r="E53" s="499">
        <f>IF(E48&lt;G48,G48/E48-1,E48/G48-1)</f>
        <v>3.7201673317206696E-2</v>
      </c>
      <c r="F53" s="500" t="str">
        <f>IF(OR(E53&gt;=0.2,E53&lt;=-0.2),"超过20%","")</f>
        <v/>
      </c>
      <c r="G53" s="499">
        <f>IF(G48&lt;I48,I48/G48-1,G48/I48-1)</f>
        <v>0.20433884958868154</v>
      </c>
      <c r="H53" s="500" t="str">
        <f>IF(OR(G53&gt;=0.2,G53&lt;=-0.2),"超过20%","")</f>
        <v>超过20%</v>
      </c>
      <c r="I53" s="499">
        <f>IF(I48&lt;E48,E48/I48-1,I48/E48-1)</f>
        <v>0.16114240901379606</v>
      </c>
      <c r="J53" s="500" t="str">
        <f>IF(OR(I53&gt;=0.2,I53&lt;=-0.2),"超过20%","")</f>
        <v/>
      </c>
      <c r="K53" s="1108"/>
      <c r="L53" s="1109"/>
      <c r="M53" s="1147"/>
      <c r="N53" s="1147"/>
      <c r="O53" s="1147"/>
    </row>
    <row r="54" spans="1:29" s="502" customFormat="1" ht="13.5" customHeight="1">
      <c r="A54" s="1148"/>
      <c r="B54" s="1148"/>
      <c r="C54" s="497" t="s">
        <v>2528</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2529</v>
      </c>
      <c r="B57" s="759"/>
      <c r="C57" s="764"/>
      <c r="D57" s="764"/>
      <c r="E57" s="764"/>
      <c r="F57" s="765"/>
      <c r="G57" s="765"/>
      <c r="H57" s="764"/>
      <c r="I57" s="764"/>
      <c r="J57" s="764"/>
      <c r="K57" s="1163"/>
      <c r="L57" s="1164"/>
      <c r="M57" s="1162"/>
      <c r="N57" s="1162"/>
      <c r="O57" s="1162"/>
      <c r="P57" s="2632"/>
      <c r="Q57" s="504"/>
    </row>
    <row r="58" spans="1:29" s="508" customFormat="1" ht="15">
      <c r="A58" s="505" t="s">
        <v>2530</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2531</v>
      </c>
      <c r="B60" s="516"/>
      <c r="C60" s="517"/>
      <c r="D60" s="518"/>
      <c r="E60" s="518"/>
      <c r="F60" s="518"/>
      <c r="G60" s="518"/>
      <c r="H60" s="518"/>
      <c r="I60" s="518"/>
      <c r="J60" s="518"/>
      <c r="K60" s="518"/>
      <c r="L60" s="518"/>
      <c r="M60" s="519"/>
      <c r="N60" s="518"/>
      <c r="O60" s="519"/>
      <c r="P60" s="2634"/>
      <c r="Q60" s="504"/>
    </row>
    <row r="61" spans="1:29" s="117" customFormat="1" ht="15">
      <c r="A61" s="521" t="s">
        <v>2532</v>
      </c>
      <c r="B61" s="510"/>
      <c r="C61" s="522" t="s">
        <v>2533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2534</v>
      </c>
      <c r="B63" s="528" t="s">
        <v>2501</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2504</v>
      </c>
      <c r="C65" s="539" t="s">
        <v>2535</v>
      </c>
      <c r="D65" s="539" t="s">
        <v>2536</v>
      </c>
      <c r="E65" s="539" t="s">
        <v>2537</v>
      </c>
      <c r="F65" s="539" t="s">
        <v>2538</v>
      </c>
      <c r="G65" s="539" t="s">
        <v>2539</v>
      </c>
      <c r="H65" s="539" t="s">
        <v>2540</v>
      </c>
      <c r="I65" s="539" t="s">
        <v>2541</v>
      </c>
      <c r="J65" s="539"/>
      <c r="K65" s="540"/>
      <c r="L65" s="541"/>
      <c r="M65" s="542"/>
      <c r="N65" s="1155"/>
      <c r="O65" s="1155"/>
      <c r="P65" s="2636"/>
      <c r="Q65" s="504"/>
    </row>
    <row r="66" spans="1:17" ht="15.75" thickBot="1">
      <c r="A66" s="534"/>
      <c r="B66" s="543"/>
      <c r="C66" s="544">
        <v>100</v>
      </c>
      <c r="D66" s="544">
        <f t="shared" ref="D66:I66" si="20">C66-$K10</f>
        <v>98.5</v>
      </c>
      <c r="E66" s="544">
        <f t="shared" si="20"/>
        <v>97</v>
      </c>
      <c r="F66" s="544">
        <f t="shared" si="20"/>
        <v>95.5</v>
      </c>
      <c r="G66" s="544">
        <f t="shared" si="20"/>
        <v>94</v>
      </c>
      <c r="H66" s="544">
        <f t="shared" si="20"/>
        <v>92.5</v>
      </c>
      <c r="I66" s="544">
        <f t="shared" si="20"/>
        <v>91</v>
      </c>
      <c r="J66" s="544"/>
      <c r="K66" s="544"/>
      <c r="L66" s="544"/>
      <c r="M66" s="545"/>
      <c r="N66" s="1156"/>
      <c r="O66" s="1156"/>
      <c r="P66" s="2636"/>
      <c r="Q66" s="504"/>
    </row>
    <row r="67" spans="1:17" ht="15.75" thickTop="1">
      <c r="A67" s="534"/>
      <c r="B67" s="546" t="s">
        <v>2505</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ht="15">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2506</v>
      </c>
      <c r="B76" s="528" t="s">
        <v>2542</v>
      </c>
      <c r="C76" s="573" t="s">
        <v>2543</v>
      </c>
      <c r="D76" s="573" t="s">
        <v>2544</v>
      </c>
      <c r="E76" s="573" t="s">
        <v>2545</v>
      </c>
      <c r="F76" s="573" t="s">
        <v>2546</v>
      </c>
      <c r="G76" s="573" t="s">
        <v>2547</v>
      </c>
      <c r="H76" s="529"/>
      <c r="I76" s="529"/>
      <c r="J76" s="529"/>
      <c r="K76" s="574"/>
      <c r="L76" s="575"/>
      <c r="M76" s="576"/>
      <c r="N76" s="1155"/>
      <c r="O76" s="1155"/>
      <c r="P76" s="264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2050</v>
      </c>
      <c r="C82" s="539" t="s">
        <v>2550</v>
      </c>
      <c r="D82" s="539" t="s">
        <v>2551</v>
      </c>
      <c r="E82" s="539" t="s">
        <v>2552</v>
      </c>
      <c r="F82" s="539" t="s">
        <v>2553</v>
      </c>
      <c r="G82" s="539" t="s">
        <v>2554</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2556</v>
      </c>
      <c r="C86" s="554" t="s">
        <v>3047</v>
      </c>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75" thickTop="1">
      <c r="A88" s="579"/>
      <c r="B88" s="538" t="s">
        <v>2557</v>
      </c>
      <c r="C88" s="554" t="s">
        <v>3047</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2510</v>
      </c>
      <c r="B100" s="528" t="s">
        <v>2558</v>
      </c>
      <c r="C100" s="2951" t="s">
        <v>3050</v>
      </c>
      <c r="D100" s="2951" t="s">
        <v>3049</v>
      </c>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2559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2560</v>
      </c>
      <c r="C105" s="2952" t="s">
        <v>3051</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2561</v>
      </c>
      <c r="C107" s="2953" t="s">
        <v>3053</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2562</v>
      </c>
      <c r="C109" s="2952" t="s">
        <v>3079</v>
      </c>
      <c r="D109" s="2952" t="s">
        <v>3055</v>
      </c>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2563</v>
      </c>
      <c r="C114" s="2952" t="s">
        <v>3057</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2564</v>
      </c>
      <c r="C116" s="2952" t="s">
        <v>3058</v>
      </c>
      <c r="D116" s="554" t="s">
        <v>3064</v>
      </c>
      <c r="E116" s="554" t="s">
        <v>3065</v>
      </c>
      <c r="F116" s="554" t="s">
        <v>3066</v>
      </c>
      <c r="G116" s="554" t="s">
        <v>3067</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2565</v>
      </c>
      <c r="C118" s="583" t="s">
        <v>3047</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2521</v>
      </c>
      <c r="C120" s="554" t="s">
        <v>3047</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2566</v>
      </c>
      <c r="C122" s="2952" t="s">
        <v>3079</v>
      </c>
      <c r="D122" s="2952" t="s">
        <v>3055</v>
      </c>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2568</v>
      </c>
    </row>
    <row r="137" spans="1:17" ht="15">
      <c r="B137" s="2644" t="s">
        <v>2569</v>
      </c>
      <c r="C137" s="2645"/>
      <c r="D137" s="2645"/>
      <c r="E137" s="2645"/>
      <c r="F137" s="2645"/>
      <c r="G137" s="2646"/>
      <c r="H137" s="2647"/>
      <c r="I137" s="2648" t="s">
        <v>2570</v>
      </c>
      <c r="J137" s="2645"/>
      <c r="K137" s="2649"/>
    </row>
    <row r="138" spans="1:17" ht="15">
      <c r="B138" s="2650"/>
      <c r="C138" s="146" t="s">
        <v>2571</v>
      </c>
      <c r="D138" s="146" t="s">
        <v>2572</v>
      </c>
      <c r="E138" s="2651" t="s">
        <v>2573</v>
      </c>
      <c r="F138" s="2652" t="s">
        <v>2574</v>
      </c>
      <c r="G138" s="146" t="s">
        <v>2572</v>
      </c>
      <c r="H138" s="147" t="s">
        <v>2573</v>
      </c>
      <c r="I138" s="2653"/>
      <c r="J138" s="146" t="s">
        <v>2575</v>
      </c>
      <c r="K138" s="147" t="s">
        <v>2576</v>
      </c>
    </row>
    <row r="139" spans="1:17" ht="15">
      <c r="B139" s="1087">
        <v>6</v>
      </c>
      <c r="C139" s="1088">
        <v>96</v>
      </c>
      <c r="D139" s="2654" t="s">
        <v>2577</v>
      </c>
      <c r="E139" s="1089">
        <v>100</v>
      </c>
      <c r="F139" s="1090">
        <v>102.5</v>
      </c>
      <c r="G139" s="2654" t="s">
        <v>2577</v>
      </c>
      <c r="H139" s="1091">
        <v>105</v>
      </c>
      <c r="I139" s="2655" t="s">
        <v>2578</v>
      </c>
      <c r="J139" s="1088">
        <v>20</v>
      </c>
      <c r="K139" s="1092">
        <f>C145/(J139-2)</f>
        <v>4.0555555555555553E-3</v>
      </c>
    </row>
    <row r="140" spans="1:17" ht="15">
      <c r="B140" s="1093">
        <v>5</v>
      </c>
      <c r="C140" s="1094">
        <v>100</v>
      </c>
      <c r="D140" s="1094"/>
      <c r="E140" s="1095"/>
      <c r="F140" s="1096">
        <v>102</v>
      </c>
      <c r="G140" s="1094"/>
      <c r="H140" s="1097"/>
      <c r="I140" s="2656" t="s">
        <v>2579</v>
      </c>
      <c r="J140" s="315">
        <f>ROUNDUP((J139-1)/2,0)</f>
        <v>10</v>
      </c>
      <c r="K140" s="1098">
        <v>100</v>
      </c>
    </row>
    <row r="141" spans="1:17" ht="15">
      <c r="B141" s="1093">
        <v>4</v>
      </c>
      <c r="C141" s="1094">
        <v>102</v>
      </c>
      <c r="D141" s="1094"/>
      <c r="E141" s="1095"/>
      <c r="F141" s="1096">
        <v>101.5</v>
      </c>
      <c r="G141" s="1094"/>
      <c r="H141" s="1097"/>
      <c r="I141" s="2656" t="s">
        <v>2580</v>
      </c>
      <c r="J141" s="315">
        <v>1</v>
      </c>
      <c r="K141" s="1099">
        <f>ROUND(100+(J141-J140)*K139*100,1)</f>
        <v>96.4</v>
      </c>
    </row>
    <row r="142" spans="1:17" ht="15">
      <c r="B142" s="1093">
        <v>3</v>
      </c>
      <c r="C142" s="1094">
        <v>103</v>
      </c>
      <c r="D142" s="1094"/>
      <c r="E142" s="1095"/>
      <c r="F142" s="1096">
        <v>101</v>
      </c>
      <c r="G142" s="1094"/>
      <c r="H142" s="1097"/>
      <c r="I142" s="2656" t="s">
        <v>2581</v>
      </c>
      <c r="J142" s="315">
        <f>J139</f>
        <v>20</v>
      </c>
      <c r="K142" s="1100">
        <v>95</v>
      </c>
    </row>
    <row r="143" spans="1:17" ht="15">
      <c r="B143" s="1093">
        <v>2</v>
      </c>
      <c r="C143" s="1094">
        <v>100</v>
      </c>
      <c r="D143" s="1094"/>
      <c r="E143" s="1095"/>
      <c r="F143" s="1096">
        <v>100.5</v>
      </c>
      <c r="G143" s="1094"/>
      <c r="H143" s="1097"/>
      <c r="I143" s="2656" t="s">
        <v>2582</v>
      </c>
      <c r="J143" s="1094">
        <v>15</v>
      </c>
      <c r="K143" s="1099">
        <f>ROUND(100+(J143-J140)*K139*100,1)</f>
        <v>102</v>
      </c>
    </row>
    <row r="144" spans="1:17" ht="15">
      <c r="B144" s="1093">
        <v>1</v>
      </c>
      <c r="C144" s="1094">
        <v>98</v>
      </c>
      <c r="D144" s="2657" t="s">
        <v>2583</v>
      </c>
      <c r="E144" s="1095">
        <v>102</v>
      </c>
      <c r="F144" s="1101">
        <v>100</v>
      </c>
      <c r="G144" s="2657" t="s">
        <v>2583</v>
      </c>
      <c r="H144" s="1097">
        <v>105</v>
      </c>
      <c r="I144" s="2656" t="s">
        <v>2582</v>
      </c>
      <c r="J144" s="1094">
        <v>18</v>
      </c>
      <c r="K144" s="1099">
        <f>ROUND(100+(J144-J140)*K139*100,1)</f>
        <v>103.2</v>
      </c>
    </row>
    <row r="145" spans="2:11" ht="15.75" thickBot="1">
      <c r="B145" s="2658" t="s">
        <v>2584</v>
      </c>
      <c r="C145" s="1102">
        <f>ROUND(MAX(C139:C144)/MIN(C139:C144)-1,3)</f>
        <v>7.2999999999999995E-2</v>
      </c>
      <c r="D145" s="1103"/>
      <c r="E145" s="1103"/>
      <c r="F145" s="2659" t="s">
        <v>2585</v>
      </c>
      <c r="G145" s="2660"/>
      <c r="H145" s="2661"/>
      <c r="I145" s="2662" t="s">
        <v>2582</v>
      </c>
      <c r="J145" s="1104">
        <v>8</v>
      </c>
      <c r="K145" s="1105">
        <f>ROUND(100+(J145-J140)*K139*100,1)</f>
        <v>99.2</v>
      </c>
    </row>
    <row r="147" spans="2:11">
      <c r="B147" s="2643" t="s">
        <v>2586</v>
      </c>
    </row>
    <row r="148" spans="2:11">
      <c r="B148" s="2643" t="s">
        <v>2587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t="s">
        <v>3001</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199" t="s">
        <v>1395</v>
      </c>
      <c r="C6" s="1299">
        <f ca="1">ROUND(F6*F8*F7*(1-F9)/10000,0)</f>
        <v>7511</v>
      </c>
      <c r="D6" s="164" t="s">
        <v>2980</v>
      </c>
      <c r="E6" s="347" t="s">
        <v>1397</v>
      </c>
      <c r="F6" s="348">
        <f ca="1">INDIRECT("'数据-取费表'!u"&amp;$G$1)</f>
        <v>7</v>
      </c>
      <c r="G6" s="1854"/>
      <c r="H6" s="1294" t="s">
        <v>1031</v>
      </c>
      <c r="I6" s="3199" t="s">
        <v>1395</v>
      </c>
      <c r="J6" s="346">
        <f ca="1">ROUND(M6*M8*M7*(1-M9)/10000,0)</f>
        <v>0</v>
      </c>
      <c r="K6" s="164" t="s">
        <v>2979</v>
      </c>
      <c r="L6" s="347" t="s">
        <v>1397</v>
      </c>
      <c r="M6" s="348">
        <f ca="1">INDIRECT("'数据-取费表'!z"&amp;$G$1)</f>
        <v>0</v>
      </c>
    </row>
    <row r="7" spans="1:37" ht="18" customHeight="1">
      <c r="A7" s="1298"/>
      <c r="B7" s="3200"/>
      <c r="C7" s="1300"/>
      <c r="D7" s="352"/>
      <c r="E7" s="1301" t="s">
        <v>1398</v>
      </c>
      <c r="F7" s="348">
        <f ca="1">IF(INDIRECT("'数据-取费表'!ah"&amp;$G$1)="",INDIRECT("'数据-取费表'!k"&amp;$G$1),INDIRECT("'数据-取费表'!ah"&amp;$G$1))</f>
        <v>32663.93</v>
      </c>
      <c r="G7" s="1854"/>
      <c r="H7" s="349"/>
      <c r="I7" s="3200"/>
      <c r="J7" s="351"/>
      <c r="K7" s="352"/>
      <c r="L7" s="347" t="s">
        <v>1398</v>
      </c>
      <c r="M7" s="348">
        <f ca="1">F7</f>
        <v>32663.93</v>
      </c>
    </row>
    <row r="8" spans="1:37" ht="18" customHeight="1">
      <c r="A8" s="349"/>
      <c r="B8" s="3200"/>
      <c r="C8" s="351"/>
      <c r="D8" s="352"/>
      <c r="E8" s="347" t="s">
        <v>1399</v>
      </c>
      <c r="F8" s="348">
        <f ca="1">INDIRECT("'数据-取费表'!ai"&amp;$G$1)</f>
        <v>365</v>
      </c>
      <c r="G8" s="1854"/>
      <c r="H8" s="349"/>
      <c r="I8" s="3200"/>
      <c r="J8" s="351"/>
      <c r="K8" s="352"/>
      <c r="L8" s="347" t="s">
        <v>1399</v>
      </c>
      <c r="M8" s="348">
        <f ca="1">INDIRECT("'数据-取费表'!ai"&amp;$G$1)</f>
        <v>365</v>
      </c>
    </row>
    <row r="9" spans="1:37" ht="18" customHeight="1">
      <c r="A9" s="349"/>
      <c r="B9" s="3201"/>
      <c r="C9" s="351"/>
      <c r="D9" s="352"/>
      <c r="E9" s="347" t="s">
        <v>1400</v>
      </c>
      <c r="F9" s="357">
        <f ca="1">INDIRECT("'数据-取费表'!w"&amp;$G$1)</f>
        <v>0.1</v>
      </c>
      <c r="G9" s="1854"/>
      <c r="H9" s="349"/>
      <c r="I9" s="3201"/>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2989</v>
      </c>
      <c r="E10" s="358" t="s">
        <v>1402</v>
      </c>
      <c r="F10" s="1369" t="s">
        <v>3070</v>
      </c>
      <c r="G10" s="1854"/>
      <c r="H10" s="1294" t="s">
        <v>1035</v>
      </c>
      <c r="I10" s="1826" t="s">
        <v>1401</v>
      </c>
      <c r="J10" s="346">
        <f ca="1">ROUND(IF(M10="押一",J6/12*M11,IF(M10="押二",J6/12*2*M11,IF(M10="押三",J6/12*3*M11,J11*M11))),0)</f>
        <v>0</v>
      </c>
      <c r="K10" s="1827" t="s">
        <v>2988</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3071</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5"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5" thickBot="1">
      <c r="A47" s="1168" t="s">
        <v>1388</v>
      </c>
      <c r="B47" s="1200" t="s">
        <v>1389</v>
      </c>
      <c r="C47" s="1370" t="s">
        <v>1390</v>
      </c>
      <c r="D47" s="1200" t="s">
        <v>1391</v>
      </c>
      <c r="E47" s="1282" t="s">
        <v>1392</v>
      </c>
      <c r="F47" s="1283"/>
      <c r="G47" s="792"/>
      <c r="I47" s="1883" t="s">
        <v>1518</v>
      </c>
      <c r="J47" s="1884" t="s">
        <v>3033</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28.5" thickBot="1">
      <c r="A48" s="1363" t="s">
        <v>1131</v>
      </c>
      <c r="B48" s="345" t="s">
        <v>1393</v>
      </c>
      <c r="C48" s="1820">
        <f ca="1">C49+C53+C55</f>
        <v>0</v>
      </c>
      <c r="D48" s="1365"/>
      <c r="E48" s="1366"/>
      <c r="F48" s="1184"/>
      <c r="G48" s="792"/>
      <c r="H48" s="793"/>
      <c r="I48" s="1890" t="s">
        <v>1522</v>
      </c>
      <c r="J48" s="1891" t="s">
        <v>3034</v>
      </c>
      <c r="K48" s="1892" t="s">
        <v>1523</v>
      </c>
      <c r="L48" s="1893">
        <f ca="1">INDIRECT("'数据-取费表'!f"&amp;$G$1)</f>
        <v>44.96</v>
      </c>
      <c r="O48" s="1887" t="s">
        <v>1037</v>
      </c>
      <c r="P48" s="1888" t="s">
        <v>1524</v>
      </c>
      <c r="Q48" s="1889" t="str">
        <f ca="1">J60</f>
        <v>0</v>
      </c>
      <c r="R48" s="1889" t="s">
        <v>1525</v>
      </c>
    </row>
    <row r="49" spans="1:18" s="1845" customFormat="1" ht="13.5" thickBot="1">
      <c r="A49" s="1197" t="s">
        <v>1132</v>
      </c>
      <c r="B49" s="1832" t="s">
        <v>1482</v>
      </c>
      <c r="C49" s="1367">
        <f ca="1">ROUND(F49*F51*F50*(1-F52)/10000,0)</f>
        <v>0</v>
      </c>
      <c r="D49" s="1279" t="s">
        <v>2981</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5"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5"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5"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24.75" thickBot="1">
      <c r="A53" s="1408" t="s">
        <v>1133</v>
      </c>
      <c r="B53" s="1834" t="s">
        <v>1401</v>
      </c>
      <c r="C53" s="361">
        <f ca="1">ROUND(IF(F53="押一",C49/12*F11,IF(F53="押二",C49/12*2*F11,IF(F53="押三",C49/12*3*F11,C54*F11))),0)</f>
        <v>0</v>
      </c>
      <c r="D53" s="1827" t="s">
        <v>2988</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197" t="s">
        <v>1540</v>
      </c>
      <c r="L53" s="3198"/>
      <c r="O53" s="1887" t="s">
        <v>1042</v>
      </c>
      <c r="P53" s="1888" t="s">
        <v>1541</v>
      </c>
      <c r="Q53" s="1889">
        <f ca="1">Q47+Q48</f>
        <v>189431</v>
      </c>
      <c r="R53" s="1889" t="s">
        <v>1043</v>
      </c>
    </row>
    <row r="54" spans="1:18" s="1845" customFormat="1" ht="13.5"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25.5" thickTop="1" thickBot="1">
      <c r="A56" s="1179">
        <v>2</v>
      </c>
      <c r="B56" s="1180" t="s">
        <v>1406</v>
      </c>
      <c r="C56" s="276">
        <f ca="1">C13</f>
        <v>24880</v>
      </c>
      <c r="D56" s="1917"/>
      <c r="E56" s="1918"/>
      <c r="F56" s="1910"/>
      <c r="I56" s="1919" t="s">
        <v>1546</v>
      </c>
      <c r="J56" s="1920" t="s">
        <v>3017</v>
      </c>
      <c r="K56" s="1890" t="s">
        <v>1547</v>
      </c>
      <c r="L56" s="1893">
        <f ca="1">IF(L48&lt;J51,"——",L48-J53)</f>
        <v>0</v>
      </c>
      <c r="O56" s="1887" t="s">
        <v>1036</v>
      </c>
      <c r="P56" s="1888" t="s">
        <v>1520</v>
      </c>
      <c r="Q56" s="1889">
        <f ca="1">C40+J29</f>
        <v>189431</v>
      </c>
      <c r="R56" s="1889" t="s">
        <v>1521</v>
      </c>
    </row>
    <row r="57" spans="1:18" s="1845" customFormat="1" ht="24.75"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75"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5"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5"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5"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16.5"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5"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5"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5" thickBot="1">
      <c r="A70" s="1176"/>
      <c r="B70" s="1177"/>
      <c r="C70" s="355"/>
      <c r="D70" s="1188"/>
      <c r="E70" s="1172" t="s">
        <v>1469</v>
      </c>
      <c r="F70" s="1278"/>
      <c r="O70" s="1897" t="s">
        <v>1045</v>
      </c>
      <c r="P70" s="1937" t="s">
        <v>1577</v>
      </c>
      <c r="Q70" s="1889">
        <f ca="1">C13</f>
        <v>24880</v>
      </c>
      <c r="R70" s="1889" t="s">
        <v>1521</v>
      </c>
    </row>
    <row r="71" spans="1:18" s="1845" customFormat="1" ht="13.5"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5"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199" t="s">
        <v>1395</v>
      </c>
      <c r="C6" s="1299">
        <f ca="1">ROUND(F6*F8*F7*(1-F9),0)</f>
        <v>0</v>
      </c>
      <c r="D6" s="164" t="s">
        <v>2977</v>
      </c>
      <c r="E6" s="347" t="s">
        <v>1397</v>
      </c>
      <c r="F6" s="348">
        <f ca="1">INDIRECT("'数据-取费表'!u"&amp;$G$1)</f>
        <v>0</v>
      </c>
      <c r="G6" s="1854"/>
      <c r="H6" s="1294" t="s">
        <v>1031</v>
      </c>
      <c r="I6" s="3199" t="s">
        <v>1395</v>
      </c>
      <c r="J6" s="346">
        <f ca="1">ROUND(M6*M8*M7*(1-M9),0)</f>
        <v>0</v>
      </c>
      <c r="K6" s="1837" t="s">
        <v>2978</v>
      </c>
      <c r="L6" s="347" t="s">
        <v>1397</v>
      </c>
      <c r="M6" s="348">
        <f ca="1">INDIRECT("'数据-取费表'!z"&amp;$G$1)</f>
        <v>0</v>
      </c>
    </row>
    <row r="7" spans="1:37" ht="18" customHeight="1">
      <c r="A7" s="1298"/>
      <c r="B7" s="3200"/>
      <c r="C7" s="1300"/>
      <c r="D7" s="352"/>
      <c r="E7" s="1301" t="s">
        <v>1398</v>
      </c>
      <c r="F7" s="348">
        <f ca="1">IF(INDIRECT("'数据-取费表'!ah"&amp;$G$1)="",INDIRECT("'数据-取费表'!k"&amp;$G$1),INDIRECT("'数据-取费表'!ah"&amp;$G$1))</f>
        <v>0</v>
      </c>
      <c r="G7" s="1854"/>
      <c r="H7" s="349"/>
      <c r="I7" s="3200"/>
      <c r="J7" s="351"/>
      <c r="K7" s="352"/>
      <c r="L7" s="347" t="s">
        <v>1398</v>
      </c>
      <c r="M7" s="348">
        <f ca="1">F7</f>
        <v>0</v>
      </c>
    </row>
    <row r="8" spans="1:37" ht="18" customHeight="1">
      <c r="A8" s="349"/>
      <c r="B8" s="3200"/>
      <c r="C8" s="351"/>
      <c r="D8" s="352"/>
      <c r="E8" s="347" t="s">
        <v>1399</v>
      </c>
      <c r="F8" s="348">
        <f ca="1">INDIRECT("'数据-取费表'!ai"&amp;$G$1)</f>
        <v>0</v>
      </c>
      <c r="G8" s="1854"/>
      <c r="H8" s="349"/>
      <c r="I8" s="3200"/>
      <c r="J8" s="351"/>
      <c r="K8" s="352"/>
      <c r="L8" s="347" t="s">
        <v>1399</v>
      </c>
      <c r="M8" s="348">
        <f ca="1">INDIRECT("'数据-取费表'!ai"&amp;$G$1)</f>
        <v>0</v>
      </c>
    </row>
    <row r="9" spans="1:37" ht="18" customHeight="1">
      <c r="A9" s="349"/>
      <c r="B9" s="3201"/>
      <c r="C9" s="351"/>
      <c r="D9" s="352"/>
      <c r="E9" s="347" t="s">
        <v>1400</v>
      </c>
      <c r="F9" s="357">
        <f ca="1">INDIRECT("'数据-取费表'!w"&amp;$G$1)</f>
        <v>0</v>
      </c>
      <c r="G9" s="1854"/>
      <c r="H9" s="349"/>
      <c r="I9" s="3201"/>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2988</v>
      </c>
      <c r="E10" s="358" t="s">
        <v>1402</v>
      </c>
      <c r="F10" s="1369"/>
      <c r="G10" s="1854"/>
      <c r="H10" s="1294" t="s">
        <v>1035</v>
      </c>
      <c r="I10" s="1826" t="s">
        <v>1401</v>
      </c>
      <c r="J10" s="346">
        <f ca="1">ROUND(IF(M10="押一",J6/12*M11,IF(M10="押二",J6/12*2*M11,IF(M10="押三",J6/12*3*M11,J11*M11))),0)</f>
        <v>0</v>
      </c>
      <c r="K10" s="1838" t="s">
        <v>2990</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5"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5"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28.5"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5"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5"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5"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5"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2991</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197" t="s">
        <v>1540</v>
      </c>
      <c r="L53" s="3198"/>
      <c r="O53" s="1887" t="s">
        <v>1042</v>
      </c>
      <c r="P53" s="1888" t="s">
        <v>1541</v>
      </c>
      <c r="Q53" s="1889" t="e">
        <f ca="1">Q47+Q48</f>
        <v>#DIV/0!</v>
      </c>
      <c r="R53" s="1889" t="s">
        <v>1043</v>
      </c>
    </row>
    <row r="54" spans="1:18" s="1845" customFormat="1" ht="13.5"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75"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75"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5"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5"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5"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16.5"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5"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5" thickBot="1">
      <c r="A69" s="1173"/>
      <c r="B69" s="1174"/>
      <c r="C69" s="351"/>
      <c r="D69" s="1192" t="s">
        <v>1465</v>
      </c>
      <c r="E69" s="1172" t="s">
        <v>1466</v>
      </c>
      <c r="F69" s="379">
        <f ca="1">F41</f>
        <v>0</v>
      </c>
      <c r="O69" s="1897" t="s">
        <v>1044</v>
      </c>
      <c r="P69" s="1937" t="s">
        <v>1576</v>
      </c>
      <c r="Q69" s="1889">
        <f ca="1">C39</f>
        <v>0</v>
      </c>
      <c r="R69" s="1889" t="s">
        <v>1521</v>
      </c>
    </row>
    <row r="70" spans="1:18" s="1845" customFormat="1" ht="13.5" thickBot="1">
      <c r="A70" s="1176"/>
      <c r="B70" s="1177"/>
      <c r="C70" s="355"/>
      <c r="D70" s="1188"/>
      <c r="E70" s="1172" t="s">
        <v>1469</v>
      </c>
      <c r="F70" s="1278">
        <f ca="1">F42</f>
        <v>0</v>
      </c>
      <c r="O70" s="1897" t="s">
        <v>1045</v>
      </c>
      <c r="P70" s="1937" t="s">
        <v>1577</v>
      </c>
      <c r="Q70" s="1889">
        <f ca="1">C13</f>
        <v>0</v>
      </c>
      <c r="R70" s="1889" t="s">
        <v>1521</v>
      </c>
    </row>
    <row r="71" spans="1:18" s="1845" customFormat="1" ht="13.5"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5"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2473</v>
      </c>
      <c r="B1" s="2568"/>
      <c r="C1" s="2568"/>
      <c r="D1" s="2568"/>
      <c r="E1" s="2569"/>
    </row>
    <row r="2" spans="1:6" ht="15.75">
      <c r="A2" s="2570" t="s">
        <v>2274</v>
      </c>
      <c r="B2" s="2571">
        <f ca="1">SUMIF(B6:B13,"&lt;&gt;#ref!",B6:B13)</f>
        <v>189431</v>
      </c>
      <c r="C2" s="2572" t="s">
        <v>2466</v>
      </c>
      <c r="D2" s="2573" t="s">
        <v>2467</v>
      </c>
      <c r="E2" s="2574">
        <f>SUM(E6:E13)</f>
        <v>32663.93</v>
      </c>
    </row>
    <row r="3" spans="1:6" ht="15.75">
      <c r="A3" s="2570" t="s">
        <v>1387</v>
      </c>
      <c r="B3" s="2571">
        <f ca="1">ROUND(B2*10000/E2,0)</f>
        <v>57994</v>
      </c>
      <c r="C3" s="2572" t="s">
        <v>2474</v>
      </c>
      <c r="D3" s="2575"/>
      <c r="E3" s="2576"/>
    </row>
    <row r="4" spans="1:6" ht="15.75">
      <c r="A4" s="2577"/>
      <c r="B4" s="2575"/>
      <c r="C4" s="2575"/>
      <c r="D4" s="2575"/>
      <c r="E4" s="2576"/>
    </row>
    <row r="5" spans="1:6" ht="15">
      <c r="A5" s="2578" t="s">
        <v>2468</v>
      </c>
      <c r="B5" s="3202" t="s">
        <v>2469</v>
      </c>
      <c r="C5" s="3202"/>
      <c r="D5" s="2579"/>
      <c r="E5" s="2580" t="s">
        <v>2470</v>
      </c>
      <c r="F5" s="2581" t="s">
        <v>2471</v>
      </c>
    </row>
    <row r="6" spans="1:6">
      <c r="A6" s="2582" t="str">
        <f>'数据-取费表'!AN6</f>
        <v>收益法</v>
      </c>
      <c r="B6" s="2581">
        <f ca="1">IF(F6="是",'数据-取费表'!AO6,0)</f>
        <v>189431</v>
      </c>
      <c r="C6" s="2572" t="s">
        <v>2466</v>
      </c>
      <c r="D6" s="2575"/>
      <c r="E6" s="2583">
        <f>IF(OR(A6=0,F6="否"),0,'数据-取费表'!K6+'数据-取费表'!S6)</f>
        <v>32663.93</v>
      </c>
      <c r="F6" s="2584" t="s">
        <v>2472</v>
      </c>
    </row>
    <row r="7" spans="1:6">
      <c r="A7" s="2582">
        <f>'数据-取费表'!AN7</f>
        <v>0</v>
      </c>
      <c r="B7" s="2581" t="e">
        <f ca="1">IF(F7="是",'数据-取费表'!AO7,0)</f>
        <v>#REF!</v>
      </c>
      <c r="C7" s="2572" t="s">
        <v>2466</v>
      </c>
      <c r="D7" s="2575"/>
      <c r="E7" s="2583">
        <f>IF(OR(A7=0,F7="否"),0,'数据-取费表'!K7+'数据-取费表'!S7)</f>
        <v>0</v>
      </c>
      <c r="F7" s="2584" t="s">
        <v>2472</v>
      </c>
    </row>
    <row r="8" spans="1:6">
      <c r="A8" s="2582">
        <f>'数据-取费表'!AN8</f>
        <v>0</v>
      </c>
      <c r="B8" s="2581" t="e">
        <f ca="1">IF(F8="是",'数据-取费表'!AO8,0)</f>
        <v>#REF!</v>
      </c>
      <c r="C8" s="2572" t="s">
        <v>2466</v>
      </c>
      <c r="D8" s="2575"/>
      <c r="E8" s="2583">
        <f>IF(OR(A8=0,F8="否"),0,'数据-取费表'!K8+'数据-取费表'!S8)</f>
        <v>0</v>
      </c>
      <c r="F8" s="2584" t="s">
        <v>2472</v>
      </c>
    </row>
    <row r="9" spans="1:6">
      <c r="A9" s="2582">
        <f>'数据-取费表'!AN9</f>
        <v>0</v>
      </c>
      <c r="B9" s="2581" t="e">
        <f ca="1">IF(F9="是",'数据-取费表'!AO9,0)</f>
        <v>#REF!</v>
      </c>
      <c r="C9" s="2572" t="s">
        <v>2466</v>
      </c>
      <c r="D9" s="2575"/>
      <c r="E9" s="2583">
        <f>IF(OR(A9=0,F9="否"),0,'数据-取费表'!K9+'数据-取费表'!S9)</f>
        <v>0</v>
      </c>
      <c r="F9" s="2584" t="s">
        <v>2472</v>
      </c>
    </row>
    <row r="10" spans="1:6">
      <c r="A10" s="2582">
        <f>'数据-取费表'!AN10</f>
        <v>0</v>
      </c>
      <c r="B10" s="2581" t="e">
        <f ca="1">IF(F10="是",'数据-取费表'!AO10,0)</f>
        <v>#REF!</v>
      </c>
      <c r="C10" s="2572" t="s">
        <v>2466</v>
      </c>
      <c r="D10" s="2575"/>
      <c r="E10" s="2583">
        <f>IF(OR(A10=0,F10="否"),0,'数据-取费表'!K10+'数据-取费表'!S10)</f>
        <v>0</v>
      </c>
      <c r="F10" s="2584" t="s">
        <v>2472</v>
      </c>
    </row>
    <row r="11" spans="1:6">
      <c r="A11" s="2582">
        <f>'数据-取费表'!AN11</f>
        <v>0</v>
      </c>
      <c r="B11" s="2581" t="e">
        <f ca="1">IF(F11="是",'数据-取费表'!AO11,0)</f>
        <v>#REF!</v>
      </c>
      <c r="C11" s="2572" t="s">
        <v>2466</v>
      </c>
      <c r="D11" s="2575"/>
      <c r="E11" s="2583">
        <f>IF(OR(A11=0,F11="否"),0,'数据-取费表'!K11+'数据-取费表'!S11)</f>
        <v>0</v>
      </c>
      <c r="F11" s="2584" t="s">
        <v>2472</v>
      </c>
    </row>
    <row r="12" spans="1:6">
      <c r="A12" s="2582">
        <f>'数据-取费表'!AN12</f>
        <v>0</v>
      </c>
      <c r="B12" s="2581" t="e">
        <f ca="1">IF(F12="是",'数据-取费表'!AO12,0)</f>
        <v>#REF!</v>
      </c>
      <c r="C12" s="2572" t="s">
        <v>2466</v>
      </c>
      <c r="D12" s="2575"/>
      <c r="E12" s="2583">
        <f>IF(OR(A12=0,F12="否"),0,'数据-取费表'!K12+'数据-取费表'!S12)</f>
        <v>0</v>
      </c>
      <c r="F12" s="2584" t="s">
        <v>2472</v>
      </c>
    </row>
    <row r="13" spans="1:6" ht="15" thickBot="1">
      <c r="A13" s="2585">
        <f>'数据-取费表'!AN13</f>
        <v>0</v>
      </c>
      <c r="B13" s="2581" t="e">
        <f ca="1">IF(F13="是",'数据-取费表'!AO13,0)</f>
        <v>#REF!</v>
      </c>
      <c r="C13" s="2586" t="s">
        <v>2466</v>
      </c>
      <c r="D13" s="2587"/>
      <c r="E13" s="2583">
        <f>IF(OR(A13=0,F13="否"),0,'数据-取费表'!K13+'数据-取费表'!S13)</f>
        <v>0</v>
      </c>
      <c r="F13" s="2584"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9" t="s">
        <v>1072</v>
      </c>
      <c r="B1" s="3220"/>
      <c r="C1" s="3221"/>
      <c r="D1" s="3222">
        <f>SUM(I10,I15,I20,I21,I23)</f>
        <v>0</v>
      </c>
      <c r="E1" s="3222"/>
      <c r="F1" s="3222"/>
      <c r="G1" s="3222"/>
      <c r="H1" s="3222"/>
      <c r="I1" s="3223"/>
    </row>
    <row r="2" spans="1:9">
      <c r="A2" s="3209" t="s">
        <v>1073</v>
      </c>
      <c r="B2" s="3210" t="s">
        <v>1074</v>
      </c>
      <c r="C2" s="3210"/>
      <c r="D2" s="1304" t="s">
        <v>1075</v>
      </c>
      <c r="E2" s="1304" t="s">
        <v>1076</v>
      </c>
      <c r="F2" s="1304" t="s">
        <v>1077</v>
      </c>
      <c r="G2" s="1304" t="s">
        <v>1078</v>
      </c>
      <c r="H2" s="1304" t="s">
        <v>1079</v>
      </c>
      <c r="I2" s="1305" t="s">
        <v>1080</v>
      </c>
    </row>
    <row r="3" spans="1:9">
      <c r="A3" s="3209"/>
      <c r="B3" s="3210" t="s">
        <v>1081</v>
      </c>
      <c r="C3" s="3210"/>
      <c r="D3" s="1306"/>
      <c r="E3" s="1304"/>
      <c r="F3" s="1307"/>
      <c r="G3" s="1307"/>
      <c r="H3" s="1308"/>
      <c r="I3" s="1309">
        <f>ROUND(D3*E3*F3*G3*H3/10000,0)</f>
        <v>0</v>
      </c>
    </row>
    <row r="4" spans="1:9">
      <c r="A4" s="3209"/>
      <c r="B4" s="3210" t="s">
        <v>1082</v>
      </c>
      <c r="C4" s="3210"/>
      <c r="D4" s="1306"/>
      <c r="E4" s="1304"/>
      <c r="F4" s="1307"/>
      <c r="G4" s="1307"/>
      <c r="H4" s="1308"/>
      <c r="I4" s="1309">
        <f t="shared" ref="I4:I9" si="0">ROUND(D4*E4*F4*G4*H4/10000,0)</f>
        <v>0</v>
      </c>
    </row>
    <row r="5" spans="1:9">
      <c r="A5" s="3209"/>
      <c r="B5" s="3210" t="s">
        <v>1083</v>
      </c>
      <c r="C5" s="3210"/>
      <c r="D5" s="1306"/>
      <c r="E5" s="1304"/>
      <c r="F5" s="1307"/>
      <c r="G5" s="1307"/>
      <c r="H5" s="1308"/>
      <c r="I5" s="1309">
        <f t="shared" si="0"/>
        <v>0</v>
      </c>
    </row>
    <row r="6" spans="1:9">
      <c r="A6" s="3209"/>
      <c r="B6" s="3210" t="s">
        <v>1084</v>
      </c>
      <c r="C6" s="3210"/>
      <c r="D6" s="1306"/>
      <c r="E6" s="1304"/>
      <c r="F6" s="1307"/>
      <c r="G6" s="1307"/>
      <c r="H6" s="1308"/>
      <c r="I6" s="1309">
        <f t="shared" si="0"/>
        <v>0</v>
      </c>
    </row>
    <row r="7" spans="1:9">
      <c r="A7" s="3209"/>
      <c r="B7" s="3210" t="s">
        <v>1085</v>
      </c>
      <c r="C7" s="3210"/>
      <c r="D7" s="1306"/>
      <c r="E7" s="1304"/>
      <c r="F7" s="1307"/>
      <c r="G7" s="1307"/>
      <c r="H7" s="1308"/>
      <c r="I7" s="1309">
        <f t="shared" si="0"/>
        <v>0</v>
      </c>
    </row>
    <row r="8" spans="1:9">
      <c r="A8" s="3209"/>
      <c r="B8" s="3210" t="s">
        <v>1086</v>
      </c>
      <c r="C8" s="3210"/>
      <c r="D8" s="1306"/>
      <c r="E8" s="1304"/>
      <c r="F8" s="1307"/>
      <c r="G8" s="1307"/>
      <c r="H8" s="1308"/>
      <c r="I8" s="1309">
        <f t="shared" si="0"/>
        <v>0</v>
      </c>
    </row>
    <row r="9" spans="1:9">
      <c r="A9" s="3209"/>
      <c r="B9" s="3210" t="s">
        <v>1087</v>
      </c>
      <c r="C9" s="3210"/>
      <c r="D9" s="1306"/>
      <c r="E9" s="1304"/>
      <c r="F9" s="1307"/>
      <c r="G9" s="1307"/>
      <c r="H9" s="1308"/>
      <c r="I9" s="1309">
        <f t="shared" si="0"/>
        <v>0</v>
      </c>
    </row>
    <row r="10" spans="1:9">
      <c r="A10" s="3209"/>
      <c r="B10" s="3211" t="s">
        <v>1088</v>
      </c>
      <c r="C10" s="3211"/>
      <c r="D10" s="1310"/>
      <c r="E10" s="1310" t="e">
        <f>ROUND(D1*10000/D10/H9,0)</f>
        <v>#DIV/0!</v>
      </c>
      <c r="F10" s="1311"/>
      <c r="G10" s="1311"/>
      <c r="H10" s="1312"/>
      <c r="I10" s="1313">
        <f>SUM(I3:I9)</f>
        <v>0</v>
      </c>
    </row>
    <row r="11" spans="1:9" ht="14.25">
      <c r="A11" s="3209" t="s">
        <v>1089</v>
      </c>
      <c r="B11" s="3210" t="s">
        <v>1090</v>
      </c>
      <c r="C11" s="3210"/>
      <c r="D11" s="1306" t="s">
        <v>1091</v>
      </c>
      <c r="E11" s="1306" t="s">
        <v>1092</v>
      </c>
      <c r="F11" s="1307" t="s">
        <v>1093</v>
      </c>
      <c r="G11" s="1307" t="s">
        <v>1079</v>
      </c>
      <c r="H11" s="1314" t="s">
        <v>1094</v>
      </c>
      <c r="I11" s="1305" t="s">
        <v>1080</v>
      </c>
    </row>
    <row r="12" spans="1:9">
      <c r="A12" s="3209"/>
      <c r="B12" s="3210" t="s">
        <v>1095</v>
      </c>
      <c r="C12" s="3210"/>
      <c r="D12" s="1306"/>
      <c r="E12" s="1306"/>
      <c r="F12" s="1307"/>
      <c r="G12" s="1308"/>
      <c r="H12" s="1315"/>
      <c r="I12" s="1305">
        <f>ROUND(D12*E12*F12*G12/10000,0)</f>
        <v>0</v>
      </c>
    </row>
    <row r="13" spans="1:9">
      <c r="A13" s="3209"/>
      <c r="B13" s="3210" t="s">
        <v>1096</v>
      </c>
      <c r="C13" s="3210"/>
      <c r="D13" s="1306"/>
      <c r="E13" s="1306"/>
      <c r="F13" s="1307"/>
      <c r="G13" s="1308"/>
      <c r="H13" s="1315"/>
      <c r="I13" s="1305">
        <f>ROUND(D13*E13*F13*G13/10000,0)</f>
        <v>0</v>
      </c>
    </row>
    <row r="14" spans="1:9">
      <c r="A14" s="3209"/>
      <c r="B14" s="3210" t="s">
        <v>1097</v>
      </c>
      <c r="C14" s="3210"/>
      <c r="D14" s="1306"/>
      <c r="E14" s="1306"/>
      <c r="F14" s="1307"/>
      <c r="G14" s="1308"/>
      <c r="H14" s="1315"/>
      <c r="I14" s="1305">
        <f>ROUND(D14*E14*F14*G14/10000,0)</f>
        <v>0</v>
      </c>
    </row>
    <row r="15" spans="1:9">
      <c r="A15" s="3209"/>
      <c r="B15" s="3211" t="s">
        <v>1088</v>
      </c>
      <c r="C15" s="3211"/>
      <c r="D15" s="1310"/>
      <c r="E15" s="1310">
        <f>SUM(E12:E14)</f>
        <v>0</v>
      </c>
      <c r="F15" s="1311"/>
      <c r="G15" s="1308"/>
      <c r="H15" s="1315"/>
      <c r="I15" s="1316">
        <f>SUM(I12:I14)</f>
        <v>0</v>
      </c>
    </row>
    <row r="16" spans="1:9" ht="24">
      <c r="A16" s="3209" t="s">
        <v>1098</v>
      </c>
      <c r="B16" s="3210" t="s">
        <v>1099</v>
      </c>
      <c r="C16" s="3210"/>
      <c r="D16" s="1306" t="s">
        <v>1075</v>
      </c>
      <c r="E16" s="1317" t="s">
        <v>1100</v>
      </c>
      <c r="F16" s="1307" t="s">
        <v>1101</v>
      </c>
      <c r="G16" s="1308" t="s">
        <v>1079</v>
      </c>
      <c r="H16" s="1314" t="s">
        <v>1094</v>
      </c>
      <c r="I16" s="1305" t="s">
        <v>1080</v>
      </c>
    </row>
    <row r="17" spans="1:9" ht="14.25">
      <c r="A17" s="3209"/>
      <c r="B17" s="3210" t="s">
        <v>1102</v>
      </c>
      <c r="C17" s="3210"/>
      <c r="D17" s="1306"/>
      <c r="E17" s="1306"/>
      <c r="F17" s="1307"/>
      <c r="G17" s="1308"/>
      <c r="H17" s="1318"/>
      <c r="I17" s="1319">
        <f>ROUND(D17*E17*F17*G17/10000,0)</f>
        <v>0</v>
      </c>
    </row>
    <row r="18" spans="1:9" ht="14.25">
      <c r="A18" s="3209"/>
      <c r="B18" s="3210" t="s">
        <v>1103</v>
      </c>
      <c r="C18" s="3210"/>
      <c r="D18" s="1306"/>
      <c r="E18" s="1306"/>
      <c r="F18" s="1307"/>
      <c r="G18" s="1308"/>
      <c r="H18" s="1318"/>
      <c r="I18" s="1319">
        <f>ROUND(D18*E18*F18*G18/10000,0)</f>
        <v>0</v>
      </c>
    </row>
    <row r="19" spans="1:9" ht="14.25">
      <c r="A19" s="3209"/>
      <c r="B19" s="3210" t="s">
        <v>1104</v>
      </c>
      <c r="C19" s="3210"/>
      <c r="D19" s="1306"/>
      <c r="E19" s="1306"/>
      <c r="F19" s="1307"/>
      <c r="G19" s="1308"/>
      <c r="H19" s="1318"/>
      <c r="I19" s="1319">
        <f>ROUND(D19*E19*F19*G19/10000,0)</f>
        <v>0</v>
      </c>
    </row>
    <row r="20" spans="1:9">
      <c r="A20" s="3209"/>
      <c r="B20" s="3211" t="s">
        <v>1088</v>
      </c>
      <c r="C20" s="3211"/>
      <c r="D20" s="1310">
        <f>SUM(D17:D19)</f>
        <v>0</v>
      </c>
      <c r="E20" s="1310"/>
      <c r="F20" s="1311"/>
      <c r="G20" s="1308"/>
      <c r="H20" s="1315"/>
      <c r="I20" s="1316">
        <f>SUM(I17:I19)</f>
        <v>0</v>
      </c>
    </row>
    <row r="21" spans="1:9">
      <c r="A21" s="3209" t="s">
        <v>1105</v>
      </c>
      <c r="B21" s="3212"/>
      <c r="C21" s="3212"/>
      <c r="D21" s="3212"/>
      <c r="E21" s="3212"/>
      <c r="F21" s="3212"/>
      <c r="G21" s="3212"/>
      <c r="H21" s="1768">
        <v>0.1</v>
      </c>
      <c r="I21" s="1313">
        <f>ROUND(I10*H21,0)</f>
        <v>0</v>
      </c>
    </row>
    <row r="22" spans="1:9" ht="14.25">
      <c r="A22" s="3213" t="s">
        <v>1106</v>
      </c>
      <c r="B22" s="3214"/>
      <c r="C22" s="3215"/>
      <c r="D22" s="1320" t="s">
        <v>1107</v>
      </c>
      <c r="E22" s="1320" t="s">
        <v>1108</v>
      </c>
      <c r="F22" s="1321" t="s">
        <v>1109</v>
      </c>
      <c r="G22" s="1321" t="s">
        <v>1110</v>
      </c>
      <c r="H22" s="1314" t="s">
        <v>1111</v>
      </c>
      <c r="I22" s="1305" t="s">
        <v>1112</v>
      </c>
    </row>
    <row r="23" spans="1:9" ht="14.25" thickBot="1">
      <c r="A23" s="3216"/>
      <c r="B23" s="3217"/>
      <c r="C23" s="3218"/>
      <c r="D23" s="1322"/>
      <c r="E23" s="1322"/>
      <c r="F23" s="1322"/>
      <c r="G23" s="1323"/>
      <c r="H23" s="1324"/>
      <c r="I23" s="1325">
        <f>ROUND(E23*D23*F23*(1-G23)/10000,0)</f>
        <v>0</v>
      </c>
    </row>
    <row r="26" spans="1:9">
      <c r="A26" s="1326" t="s">
        <v>1113</v>
      </c>
      <c r="B26" s="1326"/>
      <c r="C26" s="1326"/>
      <c r="D26" s="1326"/>
      <c r="E26" s="3206">
        <f>C27-C30-C31-C32</f>
        <v>0</v>
      </c>
      <c r="F26" s="3206"/>
      <c r="G26" s="3206"/>
      <c r="H26" s="1740" t="s">
        <v>1332</v>
      </c>
    </row>
    <row r="27" spans="1:9">
      <c r="A27" s="1327">
        <v>1</v>
      </c>
      <c r="B27" s="1328" t="s">
        <v>1114</v>
      </c>
      <c r="C27" s="1328">
        <f>C28+C29</f>
        <v>0</v>
      </c>
      <c r="D27" s="1328"/>
      <c r="E27" s="3207"/>
      <c r="F27" s="3207"/>
      <c r="G27" s="3207"/>
    </row>
    <row r="28" spans="1:9">
      <c r="A28" s="1329" t="s">
        <v>1115</v>
      </c>
      <c r="B28" s="1328" t="s">
        <v>1116</v>
      </c>
      <c r="C28" s="1328"/>
      <c r="D28" s="1328"/>
      <c r="E28" s="3207"/>
      <c r="F28" s="3207"/>
      <c r="G28" s="3207"/>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08"/>
      <c r="F32" s="3208"/>
      <c r="G32" s="3208"/>
    </row>
    <row r="33" spans="1:7" hidden="1">
      <c r="A33" s="3203" t="s">
        <v>1125</v>
      </c>
      <c r="B33" s="3204"/>
      <c r="C33" s="3204"/>
      <c r="D33" s="3205"/>
      <c r="E33" s="3206"/>
      <c r="F33" s="3206"/>
      <c r="G33" s="3206"/>
    </row>
    <row r="34" spans="1:7" hidden="1">
      <c r="A34" s="1331">
        <v>1</v>
      </c>
      <c r="B34" s="1328" t="s">
        <v>1126</v>
      </c>
      <c r="C34" s="1328"/>
      <c r="D34" s="1328"/>
      <c r="E34" s="3207"/>
      <c r="F34" s="3207"/>
      <c r="G34" s="3207"/>
    </row>
    <row r="35" spans="1:7" hidden="1">
      <c r="A35" s="1331">
        <v>2</v>
      </c>
      <c r="B35" s="1328" t="s">
        <v>1127</v>
      </c>
      <c r="C35" s="1328"/>
      <c r="D35" s="1328"/>
      <c r="E35" s="3207"/>
      <c r="F35" s="3207"/>
      <c r="G35" s="3207"/>
    </row>
    <row r="36" spans="1:7" hidden="1">
      <c r="A36" s="1331">
        <v>3</v>
      </c>
      <c r="B36" s="1328" t="s">
        <v>1128</v>
      </c>
      <c r="C36" s="1328"/>
      <c r="D36" s="1328"/>
      <c r="E36" s="3207"/>
      <c r="F36" s="3207"/>
      <c r="G36" s="3207"/>
    </row>
    <row r="37" spans="1:7" hidden="1">
      <c r="A37" s="1331">
        <v>4</v>
      </c>
      <c r="B37" s="1328" t="s">
        <v>1129</v>
      </c>
      <c r="C37" s="1328"/>
      <c r="D37" s="1328"/>
      <c r="E37" s="3207"/>
      <c r="F37" s="3207"/>
      <c r="G37" s="3207"/>
    </row>
    <row r="38" spans="1:7" hidden="1">
      <c r="A38" s="3203" t="s">
        <v>1130</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588" t="s">
        <v>2588</v>
      </c>
      <c r="C1" s="1637" t="s">
        <v>2477</v>
      </c>
      <c r="D1" s="1624"/>
      <c r="E1" s="2663"/>
      <c r="F1" s="2590"/>
      <c r="G1" s="1634" t="s">
        <v>2589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2274</v>
      </c>
      <c r="B2" s="1421" t="e">
        <f ca="1">IF(C2="——",ROUND(C49*D3/10000,0),ROUND(C49*D3/10000,0)-D2)</f>
        <v>#DIV/0!</v>
      </c>
      <c r="C2" s="2592"/>
      <c r="D2" s="1368" t="e">
        <f ca="1">SUMIF(INDIRECT("'"&amp;F2&amp;"'"&amp;"!A:A"),"承租人权益价值",INDIRECT("'"&amp;F2&amp;"'"&amp;"!c:c"))</f>
        <v>#REF!</v>
      </c>
      <c r="E2" s="2593" t="s">
        <v>2275</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2276</v>
      </c>
      <c r="B3" s="609" t="e">
        <f ca="1">IF(C2="——",C49,ROUND(B2*10000/D3,0))</f>
        <v>#DIV/0!</v>
      </c>
      <c r="C3" s="400" t="s">
        <v>2590</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2591</v>
      </c>
      <c r="B4" s="402"/>
      <c r="C4" s="3169" t="s">
        <v>2592</v>
      </c>
      <c r="D4" s="3170"/>
      <c r="E4" s="3171" t="s">
        <v>2593</v>
      </c>
      <c r="F4" s="3172"/>
      <c r="G4" s="3169" t="s">
        <v>2594</v>
      </c>
      <c r="H4" s="3170"/>
      <c r="I4" s="3169" t="s">
        <v>2595</v>
      </c>
      <c r="J4" s="3170"/>
      <c r="K4" s="610" t="s">
        <v>2596</v>
      </c>
      <c r="L4" s="1133"/>
      <c r="M4" s="1134"/>
      <c r="N4" s="1134"/>
      <c r="O4" s="1134"/>
      <c r="P4" s="3173" t="s">
        <v>2597</v>
      </c>
      <c r="Q4" s="3174"/>
      <c r="R4" s="3179" t="s">
        <v>2593</v>
      </c>
      <c r="S4" s="3180"/>
      <c r="T4" s="3179" t="s">
        <v>2594</v>
      </c>
      <c r="U4" s="3180"/>
      <c r="V4" s="3185" t="s">
        <v>2595</v>
      </c>
      <c r="W4" s="3185"/>
      <c r="X4" s="1816"/>
      <c r="Y4" s="3179" t="s">
        <v>2597</v>
      </c>
      <c r="Z4" s="3180"/>
      <c r="AA4" s="3166" t="s">
        <v>2593</v>
      </c>
      <c r="AB4" s="3185" t="s">
        <v>2594</v>
      </c>
      <c r="AC4" s="3166" t="s">
        <v>2595</v>
      </c>
    </row>
    <row r="5" spans="1:29" ht="15">
      <c r="A5" s="404"/>
      <c r="B5" s="405"/>
      <c r="C5" s="3224" t="s">
        <v>2489</v>
      </c>
      <c r="D5" s="3189"/>
      <c r="E5" s="3225" t="s">
        <v>2490</v>
      </c>
      <c r="F5" s="3196"/>
      <c r="G5" s="3224" t="s">
        <v>2491</v>
      </c>
      <c r="H5" s="3189"/>
      <c r="I5" s="3224" t="s">
        <v>2492</v>
      </c>
      <c r="J5" s="3189"/>
      <c r="K5" s="610"/>
      <c r="L5" s="1133"/>
      <c r="M5" s="1134"/>
      <c r="N5" s="1134"/>
      <c r="O5" s="1134"/>
      <c r="P5" s="3175"/>
      <c r="Q5" s="3176"/>
      <c r="R5" s="3181"/>
      <c r="S5" s="3182"/>
      <c r="T5" s="3181"/>
      <c r="U5" s="3182"/>
      <c r="V5" s="3185"/>
      <c r="W5" s="3185"/>
      <c r="X5" s="1816"/>
      <c r="Y5" s="3181"/>
      <c r="Z5" s="3182"/>
      <c r="AA5" s="3167"/>
      <c r="AB5" s="3185"/>
      <c r="AC5" s="3167"/>
    </row>
    <row r="6" spans="1:29" ht="15.75" thickBot="1">
      <c r="A6" s="406"/>
      <c r="B6" s="407"/>
      <c r="C6" s="3186" t="s">
        <v>2493</v>
      </c>
      <c r="D6" s="3187"/>
      <c r="E6" s="3193" t="s">
        <v>2493</v>
      </c>
      <c r="F6" s="3194"/>
      <c r="G6" s="3186" t="s">
        <v>2493</v>
      </c>
      <c r="H6" s="3187"/>
      <c r="I6" s="3186" t="s">
        <v>2493</v>
      </c>
      <c r="J6" s="3187"/>
      <c r="K6" s="610" t="s">
        <v>2494</v>
      </c>
      <c r="L6" s="1133"/>
      <c r="M6" s="1134"/>
      <c r="N6" s="1134"/>
      <c r="O6" s="1134"/>
      <c r="P6" s="3177"/>
      <c r="Q6" s="3178"/>
      <c r="R6" s="3181"/>
      <c r="S6" s="3182"/>
      <c r="T6" s="3183"/>
      <c r="U6" s="3184"/>
      <c r="V6" s="3185"/>
      <c r="W6" s="3185"/>
      <c r="X6" s="1816"/>
      <c r="Y6" s="3183"/>
      <c r="Z6" s="3184"/>
      <c r="AA6" s="3168"/>
      <c r="AB6" s="3185"/>
      <c r="AC6" s="3168"/>
    </row>
    <row r="7" spans="1:29" s="117" customFormat="1" ht="15.75" thickBot="1">
      <c r="A7" s="408" t="s">
        <v>2495</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2496</v>
      </c>
      <c r="Q7" s="3192"/>
      <c r="R7" s="770" t="s">
        <v>17</v>
      </c>
      <c r="S7" s="771">
        <f t="shared" ref="S7:S15" si="0">F7</f>
        <v>0</v>
      </c>
      <c r="T7" s="770" t="s">
        <v>17</v>
      </c>
      <c r="U7" s="771">
        <f t="shared" ref="U7:U15" si="1">H7</f>
        <v>0</v>
      </c>
      <c r="V7" s="770" t="s">
        <v>17</v>
      </c>
      <c r="W7" s="771">
        <f t="shared" ref="W7:W15" si="2">J7</f>
        <v>0</v>
      </c>
      <c r="X7" s="772"/>
      <c r="Y7" s="3190" t="s">
        <v>2496</v>
      </c>
      <c r="Z7" s="3191"/>
      <c r="AA7" s="773" t="e">
        <f>D7/F7</f>
        <v>#DIV/0!</v>
      </c>
      <c r="AB7" s="773" t="e">
        <f>D7/H7</f>
        <v>#DIV/0!</v>
      </c>
      <c r="AC7" s="773" t="e">
        <f>D7/J7</f>
        <v>#DIV/0!</v>
      </c>
    </row>
    <row r="8" spans="1:29" s="117" customFormat="1" ht="15.75" thickBot="1">
      <c r="A8" s="408" t="s">
        <v>2497</v>
      </c>
      <c r="B8" s="409"/>
      <c r="C8" s="414" t="s">
        <v>2598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2499</v>
      </c>
      <c r="Q8" s="3191"/>
      <c r="R8" s="770" t="s">
        <v>17</v>
      </c>
      <c r="S8" s="771">
        <f t="shared" si="0"/>
        <v>0</v>
      </c>
      <c r="T8" s="770" t="s">
        <v>17</v>
      </c>
      <c r="U8" s="771">
        <f t="shared" si="1"/>
        <v>0</v>
      </c>
      <c r="V8" s="770" t="s">
        <v>17</v>
      </c>
      <c r="W8" s="771">
        <f t="shared" si="2"/>
        <v>0</v>
      </c>
      <c r="X8" s="772"/>
      <c r="Y8" s="3190" t="s">
        <v>2499</v>
      </c>
      <c r="Z8" s="3191"/>
      <c r="AA8" s="773" t="e">
        <f t="shared" ref="AA8:AA46" si="3">D8/F8</f>
        <v>#DIV/0!</v>
      </c>
      <c r="AB8" s="773" t="e">
        <f t="shared" ref="AB8:AB46" si="4">D8/H8</f>
        <v>#DIV/0!</v>
      </c>
      <c r="AC8" s="773" t="e">
        <f t="shared" ref="AC8:AC46" si="5">D8/J8</f>
        <v>#DIV/0!</v>
      </c>
    </row>
    <row r="9" spans="1:29" s="117" customFormat="1">
      <c r="A9" s="415" t="s">
        <v>2500</v>
      </c>
      <c r="B9" s="71" t="s">
        <v>2501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2502</v>
      </c>
      <c r="Q9" s="1798" t="str">
        <f t="shared" ref="Q9:Q15" si="6">B9</f>
        <v>用途</v>
      </c>
      <c r="R9" s="770" t="s">
        <v>17</v>
      </c>
      <c r="S9" s="771">
        <f t="shared" si="0"/>
        <v>100</v>
      </c>
      <c r="T9" s="770" t="s">
        <v>17</v>
      </c>
      <c r="U9" s="771">
        <f t="shared" si="1"/>
        <v>100</v>
      </c>
      <c r="V9" s="770" t="s">
        <v>17</v>
      </c>
      <c r="W9" s="771">
        <f t="shared" si="2"/>
        <v>100</v>
      </c>
      <c r="X9" s="772"/>
      <c r="Y9" s="3006" t="s">
        <v>2503</v>
      </c>
      <c r="Z9" s="55" t="str">
        <f t="shared" ref="Z9:Z15" si="7">Q9</f>
        <v>用途</v>
      </c>
      <c r="AA9" s="773">
        <f t="shared" si="3"/>
        <v>1</v>
      </c>
      <c r="AB9" s="773">
        <f t="shared" si="4"/>
        <v>1</v>
      </c>
      <c r="AC9" s="773">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5">
      <c r="A15" s="440" t="s">
        <v>2506</v>
      </c>
      <c r="B15" s="69" t="s">
        <v>2599</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3" t="s">
        <v>2507</v>
      </c>
      <c r="Q15" s="1813" t="str">
        <f t="shared" si="6"/>
        <v>商业繁华度</v>
      </c>
      <c r="R15" s="774" t="s">
        <v>17</v>
      </c>
      <c r="S15" s="775">
        <f t="shared" si="0"/>
        <v>100</v>
      </c>
      <c r="T15" s="774" t="s">
        <v>17</v>
      </c>
      <c r="U15" s="775">
        <f t="shared" si="1"/>
        <v>100</v>
      </c>
      <c r="V15" s="774" t="s">
        <v>17</v>
      </c>
      <c r="W15" s="775">
        <f t="shared" si="2"/>
        <v>100</v>
      </c>
      <c r="X15" s="1816"/>
      <c r="Y15" s="3156" t="s">
        <v>2507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4"/>
      <c r="Q16" s="1813"/>
      <c r="R16" s="774"/>
      <c r="S16" s="775"/>
      <c r="T16" s="774"/>
      <c r="U16" s="775"/>
      <c r="V16" s="774"/>
      <c r="W16" s="775"/>
      <c r="X16" s="1816"/>
      <c r="Y16" s="3157"/>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4"/>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64"/>
      <c r="Q18" s="1813"/>
      <c r="R18" s="774"/>
      <c r="S18" s="775"/>
      <c r="T18" s="774"/>
      <c r="U18" s="775"/>
      <c r="V18" s="774"/>
      <c r="W18" s="775"/>
      <c r="X18" s="1816"/>
      <c r="Y18" s="3157"/>
      <c r="Z18" s="1817"/>
      <c r="AA18" s="1814">
        <v>1</v>
      </c>
      <c r="AB18" s="1814">
        <v>1</v>
      </c>
      <c r="AC18" s="1814">
        <v>1</v>
      </c>
    </row>
    <row r="19" spans="1:29" ht="42.75">
      <c r="A19" s="428"/>
      <c r="B19" s="451" t="s">
        <v>2600</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4"/>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64"/>
      <c r="Q20" s="1813"/>
      <c r="R20" s="774"/>
      <c r="S20" s="775"/>
      <c r="T20" s="774"/>
      <c r="U20" s="775"/>
      <c r="V20" s="774"/>
      <c r="W20" s="775"/>
      <c r="X20" s="1816"/>
      <c r="Y20" s="3157"/>
      <c r="Z20" s="1817"/>
      <c r="AA20" s="1814">
        <v>1</v>
      </c>
      <c r="AB20" s="1814">
        <v>1</v>
      </c>
      <c r="AC20" s="1814">
        <v>1</v>
      </c>
    </row>
    <row r="21" spans="1:29" ht="42.75">
      <c r="A21" s="428"/>
      <c r="B21" s="1387" t="s">
        <v>2601</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64"/>
      <c r="Q22" s="1813"/>
      <c r="R22" s="774"/>
      <c r="S22" s="775"/>
      <c r="T22" s="774"/>
      <c r="U22" s="775"/>
      <c r="V22" s="774"/>
      <c r="W22" s="775"/>
      <c r="X22" s="1816"/>
      <c r="Y22" s="3157"/>
      <c r="Z22" s="1817"/>
      <c r="AA22" s="1814">
        <v>1</v>
      </c>
      <c r="AB22" s="1814">
        <v>1</v>
      </c>
      <c r="AC22" s="1814">
        <v>1</v>
      </c>
    </row>
    <row r="23" spans="1:29" ht="71.25">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4"/>
      <c r="Q23" s="1813" t="str">
        <f>B23</f>
        <v>自然及人文环境</v>
      </c>
      <c r="R23" s="774" t="s">
        <v>17</v>
      </c>
      <c r="S23" s="775">
        <f>F23</f>
        <v>100</v>
      </c>
      <c r="T23" s="774" t="s">
        <v>17</v>
      </c>
      <c r="U23" s="775">
        <f>H23</f>
        <v>100</v>
      </c>
      <c r="V23" s="774" t="s">
        <v>17</v>
      </c>
      <c r="W23" s="775">
        <f>J23</f>
        <v>100</v>
      </c>
      <c r="X23" s="1816"/>
      <c r="Y23" s="3157"/>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64"/>
      <c r="Q24" s="1813"/>
      <c r="R24" s="774"/>
      <c r="S24" s="775"/>
      <c r="T24" s="774"/>
      <c r="U24" s="775"/>
      <c r="V24" s="774"/>
      <c r="W24" s="775"/>
      <c r="X24" s="1816"/>
      <c r="Y24" s="3157"/>
      <c r="Z24" s="1817"/>
      <c r="AA24" s="1814">
        <v>1</v>
      </c>
      <c r="AB24" s="1814">
        <v>1</v>
      </c>
      <c r="AC24" s="1814">
        <v>1</v>
      </c>
    </row>
    <row r="25" spans="1:29" ht="15">
      <c r="A25" s="428"/>
      <c r="B25" s="422" t="s">
        <v>2602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4"/>
      <c r="Q25" s="1813" t="str">
        <f t="shared" ref="Q25:Q46" si="11">B25</f>
        <v>临街状况</v>
      </c>
      <c r="R25" s="774" t="s">
        <v>17</v>
      </c>
      <c r="S25" s="775">
        <f>F25</f>
        <v>100</v>
      </c>
      <c r="T25" s="774" t="s">
        <v>17</v>
      </c>
      <c r="U25" s="775">
        <f>H25</f>
        <v>100</v>
      </c>
      <c r="V25" s="774" t="s">
        <v>17</v>
      </c>
      <c r="W25" s="775">
        <f>J25</f>
        <v>100</v>
      </c>
      <c r="X25" s="1816"/>
      <c r="Y25" s="3157"/>
      <c r="Z25" s="1817" t="str">
        <f>Q25</f>
        <v>临街状况</v>
      </c>
      <c r="AA25" s="1814">
        <f t="shared" si="3"/>
        <v>1</v>
      </c>
      <c r="AB25" s="1814">
        <f t="shared" si="4"/>
        <v>1</v>
      </c>
      <c r="AC25" s="1814">
        <f t="shared" si="5"/>
        <v>1</v>
      </c>
    </row>
    <row r="26" spans="1:29" ht="15">
      <c r="A26" s="428"/>
      <c r="B26" s="1389" t="s">
        <v>2603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4"/>
      <c r="Q26" s="1813" t="str">
        <f t="shared" si="11"/>
        <v>平面位置/可视性</v>
      </c>
      <c r="R26" s="774" t="s">
        <v>17</v>
      </c>
      <c r="S26" s="775">
        <f>F26</f>
        <v>100</v>
      </c>
      <c r="T26" s="774" t="s">
        <v>17</v>
      </c>
      <c r="U26" s="775">
        <f>H26</f>
        <v>100</v>
      </c>
      <c r="V26" s="774" t="s">
        <v>17</v>
      </c>
      <c r="W26" s="775">
        <f>J26</f>
        <v>100</v>
      </c>
      <c r="X26" s="1816"/>
      <c r="Y26" s="3157"/>
      <c r="Z26" s="1817" t="str">
        <f>Q26</f>
        <v>平面位置/可视性</v>
      </c>
      <c r="AA26" s="1814">
        <f t="shared" si="3"/>
        <v>1</v>
      </c>
      <c r="AB26" s="1814">
        <f t="shared" si="4"/>
        <v>1</v>
      </c>
      <c r="AC26" s="1814">
        <f t="shared" si="5"/>
        <v>1</v>
      </c>
    </row>
    <row r="27" spans="1:29" s="117" customFormat="1" ht="15">
      <c r="A27" s="431"/>
      <c r="B27" s="451" t="s">
        <v>2604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4"/>
      <c r="Q27" s="1798" t="str">
        <f t="shared" si="11"/>
        <v>人流量</v>
      </c>
      <c r="R27" s="770" t="s">
        <v>17</v>
      </c>
      <c r="S27" s="771">
        <f>F27</f>
        <v>100</v>
      </c>
      <c r="T27" s="770" t="s">
        <v>17</v>
      </c>
      <c r="U27" s="771">
        <f>H27</f>
        <v>100</v>
      </c>
      <c r="V27" s="770" t="s">
        <v>17</v>
      </c>
      <c r="W27" s="771">
        <f>J27</f>
        <v>100</v>
      </c>
      <c r="X27" s="772"/>
      <c r="Y27" s="3157"/>
      <c r="Z27" s="55" t="str">
        <f>Q27</f>
        <v>人流量</v>
      </c>
      <c r="AA27" s="1814">
        <f>D27/F27</f>
        <v>1</v>
      </c>
      <c r="AB27" s="1814">
        <f>D27/H27</f>
        <v>1</v>
      </c>
      <c r="AC27" s="1814">
        <f>D27/J27</f>
        <v>1</v>
      </c>
    </row>
    <row r="28" spans="1:29" ht="15">
      <c r="A28" s="428"/>
      <c r="B28" s="422" t="s">
        <v>2605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4"/>
      <c r="Q29" s="1813">
        <f t="shared" si="11"/>
        <v>111</v>
      </c>
      <c r="R29" s="774" t="s">
        <v>17</v>
      </c>
      <c r="S29" s="775">
        <f t="shared" si="12"/>
        <v>100</v>
      </c>
      <c r="T29" s="774" t="s">
        <v>17</v>
      </c>
      <c r="U29" s="775">
        <f t="shared" si="13"/>
        <v>100</v>
      </c>
      <c r="V29" s="774" t="s">
        <v>17</v>
      </c>
      <c r="W29" s="775">
        <f t="shared" si="14"/>
        <v>100</v>
      </c>
      <c r="X29" s="1816"/>
      <c r="Y29" s="315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4"/>
      <c r="Q30" s="1813">
        <f t="shared" si="11"/>
        <v>111</v>
      </c>
      <c r="R30" s="774" t="s">
        <v>17</v>
      </c>
      <c r="S30" s="775">
        <f t="shared" si="12"/>
        <v>100</v>
      </c>
      <c r="T30" s="774" t="s">
        <v>17</v>
      </c>
      <c r="U30" s="775">
        <f t="shared" si="13"/>
        <v>100</v>
      </c>
      <c r="V30" s="774" t="s">
        <v>17</v>
      </c>
      <c r="W30" s="775">
        <f t="shared" si="14"/>
        <v>100</v>
      </c>
      <c r="X30" s="1816"/>
      <c r="Y30" s="315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4"/>
      <c r="Q31" s="1813">
        <f t="shared" si="11"/>
        <v>111</v>
      </c>
      <c r="R31" s="774" t="s">
        <v>17</v>
      </c>
      <c r="S31" s="775">
        <f t="shared" si="12"/>
        <v>100</v>
      </c>
      <c r="T31" s="774" t="s">
        <v>17</v>
      </c>
      <c r="U31" s="775">
        <f t="shared" si="13"/>
        <v>100</v>
      </c>
      <c r="V31" s="774" t="s">
        <v>17</v>
      </c>
      <c r="W31" s="775">
        <f t="shared" si="14"/>
        <v>100</v>
      </c>
      <c r="X31" s="1816"/>
      <c r="Y31" s="3157"/>
      <c r="Z31" s="1817">
        <f t="shared" si="15"/>
        <v>111</v>
      </c>
      <c r="AA31" s="1814">
        <f t="shared" si="3"/>
        <v>1</v>
      </c>
      <c r="AB31" s="1814">
        <f t="shared" si="4"/>
        <v>1</v>
      </c>
      <c r="AC31" s="1814">
        <f t="shared" si="5"/>
        <v>1</v>
      </c>
    </row>
    <row r="32" spans="1:29" ht="15">
      <c r="A32" s="440" t="s">
        <v>2510</v>
      </c>
      <c r="B32" s="71" t="s">
        <v>2606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58" t="s">
        <v>2512</v>
      </c>
      <c r="Q32" s="1813" t="str">
        <f t="shared" si="11"/>
        <v>商业类型</v>
      </c>
      <c r="R32" s="774" t="s">
        <v>17</v>
      </c>
      <c r="S32" s="775">
        <f t="shared" si="12"/>
        <v>100</v>
      </c>
      <c r="T32" s="774" t="s">
        <v>17</v>
      </c>
      <c r="U32" s="775">
        <f t="shared" si="13"/>
        <v>100</v>
      </c>
      <c r="V32" s="774" t="s">
        <v>17</v>
      </c>
      <c r="W32" s="775">
        <f t="shared" si="14"/>
        <v>100</v>
      </c>
      <c r="X32" s="1816"/>
      <c r="Y32" s="3161" t="s">
        <v>2512</v>
      </c>
      <c r="Z32" s="1817" t="str">
        <f t="shared" si="15"/>
        <v>商业类型</v>
      </c>
      <c r="AA32" s="1814">
        <f t="shared" si="3"/>
        <v>1</v>
      </c>
      <c r="AB32" s="1814">
        <f t="shared" si="4"/>
        <v>1</v>
      </c>
      <c r="AC32" s="1814">
        <f t="shared" si="5"/>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4" t="e">
        <f t="shared" si="3"/>
        <v>#N/A</v>
      </c>
      <c r="AB33" s="1814" t="e">
        <f t="shared" si="4"/>
        <v>#N/A</v>
      </c>
      <c r="AC33" s="1814" t="e">
        <f t="shared" si="5"/>
        <v>#N/A</v>
      </c>
    </row>
    <row r="34" spans="1:29" ht="15">
      <c r="A34" s="472"/>
      <c r="B34" s="422" t="s">
        <v>2514</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59"/>
      <c r="Q34" s="1813" t="str">
        <f t="shared" si="11"/>
        <v>建筑结构</v>
      </c>
      <c r="R34" s="774" t="s">
        <v>17</v>
      </c>
      <c r="S34" s="775">
        <f t="shared" si="12"/>
        <v>100</v>
      </c>
      <c r="T34" s="774" t="s">
        <v>17</v>
      </c>
      <c r="U34" s="775">
        <f t="shared" si="13"/>
        <v>100</v>
      </c>
      <c r="V34" s="774" t="s">
        <v>17</v>
      </c>
      <c r="W34" s="775">
        <f t="shared" si="14"/>
        <v>100</v>
      </c>
      <c r="X34" s="1816"/>
      <c r="Y34" s="3161"/>
      <c r="Z34" s="1817" t="str">
        <f t="shared" si="15"/>
        <v>建筑结构</v>
      </c>
      <c r="AA34" s="1814">
        <f t="shared" si="3"/>
        <v>1</v>
      </c>
      <c r="AB34" s="1814">
        <f t="shared" si="4"/>
        <v>1</v>
      </c>
      <c r="AC34" s="1814">
        <f t="shared" si="5"/>
        <v>1</v>
      </c>
    </row>
    <row r="35" spans="1:29" ht="15">
      <c r="A35" s="472"/>
      <c r="B35" s="422" t="s">
        <v>2607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59"/>
      <c r="Q35" s="1813" t="str">
        <f t="shared" si="11"/>
        <v>公共部分装修</v>
      </c>
      <c r="R35" s="774" t="s">
        <v>17</v>
      </c>
      <c r="S35" s="775">
        <f t="shared" si="12"/>
        <v>100</v>
      </c>
      <c r="T35" s="774" t="s">
        <v>17</v>
      </c>
      <c r="U35" s="775">
        <f t="shared" si="13"/>
        <v>100</v>
      </c>
      <c r="V35" s="774" t="s">
        <v>17</v>
      </c>
      <c r="W35" s="775">
        <f t="shared" si="14"/>
        <v>100</v>
      </c>
      <c r="X35" s="1816"/>
      <c r="Y35" s="3161"/>
      <c r="Z35" s="1817" t="str">
        <f t="shared" si="15"/>
        <v>公共部分装修</v>
      </c>
      <c r="AA35" s="1814">
        <f t="shared" si="3"/>
        <v>1</v>
      </c>
      <c r="AB35" s="1814">
        <f t="shared" si="4"/>
        <v>1</v>
      </c>
      <c r="AC35" s="1814">
        <f t="shared" si="5"/>
        <v>1</v>
      </c>
    </row>
    <row r="36" spans="1:29" ht="15">
      <c r="A36" s="472"/>
      <c r="B36" s="422" t="s">
        <v>2608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9"/>
      <c r="Q36" s="1813" t="str">
        <f t="shared" si="11"/>
        <v>成新度</v>
      </c>
      <c r="R36" s="774" t="s">
        <v>17</v>
      </c>
      <c r="S36" s="775" t="e">
        <f t="shared" si="12"/>
        <v>#N/A</v>
      </c>
      <c r="T36" s="774" t="s">
        <v>17</v>
      </c>
      <c r="U36" s="775" t="e">
        <f t="shared" si="13"/>
        <v>#N/A</v>
      </c>
      <c r="V36" s="774" t="s">
        <v>17</v>
      </c>
      <c r="W36" s="775" t="e">
        <f t="shared" si="14"/>
        <v>#N/A</v>
      </c>
      <c r="X36" s="1816"/>
      <c r="Y36" s="3161"/>
      <c r="Z36" s="1817" t="str">
        <f t="shared" si="15"/>
        <v>成新度</v>
      </c>
      <c r="AA36" s="1814" t="e">
        <f t="shared" si="3"/>
        <v>#N/A</v>
      </c>
      <c r="AB36" s="1814" t="e">
        <f t="shared" si="4"/>
        <v>#N/A</v>
      </c>
      <c r="AC36" s="1814" t="e">
        <f t="shared" si="5"/>
        <v>#N/A</v>
      </c>
    </row>
    <row r="37" spans="1:29" s="117" customFormat="1" ht="15">
      <c r="A37" s="473"/>
      <c r="B37" s="422" t="s">
        <v>2609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59"/>
      <c r="Q37" s="1798"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2610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59" t="s">
        <v>2512</v>
      </c>
      <c r="Q38" s="1813" t="str">
        <f t="shared" si="11"/>
        <v>业态</v>
      </c>
      <c r="R38" s="774" t="s">
        <v>17</v>
      </c>
      <c r="S38" s="775">
        <f t="shared" si="12"/>
        <v>100</v>
      </c>
      <c r="T38" s="774" t="s">
        <v>17</v>
      </c>
      <c r="U38" s="775">
        <f t="shared" si="13"/>
        <v>100</v>
      </c>
      <c r="V38" s="774" t="s">
        <v>17</v>
      </c>
      <c r="W38" s="775">
        <f t="shared" si="14"/>
        <v>100</v>
      </c>
      <c r="X38" s="1816"/>
      <c r="Y38" s="3161" t="s">
        <v>2512</v>
      </c>
      <c r="Z38" s="1817" t="str">
        <f t="shared" si="15"/>
        <v>业态</v>
      </c>
      <c r="AA38" s="1814">
        <f t="shared" si="3"/>
        <v>1</v>
      </c>
      <c r="AB38" s="1814">
        <f t="shared" si="4"/>
        <v>1</v>
      </c>
      <c r="AC38" s="1814">
        <f t="shared" si="5"/>
        <v>1</v>
      </c>
    </row>
    <row r="39" spans="1:29" ht="15">
      <c r="A39" s="472"/>
      <c r="B39" s="422" t="s">
        <v>2611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59"/>
      <c r="Q39" s="1813" t="str">
        <f t="shared" si="11"/>
        <v>层高</v>
      </c>
      <c r="R39" s="774" t="s">
        <v>17</v>
      </c>
      <c r="S39" s="775">
        <f t="shared" si="12"/>
        <v>100</v>
      </c>
      <c r="T39" s="774" t="s">
        <v>17</v>
      </c>
      <c r="U39" s="775">
        <f t="shared" si="13"/>
        <v>100</v>
      </c>
      <c r="V39" s="774" t="s">
        <v>17</v>
      </c>
      <c r="W39" s="775">
        <f t="shared" si="14"/>
        <v>100</v>
      </c>
      <c r="X39" s="1816"/>
      <c r="Y39" s="3161"/>
      <c r="Z39" s="1817" t="str">
        <f t="shared" si="15"/>
        <v>层高</v>
      </c>
      <c r="AA39" s="1814">
        <f t="shared" si="3"/>
        <v>1</v>
      </c>
      <c r="AB39" s="1814">
        <f t="shared" si="4"/>
        <v>1</v>
      </c>
      <c r="AC39" s="1814">
        <f t="shared" si="5"/>
        <v>1</v>
      </c>
    </row>
    <row r="40" spans="1:29" ht="15">
      <c r="A40" s="472"/>
      <c r="B40" s="422" t="s">
        <v>2612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9"/>
      <c r="Q40" s="1813" t="str">
        <f t="shared" si="11"/>
        <v>单套建筑面积</v>
      </c>
      <c r="R40" s="774" t="s">
        <v>17</v>
      </c>
      <c r="S40" s="775">
        <f t="shared" si="12"/>
        <v>100</v>
      </c>
      <c r="T40" s="774" t="s">
        <v>17</v>
      </c>
      <c r="U40" s="775">
        <f t="shared" si="13"/>
        <v>100</v>
      </c>
      <c r="V40" s="774" t="s">
        <v>17</v>
      </c>
      <c r="W40" s="775">
        <f t="shared" si="14"/>
        <v>100</v>
      </c>
      <c r="X40" s="1816"/>
      <c r="Y40" s="3161"/>
      <c r="Z40" s="1817" t="str">
        <f t="shared" si="15"/>
        <v>单套建筑面积</v>
      </c>
      <c r="AA40" s="1814">
        <f t="shared" si="3"/>
        <v>1</v>
      </c>
      <c r="AB40" s="1814">
        <f t="shared" si="4"/>
        <v>1</v>
      </c>
      <c r="AC40" s="1814">
        <f t="shared" si="5"/>
        <v>1</v>
      </c>
    </row>
    <row r="41" spans="1:29" s="471" customFormat="1" ht="15">
      <c r="A41" s="468"/>
      <c r="B41" s="1815" t="s">
        <v>2613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4">
        <f t="shared" si="3"/>
        <v>1</v>
      </c>
      <c r="AB41" s="1814">
        <f t="shared" si="4"/>
        <v>1</v>
      </c>
      <c r="AC41" s="1814">
        <f t="shared" si="5"/>
        <v>1</v>
      </c>
    </row>
    <row r="42" spans="1:29" ht="15">
      <c r="A42" s="472"/>
      <c r="B42" s="422" t="s">
        <v>2614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59"/>
      <c r="Q42" s="1813" t="str">
        <f t="shared" si="11"/>
        <v>内部装修</v>
      </c>
      <c r="R42" s="774" t="s">
        <v>17</v>
      </c>
      <c r="S42" s="775">
        <f t="shared" si="12"/>
        <v>100</v>
      </c>
      <c r="T42" s="774" t="s">
        <v>17</v>
      </c>
      <c r="U42" s="775">
        <f t="shared" si="13"/>
        <v>100</v>
      </c>
      <c r="V42" s="774" t="s">
        <v>17</v>
      </c>
      <c r="W42" s="775">
        <f t="shared" si="14"/>
        <v>100</v>
      </c>
      <c r="X42" s="1816"/>
      <c r="Y42" s="3161"/>
      <c r="Z42" s="1817" t="str">
        <f t="shared" si="15"/>
        <v>内部装修</v>
      </c>
      <c r="AA42" s="1814">
        <f t="shared" si="3"/>
        <v>1</v>
      </c>
      <c r="AB42" s="1814">
        <f t="shared" si="4"/>
        <v>1</v>
      </c>
      <c r="AC42" s="1814">
        <f t="shared" si="5"/>
        <v>1</v>
      </c>
    </row>
    <row r="43" spans="1:29" ht="15">
      <c r="A43" s="472"/>
      <c r="B43" s="422" t="s">
        <v>2523</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59"/>
      <c r="Q43" s="1813" t="str">
        <f t="shared" si="11"/>
        <v>内部装修维护情况</v>
      </c>
      <c r="R43" s="774" t="s">
        <v>17</v>
      </c>
      <c r="S43" s="775">
        <f t="shared" si="12"/>
        <v>100</v>
      </c>
      <c r="T43" s="774" t="s">
        <v>17</v>
      </c>
      <c r="U43" s="775">
        <f t="shared" si="13"/>
        <v>100</v>
      </c>
      <c r="V43" s="774" t="s">
        <v>17</v>
      </c>
      <c r="W43" s="775">
        <f t="shared" si="14"/>
        <v>100</v>
      </c>
      <c r="X43" s="1816"/>
      <c r="Y43" s="31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9"/>
      <c r="Q44" s="1798">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9"/>
      <c r="Q45" s="1813">
        <f t="shared" si="11"/>
        <v>111</v>
      </c>
      <c r="R45" s="774" t="s">
        <v>17</v>
      </c>
      <c r="S45" s="775">
        <f t="shared" si="12"/>
        <v>100</v>
      </c>
      <c r="T45" s="774" t="s">
        <v>17</v>
      </c>
      <c r="U45" s="775">
        <f t="shared" si="13"/>
        <v>100</v>
      </c>
      <c r="V45" s="774" t="s">
        <v>17</v>
      </c>
      <c r="W45" s="775">
        <f t="shared" si="14"/>
        <v>100</v>
      </c>
      <c r="X45" s="1816"/>
      <c r="Y45" s="3161"/>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0"/>
      <c r="Q46" s="1813">
        <f t="shared" si="11"/>
        <v>111</v>
      </c>
      <c r="R46" s="774" t="s">
        <v>17</v>
      </c>
      <c r="S46" s="775">
        <f t="shared" si="12"/>
        <v>100</v>
      </c>
      <c r="T46" s="774" t="s">
        <v>17</v>
      </c>
      <c r="U46" s="775">
        <f t="shared" si="13"/>
        <v>100</v>
      </c>
      <c r="V46" s="774" t="s">
        <v>17</v>
      </c>
      <c r="W46" s="775">
        <f t="shared" si="14"/>
        <v>100</v>
      </c>
      <c r="X46" s="1816"/>
      <c r="Y46" s="3162"/>
      <c r="Z46" s="1817">
        <f t="shared" si="15"/>
        <v>111</v>
      </c>
      <c r="AA46" s="1814">
        <f t="shared" si="3"/>
        <v>1</v>
      </c>
      <c r="AB46" s="1814">
        <f t="shared" si="4"/>
        <v>1</v>
      </c>
      <c r="AC46" s="1814">
        <f t="shared" si="5"/>
        <v>1</v>
      </c>
    </row>
    <row r="47" spans="1:29" ht="15">
      <c r="A47" s="479" t="s">
        <v>2524</v>
      </c>
      <c r="B47" s="480"/>
      <c r="C47" s="1410" t="s">
        <v>1</v>
      </c>
      <c r="D47" s="1411"/>
      <c r="E47" s="1412"/>
      <c r="F47" s="1413"/>
      <c r="G47" s="1414"/>
      <c r="H47" s="1415"/>
      <c r="I47" s="1412"/>
      <c r="J47" s="1415"/>
      <c r="K47" s="783"/>
      <c r="L47" s="1146"/>
      <c r="M47" s="1147"/>
      <c r="N47" s="1134"/>
      <c r="O47" s="1147"/>
      <c r="P47" s="3154" t="str">
        <f>A47</f>
        <v>成交单价（元/平方米）</v>
      </c>
      <c r="Q47" s="3154"/>
      <c r="R47" s="3185">
        <f>E47</f>
        <v>0</v>
      </c>
      <c r="S47" s="3185"/>
      <c r="T47" s="3185">
        <f>G47</f>
        <v>0</v>
      </c>
      <c r="U47" s="3185"/>
      <c r="V47" s="3185">
        <f>I47</f>
        <v>0</v>
      </c>
      <c r="W47" s="3185"/>
      <c r="X47" s="759"/>
      <c r="Y47" s="781"/>
      <c r="Z47" s="759"/>
      <c r="AA47" s="759"/>
      <c r="AB47" s="759"/>
      <c r="AC47" s="759"/>
    </row>
    <row r="48" spans="1:29" ht="15.75" thickBot="1">
      <c r="A48" s="486" t="s">
        <v>2615</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2616</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2495</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2531</v>
      </c>
      <c r="B60" s="516"/>
      <c r="C60" s="517"/>
      <c r="D60" s="518"/>
      <c r="E60" s="518"/>
      <c r="F60" s="518"/>
      <c r="G60" s="518"/>
      <c r="H60" s="518"/>
      <c r="I60" s="518"/>
      <c r="J60" s="518"/>
      <c r="K60" s="518"/>
      <c r="L60" s="518"/>
      <c r="M60" s="519"/>
      <c r="N60" s="518"/>
      <c r="O60" s="519"/>
      <c r="P60" s="2634"/>
      <c r="Q60" s="504"/>
    </row>
    <row r="61" spans="1:29" s="117" customFormat="1" ht="15">
      <c r="A61" s="521" t="s">
        <v>2497</v>
      </c>
      <c r="B61" s="510"/>
      <c r="C61" s="522" t="s">
        <v>2598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2534</v>
      </c>
      <c r="B63" s="528" t="s">
        <v>2501</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2504</v>
      </c>
      <c r="C65" s="539" t="s">
        <v>2535</v>
      </c>
      <c r="D65" s="539" t="s">
        <v>2536</v>
      </c>
      <c r="E65" s="539" t="s">
        <v>2537</v>
      </c>
      <c r="F65" s="539" t="s">
        <v>2538</v>
      </c>
      <c r="G65" s="539" t="s">
        <v>2539</v>
      </c>
      <c r="H65" s="539" t="s">
        <v>2540</v>
      </c>
      <c r="I65" s="539" t="s">
        <v>2541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2505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2506</v>
      </c>
      <c r="B76" s="528" t="s">
        <v>2542</v>
      </c>
      <c r="C76" s="573" t="s">
        <v>2543</v>
      </c>
      <c r="D76" s="573" t="s">
        <v>2544</v>
      </c>
      <c r="E76" s="573" t="s">
        <v>2545</v>
      </c>
      <c r="F76" s="573" t="s">
        <v>2546</v>
      </c>
      <c r="G76" s="573" t="s">
        <v>2547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2601</v>
      </c>
      <c r="C82" s="660" t="s">
        <v>2621</v>
      </c>
      <c r="D82" s="660" t="s">
        <v>2622</v>
      </c>
      <c r="E82" s="660" t="s">
        <v>2623</v>
      </c>
      <c r="F82" s="660" t="s">
        <v>2624</v>
      </c>
      <c r="G82" s="660" t="s">
        <v>2625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2626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2510</v>
      </c>
      <c r="B100" s="528" t="s">
        <v>2627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2559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675" t="s">
        <v>2632</v>
      </c>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IF(C2="——",ROUND(C50*D3/10000,0),ROUND(C50*D3/10000,0)-D2)</f>
        <v>#DIV/0!</v>
      </c>
      <c r="C2" s="2592"/>
      <c r="D2" s="1368" t="e">
        <f ca="1">SUMIF(INDIRECT("'"&amp;F2&amp;"'"&amp;"!A:A"),"承租人权益价值",INDIRECT("'"&amp;F2&amp;"'"&amp;"!c:c"))</f>
        <v>#REF!</v>
      </c>
      <c r="E2" s="2593" t="s">
        <v>2275</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 ca="1">IF(C2="——",C50,ROUND(B2*10000/D3,0))</f>
        <v>#DIV/0!</v>
      </c>
      <c r="C3" s="400" t="s">
        <v>2590</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2591</v>
      </c>
      <c r="B4" s="402"/>
      <c r="C4" s="3169" t="s">
        <v>2592</v>
      </c>
      <c r="D4" s="3170"/>
      <c r="E4" s="3171" t="s">
        <v>2593</v>
      </c>
      <c r="F4" s="3172"/>
      <c r="G4" s="3169" t="s">
        <v>2594</v>
      </c>
      <c r="H4" s="3170"/>
      <c r="I4" s="3169" t="s">
        <v>2595</v>
      </c>
      <c r="J4" s="3170"/>
      <c r="K4" s="610" t="s">
        <v>2596</v>
      </c>
      <c r="L4" s="1133"/>
      <c r="M4" s="1134"/>
      <c r="N4" s="1134"/>
      <c r="O4" s="1134"/>
      <c r="P4" s="3232" t="s">
        <v>2597</v>
      </c>
      <c r="Q4" s="3233"/>
      <c r="R4" s="3236" t="s">
        <v>2593</v>
      </c>
      <c r="S4" s="3237"/>
      <c r="T4" s="3236" t="s">
        <v>2594</v>
      </c>
      <c r="U4" s="3237"/>
      <c r="V4" s="3238" t="s">
        <v>2595</v>
      </c>
      <c r="W4" s="3238"/>
      <c r="X4" s="2676"/>
      <c r="Y4" s="3236" t="s">
        <v>2597</v>
      </c>
      <c r="Z4" s="3237"/>
      <c r="AA4" s="3240" t="s">
        <v>2593</v>
      </c>
      <c r="AB4" s="3240" t="s">
        <v>2594</v>
      </c>
      <c r="AC4" s="3229" t="s">
        <v>2595</v>
      </c>
    </row>
    <row r="5" spans="1:29" ht="15">
      <c r="A5" s="404"/>
      <c r="B5" s="405"/>
      <c r="C5" s="3224" t="s">
        <v>2489</v>
      </c>
      <c r="D5" s="3189"/>
      <c r="E5" s="3225" t="s">
        <v>2490</v>
      </c>
      <c r="F5" s="3196"/>
      <c r="G5" s="3224" t="s">
        <v>2491</v>
      </c>
      <c r="H5" s="3189"/>
      <c r="I5" s="3224" t="s">
        <v>2492</v>
      </c>
      <c r="J5" s="3189"/>
      <c r="K5" s="610"/>
      <c r="L5" s="1133"/>
      <c r="M5" s="1134"/>
      <c r="N5" s="1134"/>
      <c r="O5" s="1134"/>
      <c r="P5" s="3234"/>
      <c r="Q5" s="3176"/>
      <c r="R5" s="3181"/>
      <c r="S5" s="3182"/>
      <c r="T5" s="3181"/>
      <c r="U5" s="3182"/>
      <c r="V5" s="3185"/>
      <c r="W5" s="3185"/>
      <c r="X5" s="1816"/>
      <c r="Y5" s="3181"/>
      <c r="Z5" s="3182"/>
      <c r="AA5" s="3167"/>
      <c r="AB5" s="3167"/>
      <c r="AC5" s="3230"/>
    </row>
    <row r="6" spans="1:29" ht="15.75" thickBot="1">
      <c r="A6" s="406"/>
      <c r="B6" s="407"/>
      <c r="C6" s="3186" t="s">
        <v>2493</v>
      </c>
      <c r="D6" s="3187"/>
      <c r="E6" s="3193" t="s">
        <v>2493</v>
      </c>
      <c r="F6" s="3194"/>
      <c r="G6" s="3186" t="s">
        <v>2493</v>
      </c>
      <c r="H6" s="3187"/>
      <c r="I6" s="3186" t="s">
        <v>2493</v>
      </c>
      <c r="J6" s="3187"/>
      <c r="K6" s="610" t="s">
        <v>2494</v>
      </c>
      <c r="L6" s="1133"/>
      <c r="M6" s="1134"/>
      <c r="N6" s="1134"/>
      <c r="O6" s="1134"/>
      <c r="P6" s="3235"/>
      <c r="Q6" s="3178"/>
      <c r="R6" s="3181"/>
      <c r="S6" s="3182"/>
      <c r="T6" s="3183"/>
      <c r="U6" s="3184"/>
      <c r="V6" s="3185"/>
      <c r="W6" s="3185"/>
      <c r="X6" s="1816"/>
      <c r="Y6" s="3183"/>
      <c r="Z6" s="3184"/>
      <c r="AA6" s="3168"/>
      <c r="AB6" s="3168"/>
      <c r="AC6" s="3231"/>
    </row>
    <row r="7" spans="1:29" s="117" customFormat="1" ht="15.75" thickBot="1">
      <c r="A7" s="408" t="s">
        <v>2495</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9" t="s">
        <v>2496</v>
      </c>
      <c r="Q7" s="3192"/>
      <c r="R7" s="770" t="s">
        <v>17</v>
      </c>
      <c r="S7" s="771">
        <f t="shared" ref="S7:S15" si="0">F7</f>
        <v>0</v>
      </c>
      <c r="T7" s="770" t="s">
        <v>17</v>
      </c>
      <c r="U7" s="771">
        <f t="shared" ref="U7:U15" si="1">H7</f>
        <v>0</v>
      </c>
      <c r="V7" s="770" t="s">
        <v>17</v>
      </c>
      <c r="W7" s="771">
        <f t="shared" ref="W7:W15" si="2">J7</f>
        <v>0</v>
      </c>
      <c r="X7" s="772"/>
      <c r="Y7" s="3190" t="s">
        <v>2496</v>
      </c>
      <c r="Z7" s="3191"/>
      <c r="AA7" s="773" t="e">
        <f>D7/F7</f>
        <v>#DIV/0!</v>
      </c>
      <c r="AB7" s="773" t="e">
        <f>D7/H7</f>
        <v>#DIV/0!</v>
      </c>
      <c r="AC7" s="2677" t="e">
        <f>D7/J7</f>
        <v>#DIV/0!</v>
      </c>
    </row>
    <row r="8" spans="1:29" s="117" customFormat="1" ht="15.75" thickBot="1">
      <c r="A8" s="408" t="s">
        <v>2497</v>
      </c>
      <c r="B8" s="409"/>
      <c r="C8" s="414" t="s">
        <v>2598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9" t="s">
        <v>2499</v>
      </c>
      <c r="Q8" s="3191"/>
      <c r="R8" s="770" t="s">
        <v>17</v>
      </c>
      <c r="S8" s="771">
        <f t="shared" si="0"/>
        <v>0</v>
      </c>
      <c r="T8" s="770" t="s">
        <v>17</v>
      </c>
      <c r="U8" s="771">
        <f t="shared" si="1"/>
        <v>0</v>
      </c>
      <c r="V8" s="770" t="s">
        <v>17</v>
      </c>
      <c r="W8" s="771">
        <f t="shared" si="2"/>
        <v>0</v>
      </c>
      <c r="X8" s="772"/>
      <c r="Y8" s="3190" t="s">
        <v>2499</v>
      </c>
      <c r="Z8" s="3191"/>
      <c r="AA8" s="773" t="e">
        <f t="shared" ref="AA8:AA47" si="3">D8/F8</f>
        <v>#DIV/0!</v>
      </c>
      <c r="AB8" s="773" t="e">
        <f t="shared" ref="AB8:AB47" si="4">D8/H8</f>
        <v>#DIV/0!</v>
      </c>
      <c r="AC8" s="2677"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2502</v>
      </c>
      <c r="Q9" s="1798" t="str">
        <f t="shared" ref="Q9:Q15" si="6">B9</f>
        <v>用途</v>
      </c>
      <c r="R9" s="770" t="s">
        <v>17</v>
      </c>
      <c r="S9" s="771">
        <f t="shared" si="0"/>
        <v>100</v>
      </c>
      <c r="T9" s="770" t="s">
        <v>17</v>
      </c>
      <c r="U9" s="771">
        <f t="shared" si="1"/>
        <v>100</v>
      </c>
      <c r="V9" s="770" t="s">
        <v>17</v>
      </c>
      <c r="W9" s="771">
        <f t="shared" si="2"/>
        <v>100</v>
      </c>
      <c r="X9" s="772"/>
      <c r="Y9" s="3006" t="s">
        <v>2503</v>
      </c>
      <c r="Z9" s="55" t="str">
        <f t="shared" ref="Z9:Z15" si="7">Q9</f>
        <v>用途</v>
      </c>
      <c r="AA9" s="773">
        <f t="shared" si="3"/>
        <v>1</v>
      </c>
      <c r="AB9" s="773">
        <f t="shared" si="4"/>
        <v>1</v>
      </c>
      <c r="AC9" s="2677">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7">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7">
        <f t="shared" si="5"/>
        <v>1</v>
      </c>
    </row>
    <row r="15" spans="1:29" ht="15">
      <c r="A15" s="440" t="s">
        <v>2506</v>
      </c>
      <c r="B15" s="629" t="s">
        <v>2633</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3" t="s">
        <v>2507</v>
      </c>
      <c r="Q15" s="1813" t="str">
        <f t="shared" si="6"/>
        <v>办公集聚程度</v>
      </c>
      <c r="R15" s="774" t="s">
        <v>17</v>
      </c>
      <c r="S15" s="775">
        <f t="shared" si="0"/>
        <v>100</v>
      </c>
      <c r="T15" s="774" t="s">
        <v>17</v>
      </c>
      <c r="U15" s="775">
        <f t="shared" si="1"/>
        <v>100</v>
      </c>
      <c r="V15" s="774" t="s">
        <v>17</v>
      </c>
      <c r="W15" s="775">
        <f t="shared" si="2"/>
        <v>100</v>
      </c>
      <c r="X15" s="1816"/>
      <c r="Y15" s="3156" t="s">
        <v>2507</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64"/>
      <c r="Q16" s="1813"/>
      <c r="R16" s="774"/>
      <c r="S16" s="775"/>
      <c r="T16" s="774"/>
      <c r="U16" s="775"/>
      <c r="V16" s="774"/>
      <c r="W16" s="775"/>
      <c r="X16" s="1816"/>
      <c r="Y16" s="3157"/>
      <c r="Z16" s="1817"/>
      <c r="AA16" s="1814">
        <v>1</v>
      </c>
      <c r="AB16" s="1814">
        <v>1</v>
      </c>
      <c r="AC16" s="2680">
        <v>1</v>
      </c>
    </row>
    <row r="17" spans="1:29" ht="128.25">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4"/>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64"/>
      <c r="Q18" s="1813"/>
      <c r="R18" s="774"/>
      <c r="S18" s="775"/>
      <c r="T18" s="774"/>
      <c r="U18" s="775"/>
      <c r="V18" s="774"/>
      <c r="W18" s="775"/>
      <c r="X18" s="1816"/>
      <c r="Y18" s="3157"/>
      <c r="Z18" s="1817"/>
      <c r="AA18" s="1814">
        <v>1</v>
      </c>
      <c r="AB18" s="1814">
        <v>1</v>
      </c>
      <c r="AC18" s="2680">
        <v>1</v>
      </c>
    </row>
    <row r="19" spans="1:29" ht="42.75">
      <c r="A19" s="428"/>
      <c r="B19" s="631" t="s">
        <v>2634</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4"/>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64"/>
      <c r="Q20" s="1813"/>
      <c r="R20" s="774"/>
      <c r="S20" s="775"/>
      <c r="T20" s="774"/>
      <c r="U20" s="775"/>
      <c r="V20" s="774"/>
      <c r="W20" s="775"/>
      <c r="X20" s="1816"/>
      <c r="Y20" s="3157"/>
      <c r="Z20" s="1817"/>
      <c r="AA20" s="1814">
        <v>1</v>
      </c>
      <c r="AB20" s="1814">
        <v>1</v>
      </c>
      <c r="AC20" s="2680">
        <v>1</v>
      </c>
    </row>
    <row r="21" spans="1:29" ht="28.5">
      <c r="A21" s="428"/>
      <c r="B21" s="633" t="s">
        <v>2635</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64"/>
      <c r="Q22" s="1813"/>
      <c r="R22" s="774"/>
      <c r="S22" s="775"/>
      <c r="T22" s="774"/>
      <c r="U22" s="775"/>
      <c r="V22" s="774"/>
      <c r="W22" s="775"/>
      <c r="X22" s="1816"/>
      <c r="Y22" s="3157"/>
      <c r="Z22" s="1817"/>
      <c r="AA22" s="1814">
        <v>1</v>
      </c>
      <c r="AB22" s="1814">
        <v>1</v>
      </c>
      <c r="AC22" s="2680">
        <v>1</v>
      </c>
    </row>
    <row r="23" spans="1:29" ht="71.25">
      <c r="A23" s="428"/>
      <c r="B23" s="631" t="s">
        <v>2636</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4"/>
      <c r="Q23" s="1813" t="str">
        <f>B23</f>
        <v>环境质量</v>
      </c>
      <c r="R23" s="774" t="s">
        <v>17</v>
      </c>
      <c r="S23" s="775">
        <f>F23</f>
        <v>100</v>
      </c>
      <c r="T23" s="774" t="s">
        <v>17</v>
      </c>
      <c r="U23" s="775">
        <f>H23</f>
        <v>100</v>
      </c>
      <c r="V23" s="774" t="s">
        <v>17</v>
      </c>
      <c r="W23" s="775">
        <f>J23</f>
        <v>100</v>
      </c>
      <c r="X23" s="1816"/>
      <c r="Y23" s="3157"/>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64"/>
      <c r="Q24" s="1813"/>
      <c r="R24" s="774"/>
      <c r="S24" s="775"/>
      <c r="T24" s="774"/>
      <c r="U24" s="775"/>
      <c r="V24" s="774"/>
      <c r="W24" s="775"/>
      <c r="X24" s="1816"/>
      <c r="Y24" s="3157"/>
      <c r="Z24" s="1817"/>
      <c r="AA24" s="1814">
        <v>1</v>
      </c>
      <c r="AB24" s="1814">
        <v>1</v>
      </c>
      <c r="AC24" s="2680">
        <v>1</v>
      </c>
    </row>
    <row r="25" spans="1:29" ht="27">
      <c r="A25" s="404"/>
      <c r="B25" s="631" t="s">
        <v>2637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64"/>
      <c r="Q25" s="1813" t="str">
        <f>B25</f>
        <v>毗邻道路的类型与等级</v>
      </c>
      <c r="R25" s="774" t="s">
        <v>17</v>
      </c>
      <c r="S25" s="775">
        <f>F25</f>
        <v>100</v>
      </c>
      <c r="T25" s="774" t="s">
        <v>17</v>
      </c>
      <c r="U25" s="775">
        <f>H25</f>
        <v>100</v>
      </c>
      <c r="V25" s="774" t="s">
        <v>17</v>
      </c>
      <c r="W25" s="775">
        <f>J25</f>
        <v>100</v>
      </c>
      <c r="X25" s="1816"/>
      <c r="Y25" s="3157"/>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64"/>
      <c r="Q26" s="1813"/>
      <c r="R26" s="774"/>
      <c r="S26" s="775"/>
      <c r="T26" s="774"/>
      <c r="U26" s="775"/>
      <c r="V26" s="774"/>
      <c r="W26" s="775"/>
      <c r="X26" s="1816"/>
      <c r="Y26" s="3157"/>
      <c r="Z26" s="1817"/>
      <c r="AA26" s="1814">
        <v>1</v>
      </c>
      <c r="AB26" s="1814">
        <v>1</v>
      </c>
      <c r="AC26" s="2680">
        <v>1</v>
      </c>
    </row>
    <row r="27" spans="1:29" ht="15">
      <c r="A27" s="428"/>
      <c r="B27" s="632" t="s">
        <v>2605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4"/>
      <c r="Q27" s="1813" t="str">
        <f t="shared" ref="Q27:Q47" si="11">B27</f>
        <v>楼层</v>
      </c>
      <c r="R27" s="774" t="s">
        <v>17</v>
      </c>
      <c r="S27" s="775">
        <f>F27</f>
        <v>100</v>
      </c>
      <c r="T27" s="774" t="s">
        <v>17</v>
      </c>
      <c r="U27" s="775">
        <f>H27</f>
        <v>100</v>
      </c>
      <c r="V27" s="774" t="s">
        <v>17</v>
      </c>
      <c r="W27" s="775">
        <f>J27</f>
        <v>100</v>
      </c>
      <c r="X27" s="1816"/>
      <c r="Y27" s="3157"/>
      <c r="Z27" s="1817" t="str">
        <f>Q27</f>
        <v>楼层</v>
      </c>
      <c r="AA27" s="1814">
        <f t="shared" si="3"/>
        <v>1</v>
      </c>
      <c r="AB27" s="1814">
        <f t="shared" si="4"/>
        <v>1</v>
      </c>
      <c r="AC27" s="2680">
        <f t="shared" si="5"/>
        <v>1</v>
      </c>
    </row>
    <row r="28" spans="1:29" s="117" customFormat="1" ht="15">
      <c r="A28" s="431"/>
      <c r="B28" s="631" t="s">
        <v>2638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4"/>
      <c r="Q28" s="1798" t="str">
        <f t="shared" si="11"/>
        <v>朝向</v>
      </c>
      <c r="R28" s="770" t="s">
        <v>17</v>
      </c>
      <c r="S28" s="771">
        <f>F28</f>
        <v>100</v>
      </c>
      <c r="T28" s="770" t="s">
        <v>17</v>
      </c>
      <c r="U28" s="771">
        <f>H28</f>
        <v>100</v>
      </c>
      <c r="V28" s="770" t="s">
        <v>17</v>
      </c>
      <c r="W28" s="771">
        <f>J28</f>
        <v>100</v>
      </c>
      <c r="X28" s="772"/>
      <c r="Y28" s="3157"/>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4"/>
      <c r="Q29" s="1813">
        <f t="shared" si="11"/>
        <v>111</v>
      </c>
      <c r="R29" s="774" t="s">
        <v>17</v>
      </c>
      <c r="S29" s="775">
        <f t="shared" ref="S29:S47" si="12">F29</f>
        <v>100</v>
      </c>
      <c r="T29" s="774" t="s">
        <v>17</v>
      </c>
      <c r="U29" s="775">
        <f t="shared" ref="U29:U47" si="13">H29</f>
        <v>100</v>
      </c>
      <c r="V29" s="774" t="s">
        <v>17</v>
      </c>
      <c r="W29" s="775">
        <f t="shared" ref="W29:W47" si="14">J29</f>
        <v>100</v>
      </c>
      <c r="X29" s="1816"/>
      <c r="Y29" s="3157"/>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4"/>
      <c r="Q30" s="1813">
        <f t="shared" si="11"/>
        <v>111</v>
      </c>
      <c r="R30" s="774" t="s">
        <v>17</v>
      </c>
      <c r="S30" s="775">
        <f t="shared" si="12"/>
        <v>100</v>
      </c>
      <c r="T30" s="774" t="s">
        <v>17</v>
      </c>
      <c r="U30" s="775">
        <f t="shared" si="13"/>
        <v>100</v>
      </c>
      <c r="V30" s="774" t="s">
        <v>17</v>
      </c>
      <c r="W30" s="775">
        <f t="shared" si="14"/>
        <v>100</v>
      </c>
      <c r="X30" s="1816"/>
      <c r="Y30" s="3157"/>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4"/>
      <c r="Q31" s="1813">
        <f t="shared" si="11"/>
        <v>111</v>
      </c>
      <c r="R31" s="774" t="s">
        <v>17</v>
      </c>
      <c r="S31" s="775">
        <f t="shared" si="12"/>
        <v>100</v>
      </c>
      <c r="T31" s="774" t="s">
        <v>17</v>
      </c>
      <c r="U31" s="775">
        <f t="shared" si="13"/>
        <v>100</v>
      </c>
      <c r="V31" s="774" t="s">
        <v>17</v>
      </c>
      <c r="W31" s="775">
        <f t="shared" si="14"/>
        <v>100</v>
      </c>
      <c r="X31" s="1816"/>
      <c r="Y31" s="3157"/>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4"/>
      <c r="Q32" s="1813">
        <f t="shared" si="11"/>
        <v>111</v>
      </c>
      <c r="R32" s="774" t="s">
        <v>17</v>
      </c>
      <c r="S32" s="775">
        <f t="shared" si="12"/>
        <v>100</v>
      </c>
      <c r="T32" s="774" t="s">
        <v>17</v>
      </c>
      <c r="U32" s="775">
        <f t="shared" si="13"/>
        <v>100</v>
      </c>
      <c r="V32" s="774" t="s">
        <v>17</v>
      </c>
      <c r="W32" s="775">
        <f t="shared" si="14"/>
        <v>100</v>
      </c>
      <c r="X32" s="1816"/>
      <c r="Y32" s="3157"/>
      <c r="Z32" s="1817">
        <f t="shared" si="15"/>
        <v>111</v>
      </c>
      <c r="AA32" s="1814">
        <f t="shared" si="3"/>
        <v>1</v>
      </c>
      <c r="AB32" s="1814">
        <f t="shared" si="4"/>
        <v>1</v>
      </c>
      <c r="AC32" s="2680">
        <f t="shared" si="5"/>
        <v>1</v>
      </c>
    </row>
    <row r="33" spans="1:29" ht="15">
      <c r="A33" s="440" t="s">
        <v>2510</v>
      </c>
      <c r="B33" s="71" t="s">
        <v>2639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58" t="s">
        <v>2512</v>
      </c>
      <c r="Q33" s="1813" t="str">
        <f t="shared" si="11"/>
        <v>建筑类型</v>
      </c>
      <c r="R33" s="774" t="s">
        <v>17</v>
      </c>
      <c r="S33" s="775">
        <f t="shared" si="12"/>
        <v>100</v>
      </c>
      <c r="T33" s="774" t="s">
        <v>17</v>
      </c>
      <c r="U33" s="775">
        <f t="shared" si="13"/>
        <v>100</v>
      </c>
      <c r="V33" s="774" t="s">
        <v>17</v>
      </c>
      <c r="W33" s="775">
        <f t="shared" si="14"/>
        <v>100</v>
      </c>
      <c r="X33" s="1816"/>
      <c r="Y33" s="3161" t="s">
        <v>2512</v>
      </c>
      <c r="Z33" s="1817" t="str">
        <f t="shared" si="15"/>
        <v>建筑类型</v>
      </c>
      <c r="AA33" s="1814">
        <f t="shared" si="3"/>
        <v>1</v>
      </c>
      <c r="AB33" s="1814">
        <f t="shared" si="4"/>
        <v>1</v>
      </c>
      <c r="AC33" s="2680">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4" t="e">
        <f t="shared" si="3"/>
        <v>#N/A</v>
      </c>
      <c r="AB34" s="1814" t="e">
        <f t="shared" si="4"/>
        <v>#N/A</v>
      </c>
      <c r="AC34" s="2680"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9"/>
      <c r="Q35" s="1813" t="str">
        <f t="shared" si="11"/>
        <v>建筑结构</v>
      </c>
      <c r="R35" s="774" t="s">
        <v>17</v>
      </c>
      <c r="S35" s="775">
        <f t="shared" si="12"/>
        <v>100</v>
      </c>
      <c r="T35" s="774" t="s">
        <v>17</v>
      </c>
      <c r="U35" s="775">
        <f t="shared" si="13"/>
        <v>100</v>
      </c>
      <c r="V35" s="774" t="s">
        <v>17</v>
      </c>
      <c r="W35" s="775">
        <f t="shared" si="14"/>
        <v>100</v>
      </c>
      <c r="X35" s="1816"/>
      <c r="Y35" s="3161"/>
      <c r="Z35" s="1817" t="str">
        <f t="shared" si="15"/>
        <v>建筑结构</v>
      </c>
      <c r="AA35" s="1814">
        <f t="shared" si="3"/>
        <v>1</v>
      </c>
      <c r="AB35" s="1814">
        <f t="shared" si="4"/>
        <v>1</v>
      </c>
      <c r="AC35" s="2680">
        <f t="shared" si="5"/>
        <v>1</v>
      </c>
    </row>
    <row r="36" spans="1:29" ht="15">
      <c r="A36" s="472"/>
      <c r="B36" s="422" t="s">
        <v>2607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9"/>
      <c r="Q36" s="1813" t="str">
        <f t="shared" si="11"/>
        <v>公共部分装修</v>
      </c>
      <c r="R36" s="774" t="s">
        <v>17</v>
      </c>
      <c r="S36" s="775">
        <f t="shared" si="12"/>
        <v>100</v>
      </c>
      <c r="T36" s="774" t="s">
        <v>17</v>
      </c>
      <c r="U36" s="775">
        <f t="shared" si="13"/>
        <v>100</v>
      </c>
      <c r="V36" s="774" t="s">
        <v>17</v>
      </c>
      <c r="W36" s="775">
        <f t="shared" si="14"/>
        <v>100</v>
      </c>
      <c r="X36" s="1816"/>
      <c r="Y36" s="3161"/>
      <c r="Z36" s="1817" t="str">
        <f t="shared" si="15"/>
        <v>公共部分装修</v>
      </c>
      <c r="AA36" s="1814">
        <f t="shared" si="3"/>
        <v>1</v>
      </c>
      <c r="AB36" s="1814">
        <f t="shared" si="4"/>
        <v>1</v>
      </c>
      <c r="AC36" s="2680">
        <f t="shared" si="5"/>
        <v>1</v>
      </c>
    </row>
    <row r="37" spans="1:29" ht="15">
      <c r="A37" s="472"/>
      <c r="B37" s="422" t="s">
        <v>2608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9"/>
      <c r="Q37" s="1813" t="str">
        <f t="shared" si="11"/>
        <v>成新度</v>
      </c>
      <c r="R37" s="774" t="s">
        <v>17</v>
      </c>
      <c r="S37" s="775" t="e">
        <f t="shared" si="12"/>
        <v>#N/A</v>
      </c>
      <c r="T37" s="774" t="s">
        <v>17</v>
      </c>
      <c r="U37" s="775" t="e">
        <f t="shared" si="13"/>
        <v>#N/A</v>
      </c>
      <c r="V37" s="774" t="s">
        <v>17</v>
      </c>
      <c r="W37" s="775" t="e">
        <f t="shared" si="14"/>
        <v>#N/A</v>
      </c>
      <c r="X37" s="1816"/>
      <c r="Y37" s="3161"/>
      <c r="Z37" s="1817" t="str">
        <f t="shared" si="15"/>
        <v>成新度</v>
      </c>
      <c r="AA37" s="1814" t="e">
        <f t="shared" si="3"/>
        <v>#N/A</v>
      </c>
      <c r="AB37" s="1814" t="e">
        <f t="shared" si="4"/>
        <v>#N/A</v>
      </c>
      <c r="AC37" s="2680" t="e">
        <f t="shared" si="5"/>
        <v>#N/A</v>
      </c>
    </row>
    <row r="38" spans="1:29" s="117" customFormat="1" ht="15">
      <c r="A38" s="473"/>
      <c r="B38" s="422" t="s">
        <v>2640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9"/>
      <c r="Q38" s="1798"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7">
        <f t="shared" si="5"/>
        <v>1</v>
      </c>
    </row>
    <row r="39" spans="1:29" ht="15">
      <c r="A39" s="472"/>
      <c r="B39" s="422" t="s">
        <v>2641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9" t="s">
        <v>2512</v>
      </c>
      <c r="Q39" s="1813" t="str">
        <f t="shared" si="11"/>
        <v>物业管理</v>
      </c>
      <c r="R39" s="774" t="s">
        <v>17</v>
      </c>
      <c r="S39" s="775">
        <f t="shared" si="12"/>
        <v>100</v>
      </c>
      <c r="T39" s="774" t="s">
        <v>17</v>
      </c>
      <c r="U39" s="775">
        <f t="shared" si="13"/>
        <v>100</v>
      </c>
      <c r="V39" s="774" t="s">
        <v>17</v>
      </c>
      <c r="W39" s="775">
        <f t="shared" si="14"/>
        <v>100</v>
      </c>
      <c r="X39" s="1816"/>
      <c r="Y39" s="3161" t="s">
        <v>2512</v>
      </c>
      <c r="Z39" s="1817" t="str">
        <f t="shared" si="15"/>
        <v>物业管理</v>
      </c>
      <c r="AA39" s="1814">
        <f t="shared" si="3"/>
        <v>1</v>
      </c>
      <c r="AB39" s="1814">
        <f t="shared" si="4"/>
        <v>1</v>
      </c>
      <c r="AC39" s="2680">
        <f t="shared" si="5"/>
        <v>1</v>
      </c>
    </row>
    <row r="40" spans="1:29" ht="15">
      <c r="A40" s="472"/>
      <c r="B40" s="422" t="s">
        <v>2609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9"/>
      <c r="Q40" s="1813" t="str">
        <f t="shared" si="11"/>
        <v>市政基础设施</v>
      </c>
      <c r="R40" s="774" t="s">
        <v>17</v>
      </c>
      <c r="S40" s="775">
        <f t="shared" si="12"/>
        <v>100</v>
      </c>
      <c r="T40" s="774" t="s">
        <v>17</v>
      </c>
      <c r="U40" s="775">
        <f t="shared" si="13"/>
        <v>100</v>
      </c>
      <c r="V40" s="774" t="s">
        <v>17</v>
      </c>
      <c r="W40" s="775">
        <f t="shared" si="14"/>
        <v>100</v>
      </c>
      <c r="X40" s="1816"/>
      <c r="Y40" s="3161"/>
      <c r="Z40" s="1817" t="str">
        <f t="shared" si="15"/>
        <v>市政基础设施</v>
      </c>
      <c r="AA40" s="1814">
        <f t="shared" si="3"/>
        <v>1</v>
      </c>
      <c r="AB40" s="1814">
        <f t="shared" si="4"/>
        <v>1</v>
      </c>
      <c r="AC40" s="2680">
        <f t="shared" si="5"/>
        <v>1</v>
      </c>
    </row>
    <row r="41" spans="1:29" ht="15">
      <c r="A41" s="472"/>
      <c r="B41" s="422" t="s">
        <v>2611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9"/>
      <c r="Q41" s="1813" t="str">
        <f t="shared" si="11"/>
        <v>层高</v>
      </c>
      <c r="R41" s="774" t="s">
        <v>17</v>
      </c>
      <c r="S41" s="775">
        <f t="shared" si="12"/>
        <v>100</v>
      </c>
      <c r="T41" s="774" t="s">
        <v>17</v>
      </c>
      <c r="U41" s="775">
        <f t="shared" si="13"/>
        <v>100</v>
      </c>
      <c r="V41" s="774" t="s">
        <v>17</v>
      </c>
      <c r="W41" s="775">
        <f t="shared" si="14"/>
        <v>100</v>
      </c>
      <c r="X41" s="1816"/>
      <c r="Y41" s="3161"/>
      <c r="Z41" s="1817" t="str">
        <f t="shared" si="15"/>
        <v>层高</v>
      </c>
      <c r="AA41" s="1814">
        <f t="shared" si="3"/>
        <v>1</v>
      </c>
      <c r="AB41" s="1814">
        <f t="shared" si="4"/>
        <v>1</v>
      </c>
      <c r="AC41" s="2680">
        <f t="shared" si="5"/>
        <v>1</v>
      </c>
    </row>
    <row r="42" spans="1:29" s="471" customFormat="1" ht="15">
      <c r="A42" s="468"/>
      <c r="B42" s="1815" t="s">
        <v>2642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4">
        <f t="shared" si="3"/>
        <v>1</v>
      </c>
      <c r="AB42" s="1814">
        <f t="shared" si="4"/>
        <v>1</v>
      </c>
      <c r="AC42" s="2680">
        <f t="shared" si="5"/>
        <v>1</v>
      </c>
    </row>
    <row r="43" spans="1:29" ht="15">
      <c r="A43" s="472"/>
      <c r="B43" s="422" t="s">
        <v>2614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9"/>
      <c r="Q43" s="1813" t="str">
        <f t="shared" si="11"/>
        <v>内部装修</v>
      </c>
      <c r="R43" s="774" t="s">
        <v>17</v>
      </c>
      <c r="S43" s="775">
        <f t="shared" si="12"/>
        <v>100</v>
      </c>
      <c r="T43" s="774" t="s">
        <v>17</v>
      </c>
      <c r="U43" s="775">
        <f t="shared" si="13"/>
        <v>100</v>
      </c>
      <c r="V43" s="774" t="s">
        <v>17</v>
      </c>
      <c r="W43" s="775">
        <f t="shared" si="14"/>
        <v>100</v>
      </c>
      <c r="X43" s="1816"/>
      <c r="Y43" s="3161"/>
      <c r="Z43" s="1817" t="str">
        <f t="shared" si="15"/>
        <v>内部装修</v>
      </c>
      <c r="AA43" s="1814">
        <f t="shared" si="3"/>
        <v>1</v>
      </c>
      <c r="AB43" s="1814">
        <f t="shared" si="4"/>
        <v>1</v>
      </c>
      <c r="AC43" s="2680">
        <f t="shared" si="5"/>
        <v>1</v>
      </c>
    </row>
    <row r="44" spans="1:29" ht="15">
      <c r="A44" s="472"/>
      <c r="B44" s="422" t="s">
        <v>2523</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59"/>
      <c r="Q44" s="1813" t="str">
        <f t="shared" si="11"/>
        <v>内部装修维护情况</v>
      </c>
      <c r="R44" s="774" t="s">
        <v>17</v>
      </c>
      <c r="S44" s="775">
        <f t="shared" si="12"/>
        <v>100</v>
      </c>
      <c r="T44" s="774" t="s">
        <v>17</v>
      </c>
      <c r="U44" s="775">
        <f t="shared" si="13"/>
        <v>100</v>
      </c>
      <c r="V44" s="774" t="s">
        <v>17</v>
      </c>
      <c r="W44" s="775">
        <f t="shared" si="14"/>
        <v>100</v>
      </c>
      <c r="X44" s="1816"/>
      <c r="Y44" s="3161"/>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9"/>
      <c r="Q45" s="1798">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9"/>
      <c r="Q46" s="1813">
        <f t="shared" si="11"/>
        <v>111</v>
      </c>
      <c r="R46" s="774" t="s">
        <v>17</v>
      </c>
      <c r="S46" s="775">
        <f t="shared" si="12"/>
        <v>100</v>
      </c>
      <c r="T46" s="774" t="s">
        <v>17</v>
      </c>
      <c r="U46" s="775">
        <f t="shared" si="13"/>
        <v>100</v>
      </c>
      <c r="V46" s="774" t="s">
        <v>17</v>
      </c>
      <c r="W46" s="775">
        <f t="shared" si="14"/>
        <v>100</v>
      </c>
      <c r="X46" s="1816"/>
      <c r="Y46" s="3161"/>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0"/>
      <c r="Q47" s="1813">
        <f t="shared" si="11"/>
        <v>111</v>
      </c>
      <c r="R47" s="774" t="s">
        <v>17</v>
      </c>
      <c r="S47" s="775">
        <f t="shared" si="12"/>
        <v>100</v>
      </c>
      <c r="T47" s="774" t="s">
        <v>17</v>
      </c>
      <c r="U47" s="775">
        <f t="shared" si="13"/>
        <v>100</v>
      </c>
      <c r="V47" s="774" t="s">
        <v>17</v>
      </c>
      <c r="W47" s="775">
        <f t="shared" si="14"/>
        <v>100</v>
      </c>
      <c r="X47" s="1816"/>
      <c r="Y47" s="3162"/>
      <c r="Z47" s="1817">
        <f t="shared" si="15"/>
        <v>111</v>
      </c>
      <c r="AA47" s="1814">
        <f t="shared" si="3"/>
        <v>1</v>
      </c>
      <c r="AB47" s="1814">
        <f t="shared" si="4"/>
        <v>1</v>
      </c>
      <c r="AC47" s="2680">
        <f t="shared" si="5"/>
        <v>1</v>
      </c>
    </row>
    <row r="48" spans="1:29" ht="15">
      <c r="A48" s="479" t="s">
        <v>2524</v>
      </c>
      <c r="B48" s="480"/>
      <c r="C48" s="1410" t="s">
        <v>1</v>
      </c>
      <c r="D48" s="1411"/>
      <c r="E48" s="1412"/>
      <c r="F48" s="1413"/>
      <c r="G48" s="1414"/>
      <c r="H48" s="1415"/>
      <c r="I48" s="1412"/>
      <c r="J48" s="485"/>
      <c r="K48" s="783"/>
      <c r="L48" s="1146"/>
      <c r="M48" s="1134"/>
      <c r="N48" s="1134"/>
      <c r="O48" s="1134"/>
      <c r="P48" s="3165" t="str">
        <f>A48</f>
        <v>成交单价（元/平方米）</v>
      </c>
      <c r="Q48" s="3154"/>
      <c r="R48" s="3155">
        <f>E48</f>
        <v>0</v>
      </c>
      <c r="S48" s="3155"/>
      <c r="T48" s="3155">
        <f>G48</f>
        <v>0</v>
      </c>
      <c r="U48" s="3155"/>
      <c r="V48" s="3155">
        <f>I48</f>
        <v>0</v>
      </c>
      <c r="W48" s="3155"/>
      <c r="X48" s="446"/>
      <c r="Y48" s="781"/>
      <c r="Z48" s="446"/>
      <c r="AA48" s="446"/>
      <c r="AB48" s="446"/>
      <c r="AC48" s="630"/>
    </row>
    <row r="49" spans="1:29" ht="15.75" thickBot="1">
      <c r="A49" s="486" t="s">
        <v>2615</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54"/>
      <c r="R49" s="3155" t="e">
        <f>IF(F1="售价",ROUND(PRODUCT(R48,AA7:AA47),0),ROUND(PRODUCT(R48,AA7:AA47),1))</f>
        <v>#DIV/0!</v>
      </c>
      <c r="S49" s="3155"/>
      <c r="T49" s="3155" t="e">
        <f>IF(F1="售价",ROUND(PRODUCT(T48,AB7:AB47),0),ROUND(PRODUCT(T48,AB7:AB47),1))</f>
        <v>#DIV/0!</v>
      </c>
      <c r="U49" s="3155"/>
      <c r="V49" s="3155" t="e">
        <f>IF(F1="售价",ROUND(PRODUCT(V48,AC7:AC47),0),ROUND(PRODUCT(V48,AC7:AC47),1))</f>
        <v>#DIV/0!</v>
      </c>
      <c r="W49" s="3155"/>
      <c r="X49" s="446"/>
      <c r="Y49" s="446"/>
      <c r="Z49" s="446"/>
      <c r="AA49" s="446"/>
      <c r="AB49" s="446"/>
      <c r="AC49" s="630"/>
    </row>
    <row r="50" spans="1:29" ht="15.75" thickBot="1">
      <c r="A50" s="492" t="s">
        <v>2616</v>
      </c>
      <c r="B50" s="493"/>
      <c r="C50" s="1420" t="e">
        <f>R50</f>
        <v>#DIV/0!</v>
      </c>
      <c r="D50" s="1420"/>
      <c r="E50" s="1420"/>
      <c r="F50" s="1420"/>
      <c r="G50" s="1420"/>
      <c r="H50" s="1420"/>
      <c r="I50" s="1420"/>
      <c r="J50" s="494"/>
      <c r="K50" s="785"/>
      <c r="L50" s="1146"/>
      <c r="M50" s="1134"/>
      <c r="N50" s="1134"/>
      <c r="O50" s="1134"/>
      <c r="P50" s="3226" t="str">
        <f>A50</f>
        <v>估价对象XX用房的比较价值（楼面单价，元/平方米）</v>
      </c>
      <c r="Q50" s="3227"/>
      <c r="R50" s="3228" t="e">
        <f>IF(F1="售价",ROUND(AVERAGE(R49:V49),0),ROUND(AVERAGE(R49:V49),1))</f>
        <v>#DIV/0!</v>
      </c>
      <c r="S50" s="3228"/>
      <c r="T50" s="3228"/>
      <c r="U50" s="3228"/>
      <c r="V50" s="3228"/>
      <c r="W50" s="322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2620</v>
      </c>
      <c r="B58" s="759"/>
      <c r="C58" s="764"/>
      <c r="D58" s="764"/>
      <c r="E58" s="764"/>
      <c r="F58" s="765"/>
      <c r="G58" s="765"/>
      <c r="H58" s="764"/>
      <c r="I58" s="764"/>
      <c r="J58" s="764"/>
      <c r="K58" s="766"/>
      <c r="L58" s="1164"/>
      <c r="M58" s="1162"/>
      <c r="N58" s="1162"/>
      <c r="O58" s="1162"/>
      <c r="P58" s="2687"/>
      <c r="Q58" s="504"/>
    </row>
    <row r="59" spans="1:29" s="508" customFormat="1" ht="15">
      <c r="A59" s="505" t="s">
        <v>2495</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2531</v>
      </c>
      <c r="B61" s="516"/>
      <c r="C61" s="517"/>
      <c r="D61" s="518"/>
      <c r="E61" s="518"/>
      <c r="F61" s="518"/>
      <c r="G61" s="518"/>
      <c r="H61" s="518"/>
      <c r="I61" s="518"/>
      <c r="J61" s="518"/>
      <c r="K61" s="518"/>
      <c r="L61" s="518"/>
      <c r="M61" s="519"/>
      <c r="N61" s="518"/>
      <c r="O61" s="519"/>
      <c r="P61" s="2688"/>
      <c r="Q61" s="504"/>
    </row>
    <row r="62" spans="1:29" s="117" customFormat="1" ht="15">
      <c r="A62" s="521" t="s">
        <v>2497</v>
      </c>
      <c r="B62" s="510"/>
      <c r="C62" s="522" t="s">
        <v>2598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2534</v>
      </c>
      <c r="B64" s="528" t="s">
        <v>2501</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2504</v>
      </c>
      <c r="C66" s="539" t="s">
        <v>2535</v>
      </c>
      <c r="D66" s="539" t="s">
        <v>2536</v>
      </c>
      <c r="E66" s="539" t="s">
        <v>2537</v>
      </c>
      <c r="F66" s="539" t="s">
        <v>2538</v>
      </c>
      <c r="G66" s="539" t="s">
        <v>2539</v>
      </c>
      <c r="H66" s="539" t="s">
        <v>2540</v>
      </c>
      <c r="I66" s="539" t="s">
        <v>2541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2506</v>
      </c>
      <c r="B77" s="528" t="s">
        <v>2643</v>
      </c>
      <c r="C77" s="573" t="s">
        <v>2543</v>
      </c>
      <c r="D77" s="573" t="s">
        <v>2544</v>
      </c>
      <c r="E77" s="573" t="s">
        <v>2545</v>
      </c>
      <c r="F77" s="573" t="s">
        <v>2546</v>
      </c>
      <c r="G77" s="573" t="s">
        <v>2547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2635</v>
      </c>
      <c r="C83" s="660" t="s">
        <v>2621</v>
      </c>
      <c r="D83" s="660" t="s">
        <v>2622</v>
      </c>
      <c r="E83" s="660" t="s">
        <v>2623</v>
      </c>
      <c r="F83" s="660" t="s">
        <v>2624</v>
      </c>
      <c r="G83" s="660" t="s">
        <v>2625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2645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2510</v>
      </c>
      <c r="B101" s="528" t="s">
        <v>2558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2559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675" t="s">
        <v>2648</v>
      </c>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IF(C2="——",ROUND(C43*D3/10000,0),ROUND(C43*D3/10000,0)-D2)</f>
        <v>#DIV/0!</v>
      </c>
      <c r="C2" s="2592"/>
      <c r="D2" s="1127" t="e">
        <f ca="1">SUMIF(INDIRECT("'"&amp;F2&amp;"'"&amp;"!A:A"),"承租人权益价值",INDIRECT("'"&amp;F2&amp;"'"&amp;"!c:c"))</f>
        <v>#REF!</v>
      </c>
      <c r="E2" s="2593" t="s">
        <v>2275</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2276</v>
      </c>
      <c r="B3" s="609" t="e">
        <f ca="1">IF(C2="——",C43,ROUND(B2*10000/D3,0))</f>
        <v>#DIV/0!</v>
      </c>
      <c r="C3" s="400" t="s">
        <v>2590</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69" t="s">
        <v>2592</v>
      </c>
      <c r="D4" s="3170"/>
      <c r="E4" s="3171" t="s">
        <v>2593</v>
      </c>
      <c r="F4" s="3172"/>
      <c r="G4" s="3169" t="s">
        <v>2594</v>
      </c>
      <c r="H4" s="3170"/>
      <c r="I4" s="3169" t="s">
        <v>2595</v>
      </c>
      <c r="J4" s="3170"/>
      <c r="K4" s="610" t="s">
        <v>2596</v>
      </c>
      <c r="L4" s="1133"/>
      <c r="M4" s="1134"/>
      <c r="N4" s="1134"/>
      <c r="O4" s="1134"/>
      <c r="P4" s="3173" t="s">
        <v>2597</v>
      </c>
      <c r="Q4" s="3174"/>
      <c r="R4" s="3179" t="s">
        <v>2593</v>
      </c>
      <c r="S4" s="3180"/>
      <c r="T4" s="3179" t="s">
        <v>2594</v>
      </c>
      <c r="U4" s="3180"/>
      <c r="V4" s="3185" t="s">
        <v>2595</v>
      </c>
      <c r="W4" s="3185"/>
      <c r="X4" s="1816"/>
      <c r="Y4" s="3179" t="s">
        <v>2597</v>
      </c>
      <c r="Z4" s="3180"/>
      <c r="AA4" s="3166" t="s">
        <v>2593</v>
      </c>
      <c r="AB4" s="3167" t="s">
        <v>2594</v>
      </c>
      <c r="AC4" s="3166" t="s">
        <v>2595</v>
      </c>
    </row>
    <row r="5" spans="1:29" ht="15">
      <c r="A5" s="404"/>
      <c r="B5" s="405"/>
      <c r="C5" s="3224" t="s">
        <v>2489</v>
      </c>
      <c r="D5" s="3189"/>
      <c r="E5" s="3225" t="s">
        <v>2490</v>
      </c>
      <c r="F5" s="3196"/>
      <c r="G5" s="3224" t="s">
        <v>2491</v>
      </c>
      <c r="H5" s="3189"/>
      <c r="I5" s="3224" t="s">
        <v>2492</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2493</v>
      </c>
      <c r="D6" s="3187"/>
      <c r="E6" s="3193" t="s">
        <v>2493</v>
      </c>
      <c r="F6" s="3194"/>
      <c r="G6" s="3186" t="s">
        <v>2493</v>
      </c>
      <c r="H6" s="3187"/>
      <c r="I6" s="3186" t="s">
        <v>2493</v>
      </c>
      <c r="J6" s="3187"/>
      <c r="K6" s="610" t="s">
        <v>2494</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2495</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2496</v>
      </c>
      <c r="Q7" s="3192"/>
      <c r="R7" s="770" t="s">
        <v>17</v>
      </c>
      <c r="S7" s="771">
        <f t="shared" ref="S7:S15" si="0">F7</f>
        <v>0</v>
      </c>
      <c r="T7" s="770" t="s">
        <v>17</v>
      </c>
      <c r="U7" s="771">
        <f t="shared" ref="U7:U15" si="1">H7</f>
        <v>0</v>
      </c>
      <c r="V7" s="770" t="s">
        <v>17</v>
      </c>
      <c r="W7" s="771">
        <f t="shared" ref="W7:W15" si="2">J7</f>
        <v>0</v>
      </c>
      <c r="X7" s="772"/>
      <c r="Y7" s="3190" t="s">
        <v>2496</v>
      </c>
      <c r="Z7" s="3191"/>
      <c r="AA7" s="773" t="e">
        <f>D7/F7</f>
        <v>#DIV/0!</v>
      </c>
      <c r="AB7" s="773" t="e">
        <f>D7/H7</f>
        <v>#DIV/0!</v>
      </c>
      <c r="AC7" s="773"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2499</v>
      </c>
      <c r="Q8" s="3191"/>
      <c r="R8" s="770" t="s">
        <v>17</v>
      </c>
      <c r="S8" s="771">
        <f t="shared" si="0"/>
        <v>0</v>
      </c>
      <c r="T8" s="770" t="s">
        <v>17</v>
      </c>
      <c r="U8" s="771">
        <f t="shared" si="1"/>
        <v>0</v>
      </c>
      <c r="V8" s="770" t="s">
        <v>17</v>
      </c>
      <c r="W8" s="771">
        <f t="shared" si="2"/>
        <v>0</v>
      </c>
      <c r="X8" s="772"/>
      <c r="Y8" s="3190" t="s">
        <v>2499</v>
      </c>
      <c r="Z8" s="3191"/>
      <c r="AA8" s="773" t="e">
        <f t="shared" ref="AA8:AA40" si="3">D8/F8</f>
        <v>#DIV/0!</v>
      </c>
      <c r="AB8" s="773" t="e">
        <f t="shared" ref="AB8:AB40" si="4">D8/H8</f>
        <v>#DIV/0!</v>
      </c>
      <c r="AC8" s="773"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2502</v>
      </c>
      <c r="Q9" s="1798" t="str">
        <f t="shared" ref="Q9:Q15" si="6">B9</f>
        <v>用途</v>
      </c>
      <c r="R9" s="770" t="s">
        <v>17</v>
      </c>
      <c r="S9" s="771">
        <f t="shared" si="0"/>
        <v>100</v>
      </c>
      <c r="T9" s="770" t="s">
        <v>17</v>
      </c>
      <c r="U9" s="771">
        <f t="shared" si="1"/>
        <v>100</v>
      </c>
      <c r="V9" s="770" t="s">
        <v>17</v>
      </c>
      <c r="W9" s="771">
        <f t="shared" si="2"/>
        <v>100</v>
      </c>
      <c r="X9" s="772"/>
      <c r="Y9" s="3006" t="s">
        <v>2503</v>
      </c>
      <c r="Z9" s="55" t="str">
        <f t="shared" ref="Z9:Z15" si="7">Q9</f>
        <v>用途</v>
      </c>
      <c r="AA9" s="773">
        <f t="shared" si="3"/>
        <v>1</v>
      </c>
      <c r="AB9" s="773">
        <f t="shared" si="4"/>
        <v>1</v>
      </c>
      <c r="AC9" s="773">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5">
      <c r="A15" s="440" t="s">
        <v>2506</v>
      </c>
      <c r="B15" s="69" t="s">
        <v>2649</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2507</v>
      </c>
      <c r="Q15" s="1813" t="str">
        <f t="shared" si="6"/>
        <v>产业集聚程度</v>
      </c>
      <c r="R15" s="774" t="s">
        <v>17</v>
      </c>
      <c r="S15" s="775">
        <f t="shared" si="0"/>
        <v>100</v>
      </c>
      <c r="T15" s="774" t="s">
        <v>17</v>
      </c>
      <c r="U15" s="775">
        <f t="shared" si="1"/>
        <v>100</v>
      </c>
      <c r="V15" s="774" t="s">
        <v>17</v>
      </c>
      <c r="W15" s="775">
        <f t="shared" si="2"/>
        <v>100</v>
      </c>
      <c r="X15" s="1816"/>
      <c r="Y15" s="3156" t="s">
        <v>2507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7"/>
      <c r="Q16" s="1813"/>
      <c r="R16" s="774"/>
      <c r="S16" s="775"/>
      <c r="T16" s="774"/>
      <c r="U16" s="775"/>
      <c r="V16" s="774"/>
      <c r="W16" s="775"/>
      <c r="X16" s="1816"/>
      <c r="Y16" s="3157"/>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57"/>
      <c r="Q18" s="1813"/>
      <c r="R18" s="774"/>
      <c r="S18" s="775"/>
      <c r="T18" s="774"/>
      <c r="U18" s="775"/>
      <c r="V18" s="774"/>
      <c r="W18" s="775"/>
      <c r="X18" s="1816"/>
      <c r="Y18" s="3157"/>
      <c r="Z18" s="1817"/>
      <c r="AA18" s="1814">
        <v>1</v>
      </c>
      <c r="AB18" s="1814">
        <v>1</v>
      </c>
      <c r="AC18" s="1814">
        <v>1</v>
      </c>
    </row>
    <row r="19" spans="1:29" ht="15">
      <c r="A19" s="428"/>
      <c r="B19" s="451" t="s">
        <v>2634</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57"/>
      <c r="Q20" s="1813"/>
      <c r="R20" s="774"/>
      <c r="S20" s="775"/>
      <c r="T20" s="774"/>
      <c r="U20" s="775"/>
      <c r="V20" s="774"/>
      <c r="W20" s="775"/>
      <c r="X20" s="1816"/>
      <c r="Y20" s="3157"/>
      <c r="Z20" s="1817"/>
      <c r="AA20" s="1814">
        <v>1</v>
      </c>
      <c r="AB20" s="1814">
        <v>1</v>
      </c>
      <c r="AC20" s="1814">
        <v>1</v>
      </c>
    </row>
    <row r="21" spans="1:29" ht="15">
      <c r="A21" s="428"/>
      <c r="B21" s="1387" t="s">
        <v>2635</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57"/>
      <c r="Q22" s="1813"/>
      <c r="R22" s="774"/>
      <c r="S22" s="775"/>
      <c r="T22" s="774"/>
      <c r="U22" s="775"/>
      <c r="V22" s="774"/>
      <c r="W22" s="775"/>
      <c r="X22" s="1816"/>
      <c r="Y22" s="3157"/>
      <c r="Z22" s="1817"/>
      <c r="AA22" s="1814">
        <v>1</v>
      </c>
      <c r="AB22" s="1814">
        <v>1</v>
      </c>
      <c r="AC22" s="1814">
        <v>1</v>
      </c>
    </row>
    <row r="23" spans="1:29" ht="15">
      <c r="A23" s="428"/>
      <c r="B23" s="451" t="s">
        <v>2636</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3" t="str">
        <f>B23</f>
        <v>环境质量</v>
      </c>
      <c r="R23" s="774" t="s">
        <v>17</v>
      </c>
      <c r="S23" s="775">
        <f>F23</f>
        <v>100</v>
      </c>
      <c r="T23" s="774" t="s">
        <v>17</v>
      </c>
      <c r="U23" s="775">
        <f>H23</f>
        <v>100</v>
      </c>
      <c r="V23" s="774" t="s">
        <v>17</v>
      </c>
      <c r="W23" s="775">
        <f>J23</f>
        <v>100</v>
      </c>
      <c r="X23" s="1816"/>
      <c r="Y23" s="3157"/>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57"/>
      <c r="Q24" s="1813"/>
      <c r="R24" s="774"/>
      <c r="S24" s="775"/>
      <c r="T24" s="774"/>
      <c r="U24" s="775"/>
      <c r="V24" s="774"/>
      <c r="W24" s="775"/>
      <c r="X24" s="1816"/>
      <c r="Y24" s="315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3">
        <f>B25</f>
        <v>111</v>
      </c>
      <c r="R25" s="774" t="s">
        <v>17</v>
      </c>
      <c r="S25" s="775">
        <f>F25</f>
        <v>100</v>
      </c>
      <c r="T25" s="774" t="s">
        <v>17</v>
      </c>
      <c r="U25" s="775">
        <f>H25</f>
        <v>100</v>
      </c>
      <c r="V25" s="774" t="s">
        <v>17</v>
      </c>
      <c r="W25" s="775">
        <f>J25</f>
        <v>100</v>
      </c>
      <c r="X25" s="1816"/>
      <c r="Y25" s="315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3">
        <f t="shared" ref="Q26:Q40" si="11">B26</f>
        <v>111</v>
      </c>
      <c r="R26" s="774" t="s">
        <v>17</v>
      </c>
      <c r="S26" s="775">
        <f>F26</f>
        <v>100</v>
      </c>
      <c r="T26" s="774" t="s">
        <v>17</v>
      </c>
      <c r="U26" s="775">
        <f>H26</f>
        <v>100</v>
      </c>
      <c r="V26" s="774" t="s">
        <v>17</v>
      </c>
      <c r="W26" s="775">
        <f>J26</f>
        <v>100</v>
      </c>
      <c r="X26" s="1816"/>
      <c r="Y26" s="315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8">
        <f t="shared" si="11"/>
        <v>111</v>
      </c>
      <c r="R27" s="770" t="s">
        <v>17</v>
      </c>
      <c r="S27" s="771">
        <f>F27</f>
        <v>100</v>
      </c>
      <c r="T27" s="770" t="s">
        <v>17</v>
      </c>
      <c r="U27" s="771">
        <f>H27</f>
        <v>100</v>
      </c>
      <c r="V27" s="770" t="s">
        <v>17</v>
      </c>
      <c r="W27" s="771">
        <f>J27</f>
        <v>100</v>
      </c>
      <c r="X27" s="772"/>
      <c r="Y27" s="315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3">
        <f t="shared" si="11"/>
        <v>111</v>
      </c>
      <c r="R28" s="774" t="s">
        <v>17</v>
      </c>
      <c r="S28" s="775">
        <f t="shared" ref="S28:S40" si="12">F28</f>
        <v>100</v>
      </c>
      <c r="T28" s="774" t="s">
        <v>17</v>
      </c>
      <c r="U28" s="775">
        <f t="shared" ref="U28:U40" si="13">H28</f>
        <v>100</v>
      </c>
      <c r="V28" s="774" t="s">
        <v>17</v>
      </c>
      <c r="W28" s="775">
        <f t="shared" ref="W28:W40" si="14">J28</f>
        <v>100</v>
      </c>
      <c r="X28" s="1816"/>
      <c r="Y28" s="3157"/>
      <c r="Z28" s="1817">
        <f t="shared" ref="Z28:Z40" si="15">Q28</f>
        <v>111</v>
      </c>
      <c r="AA28" s="1814">
        <f t="shared" si="3"/>
        <v>1</v>
      </c>
      <c r="AB28" s="1814">
        <f t="shared" si="4"/>
        <v>1</v>
      </c>
      <c r="AC28" s="1814">
        <f t="shared" si="5"/>
        <v>1</v>
      </c>
    </row>
    <row r="29" spans="1:29" ht="28.5">
      <c r="A29" s="466" t="s">
        <v>2510</v>
      </c>
      <c r="B29" s="71" t="s">
        <v>2639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1" t="s">
        <v>2512</v>
      </c>
      <c r="Q29" s="1813" t="str">
        <f t="shared" si="11"/>
        <v>建筑类型</v>
      </c>
      <c r="R29" s="774" t="s">
        <v>17</v>
      </c>
      <c r="S29" s="775">
        <f t="shared" si="12"/>
        <v>100</v>
      </c>
      <c r="T29" s="774" t="s">
        <v>17</v>
      </c>
      <c r="U29" s="775">
        <f t="shared" si="13"/>
        <v>100</v>
      </c>
      <c r="V29" s="774" t="s">
        <v>17</v>
      </c>
      <c r="W29" s="775">
        <f t="shared" si="14"/>
        <v>100</v>
      </c>
      <c r="X29" s="1816"/>
      <c r="Y29" s="3161" t="s">
        <v>2512</v>
      </c>
      <c r="Z29" s="1817" t="str">
        <f t="shared" si="15"/>
        <v>建筑类型</v>
      </c>
      <c r="AA29" s="1814">
        <f t="shared" si="3"/>
        <v>1</v>
      </c>
      <c r="AB29" s="1814">
        <f t="shared" si="4"/>
        <v>1</v>
      </c>
      <c r="AC29" s="1814">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4" t="e">
        <f t="shared" si="3"/>
        <v>#N/A</v>
      </c>
      <c r="AB30" s="1814" t="e">
        <f t="shared" si="4"/>
        <v>#N/A</v>
      </c>
      <c r="AC30" s="1814"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3" t="str">
        <f t="shared" si="11"/>
        <v>建筑结构</v>
      </c>
      <c r="R31" s="774" t="s">
        <v>17</v>
      </c>
      <c r="S31" s="775">
        <f t="shared" si="12"/>
        <v>100</v>
      </c>
      <c r="T31" s="774" t="s">
        <v>17</v>
      </c>
      <c r="U31" s="775">
        <f t="shared" si="13"/>
        <v>100</v>
      </c>
      <c r="V31" s="774" t="s">
        <v>17</v>
      </c>
      <c r="W31" s="775">
        <f t="shared" si="14"/>
        <v>100</v>
      </c>
      <c r="X31" s="1816"/>
      <c r="Y31" s="3161"/>
      <c r="Z31" s="1817" t="str">
        <f t="shared" si="15"/>
        <v>建筑结构</v>
      </c>
      <c r="AA31" s="1814">
        <f t="shared" si="3"/>
        <v>1</v>
      </c>
      <c r="AB31" s="1814">
        <f t="shared" si="4"/>
        <v>1</v>
      </c>
      <c r="AC31" s="1814">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3" t="str">
        <f t="shared" si="11"/>
        <v>公共部分装修</v>
      </c>
      <c r="R32" s="774" t="s">
        <v>17</v>
      </c>
      <c r="S32" s="775">
        <f t="shared" si="12"/>
        <v>100</v>
      </c>
      <c r="T32" s="774" t="s">
        <v>17</v>
      </c>
      <c r="U32" s="775">
        <f t="shared" si="13"/>
        <v>100</v>
      </c>
      <c r="V32" s="774" t="s">
        <v>17</v>
      </c>
      <c r="W32" s="775">
        <f t="shared" si="14"/>
        <v>100</v>
      </c>
      <c r="X32" s="1816"/>
      <c r="Y32" s="3161"/>
      <c r="Z32" s="1817" t="str">
        <f t="shared" si="15"/>
        <v>公共部分装修</v>
      </c>
      <c r="AA32" s="1814">
        <f t="shared" si="3"/>
        <v>1</v>
      </c>
      <c r="AB32" s="1814">
        <f t="shared" si="4"/>
        <v>1</v>
      </c>
      <c r="AC32" s="1814">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3" t="str">
        <f t="shared" si="11"/>
        <v>成新度</v>
      </c>
      <c r="R33" s="774" t="s">
        <v>17</v>
      </c>
      <c r="S33" s="775" t="e">
        <f t="shared" si="12"/>
        <v>#N/A</v>
      </c>
      <c r="T33" s="774" t="s">
        <v>17</v>
      </c>
      <c r="U33" s="775" t="e">
        <f t="shared" si="13"/>
        <v>#N/A</v>
      </c>
      <c r="V33" s="774" t="s">
        <v>17</v>
      </c>
      <c r="W33" s="775" t="e">
        <f t="shared" si="14"/>
        <v>#N/A</v>
      </c>
      <c r="X33" s="1816"/>
      <c r="Y33" s="3161"/>
      <c r="Z33" s="1817" t="str">
        <f t="shared" si="15"/>
        <v>成新度</v>
      </c>
      <c r="AA33" s="1814" t="e">
        <f t="shared" si="3"/>
        <v>#N/A</v>
      </c>
      <c r="AB33" s="1814" t="e">
        <f t="shared" si="4"/>
        <v>#N/A</v>
      </c>
      <c r="AC33" s="1814"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8"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2512</v>
      </c>
      <c r="Q35" s="1813" t="str">
        <f t="shared" si="11"/>
        <v>市政基础设施</v>
      </c>
      <c r="R35" s="774" t="s">
        <v>17</v>
      </c>
      <c r="S35" s="775">
        <f t="shared" si="12"/>
        <v>100</v>
      </c>
      <c r="T35" s="774" t="s">
        <v>17</v>
      </c>
      <c r="U35" s="775">
        <f t="shared" si="13"/>
        <v>100</v>
      </c>
      <c r="V35" s="774" t="s">
        <v>17</v>
      </c>
      <c r="W35" s="775">
        <f t="shared" si="14"/>
        <v>100</v>
      </c>
      <c r="X35" s="1816"/>
      <c r="Y35" s="3161" t="s">
        <v>2512</v>
      </c>
      <c r="Z35" s="1817" t="str">
        <f t="shared" si="15"/>
        <v>市政基础设施</v>
      </c>
      <c r="AA35" s="1814">
        <f t="shared" si="3"/>
        <v>1</v>
      </c>
      <c r="AB35" s="1814">
        <f t="shared" si="4"/>
        <v>1</v>
      </c>
      <c r="AC35" s="1814">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3" t="str">
        <f t="shared" si="11"/>
        <v>内部装修</v>
      </c>
      <c r="R36" s="774" t="s">
        <v>17</v>
      </c>
      <c r="S36" s="775">
        <f t="shared" si="12"/>
        <v>100</v>
      </c>
      <c r="T36" s="774" t="s">
        <v>17</v>
      </c>
      <c r="U36" s="775">
        <f t="shared" si="13"/>
        <v>100</v>
      </c>
      <c r="V36" s="774" t="s">
        <v>17</v>
      </c>
      <c r="W36" s="775">
        <f t="shared" si="14"/>
        <v>100</v>
      </c>
      <c r="X36" s="1816"/>
      <c r="Y36" s="3161"/>
      <c r="Z36" s="1817" t="str">
        <f t="shared" si="15"/>
        <v>内部装修</v>
      </c>
      <c r="AA36" s="1814">
        <f t="shared" si="3"/>
        <v>1</v>
      </c>
      <c r="AB36" s="1814">
        <f t="shared" si="4"/>
        <v>1</v>
      </c>
      <c r="AC36" s="1814">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3" t="str">
        <f t="shared" si="11"/>
        <v>内部装修状况</v>
      </c>
      <c r="R37" s="774" t="s">
        <v>17</v>
      </c>
      <c r="S37" s="775">
        <f t="shared" si="12"/>
        <v>100</v>
      </c>
      <c r="T37" s="774" t="s">
        <v>17</v>
      </c>
      <c r="U37" s="775">
        <f t="shared" si="13"/>
        <v>100</v>
      </c>
      <c r="V37" s="774" t="s">
        <v>17</v>
      </c>
      <c r="W37" s="775">
        <f t="shared" si="14"/>
        <v>100</v>
      </c>
      <c r="X37" s="1816"/>
      <c r="Y37" s="31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3">
        <f t="shared" si="11"/>
        <v>111</v>
      </c>
      <c r="R39" s="774" t="s">
        <v>17</v>
      </c>
      <c r="S39" s="775">
        <f t="shared" si="12"/>
        <v>100</v>
      </c>
      <c r="T39" s="774" t="s">
        <v>17</v>
      </c>
      <c r="U39" s="775">
        <f t="shared" si="13"/>
        <v>100</v>
      </c>
      <c r="V39" s="774" t="s">
        <v>17</v>
      </c>
      <c r="W39" s="775">
        <f t="shared" si="14"/>
        <v>100</v>
      </c>
      <c r="X39" s="1816"/>
      <c r="Y39" s="3161"/>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2"/>
      <c r="Q40" s="1813">
        <f t="shared" si="11"/>
        <v>111</v>
      </c>
      <c r="R40" s="774" t="s">
        <v>17</v>
      </c>
      <c r="S40" s="775">
        <f t="shared" si="12"/>
        <v>100</v>
      </c>
      <c r="T40" s="774" t="s">
        <v>17</v>
      </c>
      <c r="U40" s="775">
        <f t="shared" si="13"/>
        <v>100</v>
      </c>
      <c r="V40" s="774" t="s">
        <v>17</v>
      </c>
      <c r="W40" s="775">
        <f t="shared" si="14"/>
        <v>100</v>
      </c>
      <c r="X40" s="1816"/>
      <c r="Y40" s="3162"/>
      <c r="Z40" s="1817">
        <f t="shared" si="15"/>
        <v>111</v>
      </c>
      <c r="AA40" s="1814">
        <f t="shared" si="3"/>
        <v>1</v>
      </c>
      <c r="AB40" s="1814">
        <f t="shared" si="4"/>
        <v>1</v>
      </c>
      <c r="AC40" s="1814">
        <f t="shared" si="5"/>
        <v>1</v>
      </c>
    </row>
    <row r="41" spans="1:29" ht="15">
      <c r="A41" s="479" t="s">
        <v>2524</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2615</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2616</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153" t="e">
        <f>IF(F1="售价",ROUND(AVERAGE(R42:V42),0),ROUND(AVERAGE(R42:V42),1))</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2620</v>
      </c>
      <c r="B51" s="759"/>
      <c r="C51" s="764"/>
      <c r="D51" s="764"/>
      <c r="E51" s="764"/>
      <c r="F51" s="765"/>
      <c r="G51" s="765"/>
      <c r="H51" s="764"/>
      <c r="I51" s="764"/>
      <c r="J51" s="764"/>
      <c r="K51" s="1163"/>
      <c r="L51" s="1164"/>
      <c r="M51" s="1162"/>
      <c r="N51" s="1162"/>
      <c r="O51" s="1162"/>
      <c r="P51" s="503"/>
      <c r="Q51" s="504"/>
    </row>
    <row r="52" spans="1:17" s="508" customFormat="1" ht="15">
      <c r="A52" s="505" t="s">
        <v>2495</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2534</v>
      </c>
      <c r="B57" s="528" t="s">
        <v>2501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2504</v>
      </c>
      <c r="C59" s="539" t="s">
        <v>2535</v>
      </c>
      <c r="D59" s="539" t="s">
        <v>2536</v>
      </c>
      <c r="E59" s="539" t="s">
        <v>2537</v>
      </c>
      <c r="F59" s="539" t="s">
        <v>2538</v>
      </c>
      <c r="G59" s="539" t="s">
        <v>2539</v>
      </c>
      <c r="H59" s="539" t="s">
        <v>2540</v>
      </c>
      <c r="I59" s="539" t="s">
        <v>2541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2506</v>
      </c>
      <c r="B70" s="528" t="s">
        <v>2651</v>
      </c>
      <c r="C70" s="573" t="s">
        <v>2543</v>
      </c>
      <c r="D70" s="573" t="s">
        <v>2544</v>
      </c>
      <c r="E70" s="573" t="s">
        <v>2545</v>
      </c>
      <c r="F70" s="573" t="s">
        <v>2546</v>
      </c>
      <c r="G70" s="573" t="s">
        <v>2547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2510</v>
      </c>
      <c r="B88" s="528" t="s">
        <v>2558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1603</v>
      </c>
    </row>
    <row r="2" spans="1:1">
      <c r="A2" s="1949"/>
    </row>
    <row r="3" spans="1:1" ht="18">
      <c r="A3" s="1950" t="str">
        <f>项目基本情况!B5&amp;"："</f>
        <v>：</v>
      </c>
    </row>
    <row r="4" spans="1:1" ht="36">
      <c r="A4" s="1951" t="str">
        <f>"受贵公司委托，我公司对"&amp;项目基本情况!S1&amp;"进行了预评估。"</f>
        <v>受贵公司委托，我公司对北京市朝阳区工人体育场北路甲2号（西部）房地产抵押价值进行了预评估。</v>
      </c>
    </row>
    <row r="5" spans="1:1" ht="18.75">
      <c r="A5" s="1952" t="s">
        <v>1604</v>
      </c>
    </row>
    <row r="6" spans="1:1" ht="18.75">
      <c r="A6" s="1953" t="s">
        <v>1605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7.75">
      <c r="A8" s="1954" t="s">
        <v>1606</v>
      </c>
    </row>
    <row r="9" spans="1:1" ht="18.75">
      <c r="A9" s="1953" t="s">
        <v>1607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6.5">
      <c r="A11" s="1954" t="s">
        <v>1608</v>
      </c>
    </row>
    <row r="12" spans="1:1" ht="18.75">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1610</v>
      </c>
    </row>
    <row r="15" spans="1:1" ht="18">
      <c r="A15" s="1957" t="str">
        <f>TEXT(项目基本情况!D3,"yyyy年m月d日;;")&amp;IF(项目基本情况!D3=项目基本情况!B3,"（评估专业人员实地查勘之日）","")</f>
        <v>2019年1月28日（评估专业人员实地查勘之日）</v>
      </c>
    </row>
    <row r="16" spans="1:1" ht="18.75">
      <c r="A16" s="1956" t="s">
        <v>1611</v>
      </c>
    </row>
    <row r="17" spans="1:1" ht="75">
      <c r="A17" s="1951" t="s">
        <v>1612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1601</v>
      </c>
    </row>
    <row r="24" spans="1:1" ht="18">
      <c r="A24" s="1958" t="str">
        <f>"本次评估采用的主估价方法为"&amp;结果表!K4&amp;"和"&amp;结果表!L4&amp;"。"</f>
        <v>本次评估采用的主估价方法为比较法和收益法。</v>
      </c>
    </row>
    <row r="25" spans="1:1" ht="18">
      <c r="A25" s="1958"/>
    </row>
    <row r="26" spans="1:1" ht="18.75">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2653</v>
      </c>
      <c r="B1" s="1622"/>
      <c r="C1" s="1623" t="s">
        <v>2477</v>
      </c>
      <c r="D1" s="1624"/>
      <c r="E1" s="1625"/>
      <c r="F1" s="2590"/>
      <c r="G1" s="1626" t="s">
        <v>2589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2274</v>
      </c>
      <c r="B2" s="1421" t="e">
        <f ca="1">IF(C2="——",IF(B37="元/平方米",ROUND(C39*D3/10000,0),ROUND(F3*C39/10000,0)),IF(B37="元/平方米",ROUND(C39*D3/10000,0),ROUND(F3*C39/10000,0))-D2)</f>
        <v>#DIV/0!</v>
      </c>
      <c r="C2" s="2592"/>
      <c r="D2" s="1127" t="e">
        <f ca="1">SUMIF(INDIRECT("'"&amp;F2&amp;"'"&amp;"!A:A"),"承租人权益价值",INDIRECT("'"&amp;F2&amp;"'"&amp;"!c:c"))</f>
        <v>#REF!</v>
      </c>
      <c r="E2" s="2593" t="s">
        <v>2275</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2276</v>
      </c>
      <c r="B3" s="609" t="e">
        <f ca="1">IF(AND(C2="——",B37="元/平方米"),C39,ROUND(B2*10000/D3,0))</f>
        <v>#DIV/0!</v>
      </c>
      <c r="C3" s="400" t="s">
        <v>2590</v>
      </c>
      <c r="D3" s="399">
        <f>SUMIF('数据-汇总表'!$C19:$C33,D1,'数据-汇总表'!$E19:$E33)</f>
        <v>0</v>
      </c>
      <c r="E3" s="400" t="s">
        <v>2654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2591</v>
      </c>
      <c r="B4" s="402"/>
      <c r="C4" s="3169" t="s">
        <v>2592</v>
      </c>
      <c r="D4" s="3170"/>
      <c r="E4" s="3171" t="s">
        <v>2593</v>
      </c>
      <c r="F4" s="3172"/>
      <c r="G4" s="3169" t="s">
        <v>2594</v>
      </c>
      <c r="H4" s="3170"/>
      <c r="I4" s="3169" t="s">
        <v>2595</v>
      </c>
      <c r="J4" s="3170"/>
      <c r="K4" s="610" t="s">
        <v>2596</v>
      </c>
      <c r="L4" s="1133"/>
      <c r="M4" s="1134"/>
      <c r="N4" s="1134"/>
      <c r="O4" s="1134"/>
      <c r="P4" s="3173" t="s">
        <v>2597</v>
      </c>
      <c r="Q4" s="3174"/>
      <c r="R4" s="3179" t="s">
        <v>2593</v>
      </c>
      <c r="S4" s="3180"/>
      <c r="T4" s="3179" t="s">
        <v>2594</v>
      </c>
      <c r="U4" s="3180"/>
      <c r="V4" s="3185" t="s">
        <v>2595</v>
      </c>
      <c r="W4" s="3185"/>
      <c r="X4" s="1816"/>
      <c r="Y4" s="3179" t="s">
        <v>2597</v>
      </c>
      <c r="Z4" s="3180"/>
      <c r="AA4" s="3166" t="s">
        <v>2593</v>
      </c>
      <c r="AB4" s="3167" t="s">
        <v>2594</v>
      </c>
      <c r="AC4" s="3166" t="s">
        <v>2595</v>
      </c>
    </row>
    <row r="5" spans="1:29" ht="15">
      <c r="A5" s="404"/>
      <c r="B5" s="405"/>
      <c r="C5" s="3224" t="s">
        <v>2489</v>
      </c>
      <c r="D5" s="3189"/>
      <c r="E5" s="3225" t="s">
        <v>2490</v>
      </c>
      <c r="F5" s="3196"/>
      <c r="G5" s="3224" t="s">
        <v>2491</v>
      </c>
      <c r="H5" s="3189"/>
      <c r="I5" s="3224" t="s">
        <v>2492</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2493</v>
      </c>
      <c r="D6" s="3187"/>
      <c r="E6" s="3193" t="s">
        <v>2493</v>
      </c>
      <c r="F6" s="3194"/>
      <c r="G6" s="3186" t="s">
        <v>2493</v>
      </c>
      <c r="H6" s="3187"/>
      <c r="I6" s="3186" t="s">
        <v>2493</v>
      </c>
      <c r="J6" s="3187"/>
      <c r="K6" s="610" t="s">
        <v>2494</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2495</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2496</v>
      </c>
      <c r="Q7" s="3192"/>
      <c r="R7" s="770" t="s">
        <v>17</v>
      </c>
      <c r="S7" s="771">
        <f t="shared" ref="S7:S14" si="0">F7</f>
        <v>0</v>
      </c>
      <c r="T7" s="770" t="s">
        <v>17</v>
      </c>
      <c r="U7" s="771">
        <f t="shared" ref="U7:U14" si="1">H7</f>
        <v>0</v>
      </c>
      <c r="V7" s="770" t="s">
        <v>17</v>
      </c>
      <c r="W7" s="771">
        <f t="shared" ref="W7:W14" si="2">J7</f>
        <v>0</v>
      </c>
      <c r="X7" s="772"/>
      <c r="Y7" s="3190" t="s">
        <v>2496</v>
      </c>
      <c r="Z7" s="3191"/>
      <c r="AA7" s="773" t="e">
        <f>D7/F7</f>
        <v>#DIV/0!</v>
      </c>
      <c r="AB7" s="773" t="e">
        <f>D7/H7</f>
        <v>#DIV/0!</v>
      </c>
      <c r="AC7" s="773" t="e">
        <f>D7/J7</f>
        <v>#DIV/0!</v>
      </c>
    </row>
    <row r="8" spans="1:29" s="117" customFormat="1" ht="15.75" thickBot="1">
      <c r="A8" s="408" t="s">
        <v>2497</v>
      </c>
      <c r="B8" s="409"/>
      <c r="C8" s="414" t="s">
        <v>2598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2499</v>
      </c>
      <c r="Q8" s="3191"/>
      <c r="R8" s="770" t="s">
        <v>17</v>
      </c>
      <c r="S8" s="771">
        <f t="shared" si="0"/>
        <v>0</v>
      </c>
      <c r="T8" s="770" t="s">
        <v>17</v>
      </c>
      <c r="U8" s="771">
        <f t="shared" si="1"/>
        <v>0</v>
      </c>
      <c r="V8" s="770" t="s">
        <v>17</v>
      </c>
      <c r="W8" s="771">
        <f t="shared" si="2"/>
        <v>0</v>
      </c>
      <c r="X8" s="772"/>
      <c r="Y8" s="3190" t="s">
        <v>2499</v>
      </c>
      <c r="Z8" s="3191"/>
      <c r="AA8" s="773" t="e">
        <f t="shared" ref="AA8:AA36" si="3">D8/F8</f>
        <v>#DIV/0!</v>
      </c>
      <c r="AB8" s="773" t="e">
        <f t="shared" ref="AB8:AB36" si="4">D8/H8</f>
        <v>#DIV/0!</v>
      </c>
      <c r="AC8" s="773" t="e">
        <f t="shared" ref="AC8:AC36" si="5">D8/J8</f>
        <v>#DIV/0!</v>
      </c>
    </row>
    <row r="9" spans="1:29" s="117" customFormat="1">
      <c r="A9" s="68" t="s">
        <v>2500</v>
      </c>
      <c r="B9" s="640" t="s">
        <v>2501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2502</v>
      </c>
      <c r="Q9" s="1798" t="str">
        <f t="shared" ref="Q9:Q14" si="6">B9</f>
        <v>用途</v>
      </c>
      <c r="R9" s="770" t="s">
        <v>17</v>
      </c>
      <c r="S9" s="771">
        <f t="shared" si="0"/>
        <v>100</v>
      </c>
      <c r="T9" s="770" t="s">
        <v>17</v>
      </c>
      <c r="U9" s="771">
        <f t="shared" si="1"/>
        <v>100</v>
      </c>
      <c r="V9" s="770" t="s">
        <v>17</v>
      </c>
      <c r="W9" s="771">
        <f t="shared" si="2"/>
        <v>100</v>
      </c>
      <c r="X9" s="772"/>
      <c r="Y9" s="3006" t="s">
        <v>2503</v>
      </c>
      <c r="Z9" s="55" t="str">
        <f t="shared" ref="Z9:Z14" si="7">Q9</f>
        <v>用途</v>
      </c>
      <c r="AA9" s="773">
        <f t="shared" si="3"/>
        <v>1</v>
      </c>
      <c r="AB9" s="773">
        <f t="shared" si="4"/>
        <v>1</v>
      </c>
      <c r="AC9" s="773">
        <f t="shared" si="5"/>
        <v>1</v>
      </c>
    </row>
    <row r="10" spans="1:29" s="427" customFormat="1" ht="27">
      <c r="A10" s="641"/>
      <c r="B10" s="642" t="s">
        <v>2504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42.5">
      <c r="A14" s="401" t="s">
        <v>2506</v>
      </c>
      <c r="B14" s="629" t="s">
        <v>2655</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2507</v>
      </c>
      <c r="Q14" s="1813" t="str">
        <f t="shared" si="6"/>
        <v>交通便捷度</v>
      </c>
      <c r="R14" s="774" t="s">
        <v>17</v>
      </c>
      <c r="S14" s="775">
        <f t="shared" si="0"/>
        <v>100</v>
      </c>
      <c r="T14" s="774" t="s">
        <v>17</v>
      </c>
      <c r="U14" s="775">
        <f t="shared" si="1"/>
        <v>100</v>
      </c>
      <c r="V14" s="774" t="s">
        <v>17</v>
      </c>
      <c r="W14" s="775">
        <f t="shared" si="2"/>
        <v>100</v>
      </c>
      <c r="X14" s="1816"/>
      <c r="Y14" s="3156" t="s">
        <v>2507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7"/>
      <c r="Q15" s="1813"/>
      <c r="R15" s="774"/>
      <c r="S15" s="775"/>
      <c r="T15" s="774"/>
      <c r="U15" s="775"/>
      <c r="V15" s="774"/>
      <c r="W15" s="775"/>
      <c r="X15" s="1816"/>
      <c r="Y15" s="3157"/>
      <c r="Z15" s="1817"/>
      <c r="AA15" s="1814">
        <v>1</v>
      </c>
      <c r="AB15" s="1814">
        <v>1</v>
      </c>
      <c r="AC15" s="1814">
        <v>1</v>
      </c>
    </row>
    <row r="16" spans="1:29" ht="42.75">
      <c r="A16" s="404"/>
      <c r="B16" s="631" t="s">
        <v>2634</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3" t="str">
        <f>B16</f>
        <v>公共配套设施</v>
      </c>
      <c r="R16" s="774" t="s">
        <v>17</v>
      </c>
      <c r="S16" s="775">
        <f>F16</f>
        <v>100</v>
      </c>
      <c r="T16" s="774" t="s">
        <v>17</v>
      </c>
      <c r="U16" s="775">
        <f>H16</f>
        <v>100</v>
      </c>
      <c r="V16" s="774" t="s">
        <v>17</v>
      </c>
      <c r="W16" s="775">
        <f>J16</f>
        <v>100</v>
      </c>
      <c r="X16" s="1816"/>
      <c r="Y16" s="3157"/>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57"/>
      <c r="Q17" s="1813"/>
      <c r="R17" s="774"/>
      <c r="S17" s="775"/>
      <c r="T17" s="774"/>
      <c r="U17" s="775"/>
      <c r="V17" s="774"/>
      <c r="W17" s="775"/>
      <c r="X17" s="1816"/>
      <c r="Y17" s="3157"/>
      <c r="Z17" s="1817"/>
      <c r="AA17" s="1814">
        <v>1</v>
      </c>
      <c r="AB17" s="1814">
        <v>1</v>
      </c>
      <c r="AC17" s="1814">
        <v>1</v>
      </c>
    </row>
    <row r="18" spans="1:29" ht="42.75">
      <c r="A18" s="404"/>
      <c r="B18" s="633" t="s">
        <v>2635</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3" t="str">
        <f>B18</f>
        <v>基础设施水平</v>
      </c>
      <c r="R18" s="774" t="s">
        <v>17</v>
      </c>
      <c r="S18" s="775">
        <f>F18</f>
        <v>100</v>
      </c>
      <c r="T18" s="774" t="s">
        <v>17</v>
      </c>
      <c r="U18" s="775">
        <f>H18</f>
        <v>100</v>
      </c>
      <c r="V18" s="774" t="s">
        <v>17</v>
      </c>
      <c r="W18" s="775">
        <f>J18</f>
        <v>100</v>
      </c>
      <c r="X18" s="1816"/>
      <c r="Y18" s="3157"/>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57"/>
      <c r="Q19" s="1813"/>
      <c r="R19" s="774"/>
      <c r="S19" s="775"/>
      <c r="T19" s="774"/>
      <c r="U19" s="775"/>
      <c r="V19" s="774"/>
      <c r="W19" s="775"/>
      <c r="X19" s="1816"/>
      <c r="Y19" s="3157"/>
      <c r="Z19" s="1817"/>
      <c r="AA19" s="1814">
        <v>1</v>
      </c>
      <c r="AB19" s="1814">
        <v>1</v>
      </c>
      <c r="AC19" s="1814">
        <v>1</v>
      </c>
    </row>
    <row r="20" spans="1:29" ht="71.25">
      <c r="A20" s="404"/>
      <c r="B20" s="631" t="s">
        <v>2656</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3" t="str">
        <f>B20</f>
        <v>自然及人文环境</v>
      </c>
      <c r="R20" s="774" t="s">
        <v>17</v>
      </c>
      <c r="S20" s="775">
        <f>F20</f>
        <v>100</v>
      </c>
      <c r="T20" s="774" t="s">
        <v>17</v>
      </c>
      <c r="U20" s="775">
        <f>H20</f>
        <v>100</v>
      </c>
      <c r="V20" s="774" t="s">
        <v>17</v>
      </c>
      <c r="W20" s="775">
        <f>J20</f>
        <v>100</v>
      </c>
      <c r="X20" s="1816"/>
      <c r="Y20" s="315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7"/>
      <c r="Q21" s="1813"/>
      <c r="R21" s="774"/>
      <c r="S21" s="775"/>
      <c r="T21" s="774"/>
      <c r="U21" s="775"/>
      <c r="V21" s="774"/>
      <c r="W21" s="775"/>
      <c r="X21" s="1816"/>
      <c r="Y21" s="3157"/>
      <c r="Z21" s="1817"/>
      <c r="AA21" s="1814">
        <v>1</v>
      </c>
      <c r="AB21" s="1814">
        <v>1</v>
      </c>
      <c r="AC21" s="1814">
        <v>1</v>
      </c>
    </row>
    <row r="22" spans="1:29" ht="15">
      <c r="A22" s="404"/>
      <c r="B22" s="631" t="s">
        <v>2657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3" t="str">
        <f>B22</f>
        <v>楼层</v>
      </c>
      <c r="R22" s="774" t="s">
        <v>17</v>
      </c>
      <c r="S22" s="775">
        <f>F22</f>
        <v>100</v>
      </c>
      <c r="T22" s="774" t="s">
        <v>17</v>
      </c>
      <c r="U22" s="775">
        <f>H22</f>
        <v>100</v>
      </c>
      <c r="V22" s="774" t="s">
        <v>17</v>
      </c>
      <c r="W22" s="775">
        <f>J22</f>
        <v>100</v>
      </c>
      <c r="X22" s="1816"/>
      <c r="Y22" s="315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3">
        <f>B23</f>
        <v>111</v>
      </c>
      <c r="R23" s="774" t="s">
        <v>17</v>
      </c>
      <c r="S23" s="775">
        <f>F23</f>
        <v>100</v>
      </c>
      <c r="T23" s="774" t="s">
        <v>17</v>
      </c>
      <c r="U23" s="775">
        <f>H23</f>
        <v>100</v>
      </c>
      <c r="V23" s="774" t="s">
        <v>17</v>
      </c>
      <c r="W23" s="775">
        <f>J23</f>
        <v>100</v>
      </c>
      <c r="X23" s="1816"/>
      <c r="Y23" s="315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3">
        <f t="shared" ref="Q24:Q36" si="11">B24</f>
        <v>111</v>
      </c>
      <c r="R24" s="774" t="s">
        <v>17</v>
      </c>
      <c r="S24" s="775">
        <f>F24</f>
        <v>100</v>
      </c>
      <c r="T24" s="774" t="s">
        <v>17</v>
      </c>
      <c r="U24" s="775">
        <f>H24</f>
        <v>100</v>
      </c>
      <c r="V24" s="774" t="s">
        <v>17</v>
      </c>
      <c r="W24" s="775">
        <f>J24</f>
        <v>100</v>
      </c>
      <c r="X24" s="1816"/>
      <c r="Y24" s="315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8">
        <f t="shared" si="11"/>
        <v>111</v>
      </c>
      <c r="R25" s="770" t="s">
        <v>17</v>
      </c>
      <c r="S25" s="771">
        <f>F25</f>
        <v>100</v>
      </c>
      <c r="T25" s="770" t="s">
        <v>17</v>
      </c>
      <c r="U25" s="771">
        <f>H25</f>
        <v>100</v>
      </c>
      <c r="V25" s="770" t="s">
        <v>17</v>
      </c>
      <c r="W25" s="771">
        <f>J25</f>
        <v>100</v>
      </c>
      <c r="X25" s="772"/>
      <c r="Y25" s="3157"/>
      <c r="Z25" s="55">
        <f>Q25</f>
        <v>111</v>
      </c>
      <c r="AA25" s="1814">
        <f>D25/F25</f>
        <v>1</v>
      </c>
      <c r="AB25" s="1814">
        <f>D25/H25</f>
        <v>1</v>
      </c>
      <c r="AC25" s="1814">
        <f>D25/J25</f>
        <v>1</v>
      </c>
    </row>
    <row r="26" spans="1:29" ht="28.5">
      <c r="A26" s="652" t="s">
        <v>2510</v>
      </c>
      <c r="B26" s="70" t="s">
        <v>2658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1" t="s">
        <v>2512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1" t="s">
        <v>2512</v>
      </c>
      <c r="Z26" s="1817" t="str">
        <f t="shared" ref="Z26:Z36" si="15">Q26</f>
        <v>配套类型</v>
      </c>
      <c r="AA26" s="1814">
        <f t="shared" si="3"/>
        <v>1</v>
      </c>
      <c r="AB26" s="1814">
        <f t="shared" si="4"/>
        <v>1</v>
      </c>
      <c r="AC26" s="1814">
        <f t="shared" si="5"/>
        <v>1</v>
      </c>
    </row>
    <row r="27" spans="1:29" s="471" customFormat="1" ht="15">
      <c r="A27" s="653"/>
      <c r="B27" s="654" t="s">
        <v>2659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4">
        <f t="shared" si="3"/>
        <v>1</v>
      </c>
      <c r="AB27" s="1814">
        <f t="shared" si="4"/>
        <v>1</v>
      </c>
      <c r="AC27" s="1814">
        <f t="shared" si="5"/>
        <v>1</v>
      </c>
    </row>
    <row r="28" spans="1:29" ht="15">
      <c r="A28" s="656"/>
      <c r="B28" s="654" t="s">
        <v>2660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3" t="str">
        <f t="shared" si="11"/>
        <v>公共部分装修</v>
      </c>
      <c r="R28" s="774" t="s">
        <v>17</v>
      </c>
      <c r="S28" s="775">
        <f t="shared" si="12"/>
        <v>100</v>
      </c>
      <c r="T28" s="774" t="s">
        <v>17</v>
      </c>
      <c r="U28" s="775">
        <f t="shared" si="13"/>
        <v>100</v>
      </c>
      <c r="V28" s="774" t="s">
        <v>17</v>
      </c>
      <c r="W28" s="775">
        <f t="shared" si="14"/>
        <v>100</v>
      </c>
      <c r="X28" s="1816"/>
      <c r="Y28" s="3161"/>
      <c r="Z28" s="1817" t="str">
        <f t="shared" si="15"/>
        <v>公共部分装修</v>
      </c>
      <c r="AA28" s="1814">
        <f t="shared" si="3"/>
        <v>1</v>
      </c>
      <c r="AB28" s="1814">
        <f t="shared" si="4"/>
        <v>1</v>
      </c>
      <c r="AC28" s="1814">
        <f t="shared" si="5"/>
        <v>1</v>
      </c>
    </row>
    <row r="29" spans="1:29" ht="15">
      <c r="A29" s="656"/>
      <c r="B29" s="654" t="s">
        <v>2661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3" t="str">
        <f t="shared" si="11"/>
        <v>成新率</v>
      </c>
      <c r="R29" s="774" t="s">
        <v>17</v>
      </c>
      <c r="S29" s="775" t="e">
        <f t="shared" si="12"/>
        <v>#N/A</v>
      </c>
      <c r="T29" s="774" t="s">
        <v>17</v>
      </c>
      <c r="U29" s="775" t="e">
        <f t="shared" si="13"/>
        <v>#N/A</v>
      </c>
      <c r="V29" s="774" t="s">
        <v>17</v>
      </c>
      <c r="W29" s="775" t="e">
        <f t="shared" si="14"/>
        <v>#N/A</v>
      </c>
      <c r="X29" s="1816"/>
      <c r="Y29" s="3161"/>
      <c r="Z29" s="1817" t="str">
        <f t="shared" si="15"/>
        <v>成新率</v>
      </c>
      <c r="AA29" s="1814" t="e">
        <f t="shared" si="3"/>
        <v>#N/A</v>
      </c>
      <c r="AB29" s="1814" t="e">
        <f t="shared" si="4"/>
        <v>#N/A</v>
      </c>
      <c r="AC29" s="1814" t="e">
        <f t="shared" si="5"/>
        <v>#N/A</v>
      </c>
    </row>
    <row r="30" spans="1:29" ht="15">
      <c r="A30" s="656"/>
      <c r="B30" s="654" t="s">
        <v>2662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3" t="str">
        <f t="shared" si="11"/>
        <v>物业等级</v>
      </c>
      <c r="R30" s="774" t="s">
        <v>17</v>
      </c>
      <c r="S30" s="775">
        <f t="shared" si="12"/>
        <v>100</v>
      </c>
      <c r="T30" s="774" t="s">
        <v>17</v>
      </c>
      <c r="U30" s="775">
        <f t="shared" si="13"/>
        <v>100</v>
      </c>
      <c r="V30" s="774" t="s">
        <v>17</v>
      </c>
      <c r="W30" s="775">
        <f t="shared" si="14"/>
        <v>100</v>
      </c>
      <c r="X30" s="1816"/>
      <c r="Y30" s="3161"/>
      <c r="Z30" s="1817" t="str">
        <f t="shared" si="15"/>
        <v>物业等级</v>
      </c>
      <c r="AA30" s="1814">
        <f t="shared" si="3"/>
        <v>1</v>
      </c>
      <c r="AB30" s="1814">
        <f t="shared" si="4"/>
        <v>1</v>
      </c>
      <c r="AC30" s="1814">
        <f t="shared" si="5"/>
        <v>1</v>
      </c>
    </row>
    <row r="31" spans="1:29" s="117" customFormat="1" ht="15">
      <c r="A31" s="658"/>
      <c r="B31" s="654" t="s">
        <v>2663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8"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2664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2512</v>
      </c>
      <c r="Q32" s="1813" t="str">
        <f t="shared" si="11"/>
        <v>车位类型</v>
      </c>
      <c r="R32" s="774" t="s">
        <v>17</v>
      </c>
      <c r="S32" s="775">
        <f t="shared" si="12"/>
        <v>100</v>
      </c>
      <c r="T32" s="774" t="s">
        <v>17</v>
      </c>
      <c r="U32" s="775">
        <f t="shared" si="13"/>
        <v>100</v>
      </c>
      <c r="V32" s="774" t="s">
        <v>17</v>
      </c>
      <c r="W32" s="775">
        <f t="shared" si="14"/>
        <v>100</v>
      </c>
      <c r="X32" s="1816"/>
      <c r="Y32" s="3161" t="s">
        <v>2512</v>
      </c>
      <c r="Z32" s="1817" t="str">
        <f t="shared" si="15"/>
        <v>车位类型</v>
      </c>
      <c r="AA32" s="1814">
        <f t="shared" si="3"/>
        <v>1</v>
      </c>
      <c r="AB32" s="1814">
        <f t="shared" si="4"/>
        <v>1</v>
      </c>
      <c r="AC32" s="1814">
        <f t="shared" si="5"/>
        <v>1</v>
      </c>
    </row>
    <row r="33" spans="1:29" ht="15">
      <c r="A33" s="656"/>
      <c r="B33" s="654" t="s">
        <v>2665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3" t="str">
        <f t="shared" si="11"/>
        <v>是否直接入户</v>
      </c>
      <c r="R33" s="774" t="s">
        <v>17</v>
      </c>
      <c r="S33" s="775">
        <f t="shared" si="12"/>
        <v>100</v>
      </c>
      <c r="T33" s="774" t="s">
        <v>17</v>
      </c>
      <c r="U33" s="775">
        <f t="shared" si="13"/>
        <v>100</v>
      </c>
      <c r="V33" s="774" t="s">
        <v>17</v>
      </c>
      <c r="W33" s="775">
        <f t="shared" si="14"/>
        <v>100</v>
      </c>
      <c r="X33" s="1816"/>
      <c r="Y33" s="31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3">
        <f t="shared" si="11"/>
        <v>111</v>
      </c>
      <c r="R36" s="774" t="s">
        <v>17</v>
      </c>
      <c r="S36" s="775">
        <f t="shared" si="12"/>
        <v>100</v>
      </c>
      <c r="T36" s="774" t="s">
        <v>17</v>
      </c>
      <c r="U36" s="775">
        <f t="shared" si="13"/>
        <v>100</v>
      </c>
      <c r="V36" s="774" t="s">
        <v>17</v>
      </c>
      <c r="W36" s="775">
        <f t="shared" si="14"/>
        <v>100</v>
      </c>
      <c r="X36" s="1816"/>
      <c r="Y36" s="3161"/>
      <c r="Z36" s="1817">
        <f t="shared" si="15"/>
        <v>111</v>
      </c>
      <c r="AA36" s="1814">
        <f t="shared" si="3"/>
        <v>1</v>
      </c>
      <c r="AB36" s="1814">
        <f t="shared" si="4"/>
        <v>1</v>
      </c>
      <c r="AC36" s="1814">
        <f t="shared" si="5"/>
        <v>1</v>
      </c>
    </row>
    <row r="37" spans="1:29" ht="15">
      <c r="A37" s="479" t="s">
        <v>2666</v>
      </c>
      <c r="B37" s="2701" t="s">
        <v>2667</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2668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2669</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2674</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2497</v>
      </c>
      <c r="B51" s="510"/>
      <c r="C51" s="522" t="s">
        <v>2598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2534</v>
      </c>
      <c r="B53" s="528" t="s">
        <v>2501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2504</v>
      </c>
      <c r="C55" s="539" t="s">
        <v>2535</v>
      </c>
      <c r="D55" s="539" t="s">
        <v>2536</v>
      </c>
      <c r="E55" s="539" t="s">
        <v>2537</v>
      </c>
      <c r="F55" s="539" t="s">
        <v>2538</v>
      </c>
      <c r="G55" s="539" t="s">
        <v>2539</v>
      </c>
      <c r="H55" s="539" t="s">
        <v>2540</v>
      </c>
      <c r="I55" s="539" t="s">
        <v>2541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2506</v>
      </c>
      <c r="B63" s="528" t="s">
        <v>2548</v>
      </c>
      <c r="C63" s="573" t="s">
        <v>2543</v>
      </c>
      <c r="D63" s="573" t="s">
        <v>2544</v>
      </c>
      <c r="E63" s="573" t="s">
        <v>2545</v>
      </c>
      <c r="F63" s="573" t="s">
        <v>2546</v>
      </c>
      <c r="G63" s="573" t="s">
        <v>2547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2549</v>
      </c>
      <c r="C65" s="578" t="s">
        <v>2543</v>
      </c>
      <c r="D65" s="578" t="s">
        <v>2544</v>
      </c>
      <c r="E65" s="578" t="s">
        <v>2545</v>
      </c>
      <c r="F65" s="578" t="s">
        <v>2546</v>
      </c>
      <c r="G65" s="578" t="s">
        <v>2547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2635</v>
      </c>
      <c r="C67" s="660" t="s">
        <v>2621</v>
      </c>
      <c r="D67" s="660" t="s">
        <v>2622</v>
      </c>
      <c r="E67" s="660" t="s">
        <v>2623</v>
      </c>
      <c r="F67" s="660" t="s">
        <v>2624</v>
      </c>
      <c r="G67" s="660" t="s">
        <v>2625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2555</v>
      </c>
      <c r="C69" s="578" t="s">
        <v>2543</v>
      </c>
      <c r="D69" s="578" t="s">
        <v>2544</v>
      </c>
      <c r="E69" s="578" t="s">
        <v>2545</v>
      </c>
      <c r="F69" s="578" t="s">
        <v>2546</v>
      </c>
      <c r="G69" s="578" t="s">
        <v>2547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2510</v>
      </c>
      <c r="B79" s="528" t="s">
        <v>2676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2677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2653</v>
      </c>
      <c r="B1" s="1622"/>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IF(C2="——",ROUND(C37*D3/10000,0),ROUND(C37*D3/10000,0)-D2)</f>
        <v>#DIV/0!</v>
      </c>
      <c r="C2" s="2592"/>
      <c r="D2" s="1127" t="e">
        <f ca="1">SUMIF(INDIRECT("'"&amp;F2&amp;"'"&amp;"!A:A"),"承租人权益价值",INDIRECT("'"&amp;F2&amp;"'"&amp;"!c:c"))</f>
        <v>#REF!</v>
      </c>
      <c r="E2" s="2593" t="s">
        <v>2275</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 ca="1">IF(C2="——",C37,ROUND(B2*10000/D3,0))</f>
        <v>#DIV/0!</v>
      </c>
      <c r="C3" s="400" t="s">
        <v>2590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69" t="s">
        <v>2592</v>
      </c>
      <c r="D4" s="3170"/>
      <c r="E4" s="3171" t="s">
        <v>2593</v>
      </c>
      <c r="F4" s="3172"/>
      <c r="G4" s="3169" t="s">
        <v>2594</v>
      </c>
      <c r="H4" s="3170"/>
      <c r="I4" s="3169" t="s">
        <v>2595</v>
      </c>
      <c r="J4" s="3170"/>
      <c r="K4" s="610" t="s">
        <v>2596</v>
      </c>
      <c r="L4" s="1133"/>
      <c r="M4" s="1134"/>
      <c r="N4" s="1134"/>
      <c r="O4" s="1134"/>
      <c r="P4" s="3173" t="s">
        <v>2597</v>
      </c>
      <c r="Q4" s="3174"/>
      <c r="R4" s="3179" t="s">
        <v>2593</v>
      </c>
      <c r="S4" s="3180"/>
      <c r="T4" s="3179" t="s">
        <v>2594</v>
      </c>
      <c r="U4" s="3180"/>
      <c r="V4" s="3185" t="s">
        <v>2595</v>
      </c>
      <c r="W4" s="3185"/>
      <c r="X4" s="1816"/>
      <c r="Y4" s="3179" t="s">
        <v>2597</v>
      </c>
      <c r="Z4" s="3180"/>
      <c r="AA4" s="3166" t="s">
        <v>2593</v>
      </c>
      <c r="AB4" s="3167" t="s">
        <v>2594</v>
      </c>
      <c r="AC4" s="3166" t="s">
        <v>2595</v>
      </c>
    </row>
    <row r="5" spans="1:29" ht="15">
      <c r="A5" s="404"/>
      <c r="B5" s="405"/>
      <c r="C5" s="3224" t="s">
        <v>2489</v>
      </c>
      <c r="D5" s="3189"/>
      <c r="E5" s="3225" t="s">
        <v>2490</v>
      </c>
      <c r="F5" s="3196"/>
      <c r="G5" s="3224" t="s">
        <v>2491</v>
      </c>
      <c r="H5" s="3189"/>
      <c r="I5" s="3224" t="s">
        <v>2492</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2493</v>
      </c>
      <c r="D6" s="3187"/>
      <c r="E6" s="3193" t="s">
        <v>2493</v>
      </c>
      <c r="F6" s="3194"/>
      <c r="G6" s="3186" t="s">
        <v>2493</v>
      </c>
      <c r="H6" s="3187"/>
      <c r="I6" s="3186" t="s">
        <v>2493</v>
      </c>
      <c r="J6" s="3187"/>
      <c r="K6" s="610" t="s">
        <v>2494</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2495</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0" t="s">
        <v>2496</v>
      </c>
      <c r="Q7" s="3192"/>
      <c r="R7" s="770" t="s">
        <v>17</v>
      </c>
      <c r="S7" s="771">
        <f t="shared" ref="S7:S14" si="0">F7</f>
        <v>0</v>
      </c>
      <c r="T7" s="770" t="s">
        <v>17</v>
      </c>
      <c r="U7" s="771">
        <f t="shared" ref="U7:U14" si="1">H7</f>
        <v>0</v>
      </c>
      <c r="V7" s="770" t="s">
        <v>17</v>
      </c>
      <c r="W7" s="771">
        <f t="shared" ref="W7:W14" si="2">J7</f>
        <v>0</v>
      </c>
      <c r="X7" s="772"/>
      <c r="Y7" s="3190" t="s">
        <v>2496</v>
      </c>
      <c r="Z7" s="3191"/>
      <c r="AA7" s="773" t="e">
        <f>D7/F7</f>
        <v>#DIV/0!</v>
      </c>
      <c r="AB7" s="773" t="e">
        <f>D7/H7</f>
        <v>#DIV/0!</v>
      </c>
      <c r="AC7" s="773" t="e">
        <f>D7/J7</f>
        <v>#DIV/0!</v>
      </c>
    </row>
    <row r="8" spans="1:29" s="117" customFormat="1" ht="15.75" thickBot="1">
      <c r="A8" s="408" t="s">
        <v>2497</v>
      </c>
      <c r="B8" s="409"/>
      <c r="C8" s="414" t="s">
        <v>2598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2499</v>
      </c>
      <c r="Q8" s="3191"/>
      <c r="R8" s="770" t="s">
        <v>17</v>
      </c>
      <c r="S8" s="771">
        <f t="shared" si="0"/>
        <v>0</v>
      </c>
      <c r="T8" s="770" t="s">
        <v>17</v>
      </c>
      <c r="U8" s="771">
        <f t="shared" si="1"/>
        <v>0</v>
      </c>
      <c r="V8" s="770" t="s">
        <v>17</v>
      </c>
      <c r="W8" s="771">
        <f t="shared" si="2"/>
        <v>0</v>
      </c>
      <c r="X8" s="772"/>
      <c r="Y8" s="3190" t="s">
        <v>2499</v>
      </c>
      <c r="Z8" s="3191"/>
      <c r="AA8" s="773" t="e">
        <f t="shared" ref="AA8:AA34" si="3">D8/F8</f>
        <v>#DIV/0!</v>
      </c>
      <c r="AB8" s="773" t="e">
        <f t="shared" ref="AB8:AB34" si="4">D8/H8</f>
        <v>#DIV/0!</v>
      </c>
      <c r="AC8" s="773"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2502</v>
      </c>
      <c r="Q9" s="1798" t="str">
        <f t="shared" ref="Q9:Q14" si="6">B9</f>
        <v>用途</v>
      </c>
      <c r="R9" s="770" t="s">
        <v>17</v>
      </c>
      <c r="S9" s="771">
        <f t="shared" si="0"/>
        <v>100</v>
      </c>
      <c r="T9" s="770" t="s">
        <v>17</v>
      </c>
      <c r="U9" s="771">
        <f t="shared" si="1"/>
        <v>100</v>
      </c>
      <c r="V9" s="770" t="s">
        <v>17</v>
      </c>
      <c r="W9" s="771">
        <f t="shared" si="2"/>
        <v>100</v>
      </c>
      <c r="X9" s="772"/>
      <c r="Y9" s="3006" t="s">
        <v>2503</v>
      </c>
      <c r="Z9" s="55" t="str">
        <f t="shared" ref="Z9:Z14" si="7">Q9</f>
        <v>用途</v>
      </c>
      <c r="AA9" s="773">
        <f t="shared" si="3"/>
        <v>1</v>
      </c>
      <c r="AB9" s="773">
        <f t="shared" si="4"/>
        <v>1</v>
      </c>
      <c r="AC9" s="773">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42.5">
      <c r="A14" s="440" t="s">
        <v>2506</v>
      </c>
      <c r="B14" s="69" t="s">
        <v>2655</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2507</v>
      </c>
      <c r="Q14" s="1813" t="str">
        <f t="shared" si="6"/>
        <v>交通便捷度</v>
      </c>
      <c r="R14" s="774" t="s">
        <v>17</v>
      </c>
      <c r="S14" s="775">
        <f t="shared" si="0"/>
        <v>100</v>
      </c>
      <c r="T14" s="774" t="s">
        <v>17</v>
      </c>
      <c r="U14" s="775">
        <f t="shared" si="1"/>
        <v>100</v>
      </c>
      <c r="V14" s="774" t="s">
        <v>17</v>
      </c>
      <c r="W14" s="775">
        <f t="shared" si="2"/>
        <v>100</v>
      </c>
      <c r="X14" s="1816"/>
      <c r="Y14" s="3156" t="s">
        <v>2507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7"/>
      <c r="Q15" s="1813"/>
      <c r="R15" s="774"/>
      <c r="S15" s="775"/>
      <c r="T15" s="774"/>
      <c r="U15" s="775"/>
      <c r="V15" s="774"/>
      <c r="W15" s="775"/>
      <c r="X15" s="1816"/>
      <c r="Y15" s="3157"/>
      <c r="Z15" s="1817"/>
      <c r="AA15" s="1814">
        <v>1</v>
      </c>
      <c r="AB15" s="1814">
        <v>1</v>
      </c>
      <c r="AC15" s="1814">
        <v>1</v>
      </c>
    </row>
    <row r="16" spans="1:29" ht="42.75">
      <c r="A16" s="428"/>
      <c r="B16" s="451" t="s">
        <v>2634</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3" t="str">
        <f>B16</f>
        <v>公共配套设施</v>
      </c>
      <c r="R16" s="774" t="s">
        <v>17</v>
      </c>
      <c r="S16" s="775">
        <f>F16</f>
        <v>100</v>
      </c>
      <c r="T16" s="774" t="s">
        <v>17</v>
      </c>
      <c r="U16" s="775">
        <f>H16</f>
        <v>100</v>
      </c>
      <c r="V16" s="774" t="s">
        <v>17</v>
      </c>
      <c r="W16" s="775">
        <f>J16</f>
        <v>100</v>
      </c>
      <c r="X16" s="1816"/>
      <c r="Y16" s="3157"/>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57"/>
      <c r="Q17" s="1813"/>
      <c r="R17" s="774"/>
      <c r="S17" s="775"/>
      <c r="T17" s="774"/>
      <c r="U17" s="775"/>
      <c r="V17" s="774"/>
      <c r="W17" s="775"/>
      <c r="X17" s="1816"/>
      <c r="Y17" s="3157"/>
      <c r="Z17" s="1817"/>
      <c r="AA17" s="1814">
        <v>1</v>
      </c>
      <c r="AB17" s="1814">
        <v>1</v>
      </c>
      <c r="AC17" s="1814">
        <v>1</v>
      </c>
    </row>
    <row r="18" spans="1:29" ht="42.75">
      <c r="A18" s="428"/>
      <c r="B18" s="1387" t="s">
        <v>2635</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3" t="str">
        <f>B18</f>
        <v>基础设施水平</v>
      </c>
      <c r="R18" s="774" t="s">
        <v>17</v>
      </c>
      <c r="S18" s="775">
        <f>F18</f>
        <v>100</v>
      </c>
      <c r="T18" s="774" t="s">
        <v>17</v>
      </c>
      <c r="U18" s="775">
        <f>H18</f>
        <v>100</v>
      </c>
      <c r="V18" s="774" t="s">
        <v>17</v>
      </c>
      <c r="W18" s="775">
        <f>J18</f>
        <v>100</v>
      </c>
      <c r="X18" s="1816"/>
      <c r="Y18" s="3157"/>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57"/>
      <c r="Q19" s="1813"/>
      <c r="R19" s="774"/>
      <c r="S19" s="775"/>
      <c r="T19" s="774"/>
      <c r="U19" s="775"/>
      <c r="V19" s="774"/>
      <c r="W19" s="775"/>
      <c r="X19" s="1816"/>
      <c r="Y19" s="3157"/>
      <c r="Z19" s="1817"/>
      <c r="AA19" s="1814">
        <v>1</v>
      </c>
      <c r="AB19" s="1814">
        <v>1</v>
      </c>
      <c r="AC19" s="1814">
        <v>1</v>
      </c>
    </row>
    <row r="20" spans="1:29" ht="71.25">
      <c r="A20" s="428"/>
      <c r="B20" s="451" t="s">
        <v>2656</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3" t="str">
        <f>B20</f>
        <v>自然及人文环境</v>
      </c>
      <c r="R20" s="774" t="s">
        <v>17</v>
      </c>
      <c r="S20" s="775">
        <f>F20</f>
        <v>100</v>
      </c>
      <c r="T20" s="774" t="s">
        <v>17</v>
      </c>
      <c r="U20" s="775">
        <f>H20</f>
        <v>100</v>
      </c>
      <c r="V20" s="774" t="s">
        <v>17</v>
      </c>
      <c r="W20" s="775">
        <f>J20</f>
        <v>100</v>
      </c>
      <c r="X20" s="1816"/>
      <c r="Y20" s="315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7"/>
      <c r="Q21" s="1813"/>
      <c r="R21" s="774"/>
      <c r="S21" s="775"/>
      <c r="T21" s="774"/>
      <c r="U21" s="775"/>
      <c r="V21" s="774"/>
      <c r="W21" s="775"/>
      <c r="X21" s="1816"/>
      <c r="Y21" s="3157"/>
      <c r="Z21" s="1817"/>
      <c r="AA21" s="1814">
        <v>1</v>
      </c>
      <c r="AB21" s="1814">
        <v>1</v>
      </c>
      <c r="AC21" s="1814">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3" t="str">
        <f>B22</f>
        <v>楼层</v>
      </c>
      <c r="R22" s="774" t="s">
        <v>17</v>
      </c>
      <c r="S22" s="775">
        <f>F22</f>
        <v>100</v>
      </c>
      <c r="T22" s="774" t="s">
        <v>17</v>
      </c>
      <c r="U22" s="775">
        <f>H22</f>
        <v>100</v>
      </c>
      <c r="V22" s="774" t="s">
        <v>17</v>
      </c>
      <c r="W22" s="775">
        <f>J22</f>
        <v>100</v>
      </c>
      <c r="X22" s="1816"/>
      <c r="Y22" s="3157"/>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3">
        <f>B23</f>
        <v>111</v>
      </c>
      <c r="R23" s="774" t="s">
        <v>17</v>
      </c>
      <c r="S23" s="775">
        <f>F23</f>
        <v>100</v>
      </c>
      <c r="T23" s="774" t="s">
        <v>17</v>
      </c>
      <c r="U23" s="775">
        <f>H23</f>
        <v>100</v>
      </c>
      <c r="V23" s="774" t="s">
        <v>17</v>
      </c>
      <c r="W23" s="775">
        <f>J23</f>
        <v>100</v>
      </c>
      <c r="X23" s="1816"/>
      <c r="Y23" s="3157"/>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3">
        <f t="shared" ref="Q24:Q34" si="11">B24</f>
        <v>111</v>
      </c>
      <c r="R24" s="774" t="s">
        <v>17</v>
      </c>
      <c r="S24" s="775">
        <f>F24</f>
        <v>100</v>
      </c>
      <c r="T24" s="774" t="s">
        <v>17</v>
      </c>
      <c r="U24" s="775">
        <f>H24</f>
        <v>100</v>
      </c>
      <c r="V24" s="774" t="s">
        <v>17</v>
      </c>
      <c r="W24" s="775">
        <f>J24</f>
        <v>100</v>
      </c>
      <c r="X24" s="1816"/>
      <c r="Y24" s="3157"/>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57"/>
      <c r="Q25" s="1798">
        <f t="shared" si="11"/>
        <v>111</v>
      </c>
      <c r="R25" s="770" t="s">
        <v>17</v>
      </c>
      <c r="S25" s="771">
        <f>F25</f>
        <v>100</v>
      </c>
      <c r="T25" s="770" t="s">
        <v>17</v>
      </c>
      <c r="U25" s="771">
        <f>H25</f>
        <v>100</v>
      </c>
      <c r="V25" s="770" t="s">
        <v>17</v>
      </c>
      <c r="W25" s="771">
        <f>J25</f>
        <v>100</v>
      </c>
      <c r="X25" s="772"/>
      <c r="Y25" s="3157"/>
      <c r="Z25" s="55">
        <f>Q25</f>
        <v>111</v>
      </c>
      <c r="AA25" s="1814">
        <f>D25/F25</f>
        <v>1</v>
      </c>
      <c r="AB25" s="1814">
        <f>D25/H25</f>
        <v>1</v>
      </c>
      <c r="AC25" s="1814">
        <f>D25/J25</f>
        <v>1</v>
      </c>
    </row>
    <row r="26" spans="1:29" ht="28.5">
      <c r="A26" s="466" t="s">
        <v>2510</v>
      </c>
      <c r="B26" s="71" t="s">
        <v>2660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1" t="s">
        <v>2512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1" t="s">
        <v>2512</v>
      </c>
      <c r="Z26" s="1817" t="str">
        <f t="shared" ref="Z26:Z34" si="15">Q26</f>
        <v>公共部分装修</v>
      </c>
      <c r="AA26" s="1814">
        <f t="shared" si="3"/>
        <v>1</v>
      </c>
      <c r="AB26" s="1814">
        <f t="shared" si="4"/>
        <v>1</v>
      </c>
      <c r="AC26" s="1814">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4" t="e">
        <f t="shared" si="3"/>
        <v>#N/A</v>
      </c>
      <c r="AB27" s="1814" t="e">
        <f t="shared" si="4"/>
        <v>#N/A</v>
      </c>
      <c r="AC27" s="1814"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3" t="str">
        <f t="shared" si="11"/>
        <v>物业等级</v>
      </c>
      <c r="R28" s="774" t="s">
        <v>17</v>
      </c>
      <c r="S28" s="775">
        <f t="shared" si="12"/>
        <v>100</v>
      </c>
      <c r="T28" s="774" t="s">
        <v>17</v>
      </c>
      <c r="U28" s="775">
        <f t="shared" si="13"/>
        <v>100</v>
      </c>
      <c r="V28" s="774" t="s">
        <v>17</v>
      </c>
      <c r="W28" s="775">
        <f t="shared" si="14"/>
        <v>100</v>
      </c>
      <c r="X28" s="1816"/>
      <c r="Y28" s="3161"/>
      <c r="Z28" s="1817" t="str">
        <f t="shared" si="15"/>
        <v>物业等级</v>
      </c>
      <c r="AA28" s="1814">
        <f t="shared" si="3"/>
        <v>1</v>
      </c>
      <c r="AB28" s="1814">
        <f t="shared" si="4"/>
        <v>1</v>
      </c>
      <c r="AC28" s="1814">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3" t="str">
        <f t="shared" si="11"/>
        <v>有无电梯</v>
      </c>
      <c r="R29" s="774" t="s">
        <v>17</v>
      </c>
      <c r="S29" s="775">
        <f t="shared" si="12"/>
        <v>100</v>
      </c>
      <c r="T29" s="774" t="s">
        <v>17</v>
      </c>
      <c r="U29" s="775">
        <f t="shared" si="13"/>
        <v>100</v>
      </c>
      <c r="V29" s="774" t="s">
        <v>17</v>
      </c>
      <c r="W29" s="775">
        <f t="shared" si="14"/>
        <v>100</v>
      </c>
      <c r="X29" s="1816"/>
      <c r="Y29" s="3161"/>
      <c r="Z29" s="1817" t="str">
        <f t="shared" si="15"/>
        <v>有无电梯</v>
      </c>
      <c r="AA29" s="1814">
        <f t="shared" si="3"/>
        <v>1</v>
      </c>
      <c r="AB29" s="1814">
        <f t="shared" si="4"/>
        <v>1</v>
      </c>
      <c r="AC29" s="1814">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3" t="str">
        <f t="shared" si="11"/>
        <v>建筑面积</v>
      </c>
      <c r="R30" s="774" t="s">
        <v>17</v>
      </c>
      <c r="S30" s="775" t="e">
        <f t="shared" si="12"/>
        <v>#N/A</v>
      </c>
      <c r="T30" s="774" t="s">
        <v>17</v>
      </c>
      <c r="U30" s="775" t="e">
        <f t="shared" si="13"/>
        <v>#N/A</v>
      </c>
      <c r="V30" s="774" t="s">
        <v>17</v>
      </c>
      <c r="W30" s="775" t="e">
        <f t="shared" si="14"/>
        <v>#N/A</v>
      </c>
      <c r="X30" s="1816"/>
      <c r="Y30" s="3161"/>
      <c r="Z30" s="1817" t="str">
        <f t="shared" si="15"/>
        <v>建筑面积</v>
      </c>
      <c r="AA30" s="1814" t="e">
        <f t="shared" si="3"/>
        <v>#N/A</v>
      </c>
      <c r="AB30" s="1814" t="e">
        <f t="shared" si="4"/>
        <v>#N/A</v>
      </c>
      <c r="AC30" s="1814"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8"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2512</v>
      </c>
      <c r="Q32" s="1813">
        <f t="shared" si="11"/>
        <v>111</v>
      </c>
      <c r="R32" s="774" t="s">
        <v>17</v>
      </c>
      <c r="S32" s="775">
        <f t="shared" si="12"/>
        <v>100</v>
      </c>
      <c r="T32" s="774" t="s">
        <v>17</v>
      </c>
      <c r="U32" s="775">
        <f t="shared" si="13"/>
        <v>100</v>
      </c>
      <c r="V32" s="774" t="s">
        <v>17</v>
      </c>
      <c r="W32" s="775">
        <f t="shared" si="14"/>
        <v>100</v>
      </c>
      <c r="X32" s="1816"/>
      <c r="Y32" s="3161" t="s">
        <v>2512</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3">
        <f t="shared" si="11"/>
        <v>111</v>
      </c>
      <c r="R33" s="774" t="s">
        <v>17</v>
      </c>
      <c r="S33" s="775">
        <f t="shared" si="12"/>
        <v>100</v>
      </c>
      <c r="T33" s="774" t="s">
        <v>17</v>
      </c>
      <c r="U33" s="775">
        <f t="shared" si="13"/>
        <v>100</v>
      </c>
      <c r="V33" s="774" t="s">
        <v>17</v>
      </c>
      <c r="W33" s="775">
        <f t="shared" si="14"/>
        <v>100</v>
      </c>
      <c r="X33" s="1816"/>
      <c r="Y33" s="3161"/>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ht="15">
      <c r="A35" s="479" t="s">
        <v>2524</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2615</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2616</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2495</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2534</v>
      </c>
      <c r="B51" s="528" t="s">
        <v>2501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2504</v>
      </c>
      <c r="C53" s="539" t="s">
        <v>2535</v>
      </c>
      <c r="D53" s="539" t="s">
        <v>2536</v>
      </c>
      <c r="E53" s="539" t="s">
        <v>2537</v>
      </c>
      <c r="F53" s="539" t="s">
        <v>2538</v>
      </c>
      <c r="G53" s="539" t="s">
        <v>2539</v>
      </c>
      <c r="H53" s="539" t="s">
        <v>2540</v>
      </c>
      <c r="I53" s="539" t="s">
        <v>2541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2506</v>
      </c>
      <c r="B61" s="528" t="s">
        <v>2548</v>
      </c>
      <c r="C61" s="573" t="s">
        <v>2543</v>
      </c>
      <c r="D61" s="573" t="s">
        <v>2544</v>
      </c>
      <c r="E61" s="573" t="s">
        <v>2545</v>
      </c>
      <c r="F61" s="573" t="s">
        <v>2546</v>
      </c>
      <c r="G61" s="573" t="s">
        <v>2547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2510</v>
      </c>
      <c r="B77" s="528" t="s">
        <v>2562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2276</v>
      </c>
      <c r="B3" s="609" t="e">
        <f>ROUND(IF(D3="",B2*10000/'数据-汇总表'!E3,B2*10000/D3),0)</f>
        <v>#DIV/0!</v>
      </c>
      <c r="C3" s="247" t="s">
        <v>2692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2591</v>
      </c>
      <c r="B4" s="402"/>
      <c r="C4" s="3169" t="s">
        <v>2592</v>
      </c>
      <c r="D4" s="3170"/>
      <c r="E4" s="3171" t="s">
        <v>2593</v>
      </c>
      <c r="F4" s="3172"/>
      <c r="G4" s="3169" t="s">
        <v>2594</v>
      </c>
      <c r="H4" s="3170"/>
      <c r="I4" s="3169" t="s">
        <v>2595</v>
      </c>
      <c r="J4" s="3170"/>
      <c r="K4" s="610" t="s">
        <v>2596</v>
      </c>
      <c r="L4" s="1133"/>
      <c r="M4" s="1134"/>
      <c r="N4" s="1134"/>
      <c r="O4" s="1134"/>
      <c r="P4" s="3173" t="s">
        <v>2597</v>
      </c>
      <c r="Q4" s="3174"/>
      <c r="R4" s="3179" t="s">
        <v>2593</v>
      </c>
      <c r="S4" s="3180"/>
      <c r="T4" s="3179" t="s">
        <v>2594</v>
      </c>
      <c r="U4" s="3180"/>
      <c r="V4" s="3185" t="s">
        <v>2595</v>
      </c>
      <c r="W4" s="3185"/>
      <c r="X4" s="1816"/>
      <c r="Y4" s="3179" t="s">
        <v>2597</v>
      </c>
      <c r="Z4" s="3180"/>
      <c r="AA4" s="3166" t="s">
        <v>2593</v>
      </c>
      <c r="AB4" s="3167" t="s">
        <v>2594</v>
      </c>
      <c r="AC4" s="3166" t="s">
        <v>2595</v>
      </c>
    </row>
    <row r="5" spans="1:30" ht="15">
      <c r="A5" s="404"/>
      <c r="B5" s="405"/>
      <c r="C5" s="3224" t="s">
        <v>2489</v>
      </c>
      <c r="D5" s="3189"/>
      <c r="E5" s="3225" t="s">
        <v>2490</v>
      </c>
      <c r="F5" s="3196"/>
      <c r="G5" s="3224" t="s">
        <v>2491</v>
      </c>
      <c r="H5" s="3189"/>
      <c r="I5" s="3224" t="s">
        <v>2492</v>
      </c>
      <c r="J5" s="3189"/>
      <c r="K5" s="610"/>
      <c r="L5" s="1133"/>
      <c r="M5" s="1134"/>
      <c r="N5" s="1134"/>
      <c r="O5" s="1134"/>
      <c r="P5" s="3175"/>
      <c r="Q5" s="3176"/>
      <c r="R5" s="3181"/>
      <c r="S5" s="3182"/>
      <c r="T5" s="3181"/>
      <c r="U5" s="3182"/>
      <c r="V5" s="3185"/>
      <c r="W5" s="3185"/>
      <c r="X5" s="1816"/>
      <c r="Y5" s="3181"/>
      <c r="Z5" s="3182"/>
      <c r="AA5" s="3167"/>
      <c r="AB5" s="3167"/>
      <c r="AC5" s="3167"/>
    </row>
    <row r="6" spans="1:30" ht="15.75" thickBot="1">
      <c r="A6" s="406"/>
      <c r="B6" s="407"/>
      <c r="C6" s="3186" t="s">
        <v>2493</v>
      </c>
      <c r="D6" s="3187"/>
      <c r="E6" s="3193" t="s">
        <v>2493</v>
      </c>
      <c r="F6" s="3194"/>
      <c r="G6" s="3186" t="s">
        <v>2493</v>
      </c>
      <c r="H6" s="3187"/>
      <c r="I6" s="3186" t="s">
        <v>2493</v>
      </c>
      <c r="J6" s="3187"/>
      <c r="K6" s="610" t="s">
        <v>2494</v>
      </c>
      <c r="L6" s="1133"/>
      <c r="M6" s="1134"/>
      <c r="N6" s="1134"/>
      <c r="O6" s="1134"/>
      <c r="P6" s="3177"/>
      <c r="Q6" s="3178"/>
      <c r="R6" s="3181"/>
      <c r="S6" s="3182"/>
      <c r="T6" s="3183"/>
      <c r="U6" s="3184"/>
      <c r="V6" s="3185"/>
      <c r="W6" s="3185"/>
      <c r="X6" s="1816"/>
      <c r="Y6" s="3183"/>
      <c r="Z6" s="3184"/>
      <c r="AA6" s="3168"/>
      <c r="AB6" s="3168"/>
      <c r="AC6" s="3168"/>
    </row>
    <row r="7" spans="1:30" s="117" customFormat="1" ht="15.75" thickBot="1">
      <c r="A7" s="408" t="s">
        <v>2495</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0" t="s">
        <v>2496</v>
      </c>
      <c r="Q7" s="3192"/>
      <c r="R7" s="770" t="s">
        <v>17</v>
      </c>
      <c r="S7" s="771">
        <f t="shared" ref="S7:S15" si="0">F7</f>
        <v>0</v>
      </c>
      <c r="T7" s="770" t="s">
        <v>17</v>
      </c>
      <c r="U7" s="771">
        <f t="shared" ref="U7:U15" si="1">H7</f>
        <v>0</v>
      </c>
      <c r="V7" s="770" t="s">
        <v>17</v>
      </c>
      <c r="W7" s="771">
        <f t="shared" ref="W7:W15" si="2">J7</f>
        <v>0</v>
      </c>
      <c r="X7" s="772"/>
      <c r="Y7" s="3190" t="s">
        <v>2496</v>
      </c>
      <c r="Z7" s="3191"/>
      <c r="AA7" s="773" t="e">
        <f>D7/F7</f>
        <v>#DIV/0!</v>
      </c>
      <c r="AB7" s="773" t="e">
        <f>D7/H7</f>
        <v>#DIV/0!</v>
      </c>
      <c r="AC7" s="773" t="e">
        <f>D7/J7</f>
        <v>#DIV/0!</v>
      </c>
    </row>
    <row r="8" spans="1:30" s="117" customFormat="1" ht="15.75" thickBot="1">
      <c r="A8" s="408" t="s">
        <v>2497</v>
      </c>
      <c r="B8" s="409"/>
      <c r="C8" s="414" t="s">
        <v>2498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2499</v>
      </c>
      <c r="Q8" s="3191"/>
      <c r="R8" s="770" t="s">
        <v>17</v>
      </c>
      <c r="S8" s="771">
        <f t="shared" si="0"/>
        <v>0</v>
      </c>
      <c r="T8" s="770" t="s">
        <v>17</v>
      </c>
      <c r="U8" s="771">
        <f t="shared" si="1"/>
        <v>0</v>
      </c>
      <c r="V8" s="770" t="s">
        <v>17</v>
      </c>
      <c r="W8" s="771">
        <f t="shared" si="2"/>
        <v>0</v>
      </c>
      <c r="X8" s="772"/>
      <c r="Y8" s="3190" t="s">
        <v>2499</v>
      </c>
      <c r="Z8" s="3191"/>
      <c r="AA8" s="773" t="e">
        <f t="shared" ref="AA8:AA45" si="3">D8/F8</f>
        <v>#DIV/0!</v>
      </c>
      <c r="AB8" s="773" t="e">
        <f t="shared" ref="AB8:AB45" si="4">D8/H8</f>
        <v>#DIV/0!</v>
      </c>
      <c r="AC8" s="773" t="e">
        <f t="shared" ref="AC8:AC45" si="5">D8/J8</f>
        <v>#DIV/0!</v>
      </c>
    </row>
    <row r="9" spans="1:30" s="117" customFormat="1">
      <c r="A9" s="415" t="s">
        <v>2500</v>
      </c>
      <c r="B9" s="71" t="s">
        <v>2501</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4" t="s">
        <v>2502</v>
      </c>
      <c r="Q9" s="1798" t="str">
        <f t="shared" ref="Q9:Q15" si="6">B9</f>
        <v>用途</v>
      </c>
      <c r="R9" s="770" t="s">
        <v>17</v>
      </c>
      <c r="S9" s="771">
        <f t="shared" si="0"/>
        <v>100</v>
      </c>
      <c r="T9" s="770" t="s">
        <v>17</v>
      </c>
      <c r="U9" s="771">
        <f t="shared" si="1"/>
        <v>100</v>
      </c>
      <c r="V9" s="770" t="s">
        <v>17</v>
      </c>
      <c r="W9" s="771">
        <f t="shared" si="2"/>
        <v>100</v>
      </c>
      <c r="X9" s="772"/>
      <c r="Y9" s="3006" t="s">
        <v>2503</v>
      </c>
      <c r="Z9" s="55" t="str">
        <f t="shared" ref="Z9:Z15" si="7">Q9</f>
        <v>用途</v>
      </c>
      <c r="AA9" s="773">
        <f t="shared" si="3"/>
        <v>1</v>
      </c>
      <c r="AB9" s="773">
        <f t="shared" si="4"/>
        <v>1</v>
      </c>
      <c r="AC9" s="773">
        <f t="shared" si="5"/>
        <v>1</v>
      </c>
    </row>
    <row r="10" spans="1:30" s="427" customFormat="1" ht="27">
      <c r="A10" s="421"/>
      <c r="B10" s="422" t="s">
        <v>2504</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54"/>
      <c r="Q10" s="1798" t="str">
        <f t="shared" si="6"/>
        <v>土地使用年限（年）</v>
      </c>
      <c r="R10" s="770" t="s">
        <v>17</v>
      </c>
      <c r="S10" s="771">
        <f t="shared" si="0"/>
        <v>113</v>
      </c>
      <c r="T10" s="770" t="s">
        <v>17</v>
      </c>
      <c r="U10" s="771">
        <f t="shared" si="1"/>
        <v>113</v>
      </c>
      <c r="V10" s="770" t="s">
        <v>17</v>
      </c>
      <c r="W10" s="771">
        <f t="shared" si="2"/>
        <v>113</v>
      </c>
      <c r="X10" s="772"/>
      <c r="Y10" s="3006"/>
      <c r="Z10" s="55" t="str">
        <f t="shared" si="7"/>
        <v>土地使用年限（年）</v>
      </c>
      <c r="AA10" s="773">
        <f t="shared" si="3"/>
        <v>0.88495575221238942</v>
      </c>
      <c r="AB10" s="773">
        <f t="shared" si="4"/>
        <v>0.88495575221238942</v>
      </c>
      <c r="AC10" s="773">
        <f t="shared" si="5"/>
        <v>0.88495575221238942</v>
      </c>
    </row>
    <row r="11" spans="1:30" ht="15">
      <c r="A11" s="428"/>
      <c r="B11" s="422" t="s">
        <v>2505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6" t="s">
        <v>2693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156.75">
      <c r="A15" s="440" t="s">
        <v>2506</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2507</v>
      </c>
      <c r="Q15" s="1813" t="str">
        <f t="shared" si="6"/>
        <v>居住社区成熟度</v>
      </c>
      <c r="R15" s="774" t="s">
        <v>17</v>
      </c>
      <c r="S15" s="775">
        <f t="shared" si="0"/>
        <v>100</v>
      </c>
      <c r="T15" s="774" t="s">
        <v>17</v>
      </c>
      <c r="U15" s="775">
        <f t="shared" si="1"/>
        <v>100</v>
      </c>
      <c r="V15" s="774" t="s">
        <v>17</v>
      </c>
      <c r="W15" s="775">
        <f t="shared" si="2"/>
        <v>100</v>
      </c>
      <c r="X15" s="1816"/>
      <c r="Y15" s="3156" t="s">
        <v>2507</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57"/>
      <c r="Q16" s="1813"/>
      <c r="R16" s="774"/>
      <c r="S16" s="775"/>
      <c r="T16" s="774"/>
      <c r="U16" s="775"/>
      <c r="V16" s="774"/>
      <c r="W16" s="775"/>
      <c r="X16" s="1816"/>
      <c r="Y16" s="3157"/>
      <c r="Z16" s="1817"/>
      <c r="AA16" s="1814">
        <v>1</v>
      </c>
      <c r="AB16" s="1814">
        <v>1</v>
      </c>
      <c r="AC16" s="1814">
        <v>1</v>
      </c>
    </row>
    <row r="17" spans="1:29" ht="15">
      <c r="A17" s="428"/>
      <c r="B17" s="451" t="s">
        <v>2599</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7"/>
      <c r="Q17" s="1813" t="str">
        <f>B17</f>
        <v>商业繁华度</v>
      </c>
      <c r="R17" s="774" t="s">
        <v>17</v>
      </c>
      <c r="S17" s="775">
        <f>F17</f>
        <v>100</v>
      </c>
      <c r="T17" s="774" t="s">
        <v>17</v>
      </c>
      <c r="U17" s="775">
        <f>H17</f>
        <v>100</v>
      </c>
      <c r="V17" s="774" t="s">
        <v>17</v>
      </c>
      <c r="W17" s="775">
        <f>J17</f>
        <v>100</v>
      </c>
      <c r="X17" s="1816"/>
      <c r="Y17" s="3157"/>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57"/>
      <c r="Q18" s="1813"/>
      <c r="R18" s="774"/>
      <c r="S18" s="775"/>
      <c r="T18" s="774"/>
      <c r="U18" s="775"/>
      <c r="V18" s="774"/>
      <c r="W18" s="775"/>
      <c r="X18" s="1816"/>
      <c r="Y18" s="3157"/>
      <c r="Z18" s="1817"/>
      <c r="AA18" s="1814">
        <v>1</v>
      </c>
      <c r="AB18" s="1814">
        <v>1</v>
      </c>
      <c r="AC18" s="1814">
        <v>1</v>
      </c>
    </row>
    <row r="19" spans="1:29" ht="15">
      <c r="A19" s="428"/>
      <c r="B19" s="451" t="s">
        <v>2633</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3" t="str">
        <f>B19</f>
        <v>办公集聚程度</v>
      </c>
      <c r="R19" s="774" t="s">
        <v>17</v>
      </c>
      <c r="S19" s="775">
        <f>F19</f>
        <v>100</v>
      </c>
      <c r="T19" s="774" t="s">
        <v>17</v>
      </c>
      <c r="U19" s="775">
        <f>H19</f>
        <v>100</v>
      </c>
      <c r="V19" s="774" t="s">
        <v>17</v>
      </c>
      <c r="W19" s="775">
        <f>J19</f>
        <v>100</v>
      </c>
      <c r="X19" s="1816"/>
      <c r="Y19" s="3157"/>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57"/>
      <c r="Q20" s="1813"/>
      <c r="R20" s="774"/>
      <c r="S20" s="775"/>
      <c r="T20" s="774"/>
      <c r="U20" s="775"/>
      <c r="V20" s="774"/>
      <c r="W20" s="775"/>
      <c r="X20" s="1816"/>
      <c r="Y20" s="3157"/>
      <c r="Z20" s="1817"/>
      <c r="AA20" s="1814">
        <v>1</v>
      </c>
      <c r="AB20" s="1814">
        <v>1</v>
      </c>
      <c r="AC20" s="1814">
        <v>1</v>
      </c>
    </row>
    <row r="21" spans="1:29" ht="142.5">
      <c r="A21" s="428"/>
      <c r="B21" s="451" t="s">
        <v>2655</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7"/>
      <c r="Q21" s="1813" t="str">
        <f>B21</f>
        <v>交通便捷度</v>
      </c>
      <c r="R21" s="774" t="s">
        <v>17</v>
      </c>
      <c r="S21" s="775">
        <f>F21</f>
        <v>100</v>
      </c>
      <c r="T21" s="774" t="s">
        <v>17</v>
      </c>
      <c r="U21" s="775">
        <f>H21</f>
        <v>100</v>
      </c>
      <c r="V21" s="774" t="s">
        <v>17</v>
      </c>
      <c r="W21" s="775">
        <f>J21</f>
        <v>100</v>
      </c>
      <c r="X21" s="1816"/>
      <c r="Y21" s="3157"/>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57"/>
      <c r="Q22" s="1813"/>
      <c r="R22" s="774"/>
      <c r="S22" s="775"/>
      <c r="T22" s="774"/>
      <c r="U22" s="775"/>
      <c r="V22" s="774"/>
      <c r="W22" s="775"/>
      <c r="X22" s="1816"/>
      <c r="Y22" s="3157"/>
      <c r="Z22" s="1817"/>
      <c r="AA22" s="1814">
        <v>1</v>
      </c>
      <c r="AB22" s="1814">
        <v>1</v>
      </c>
      <c r="AC22" s="1814">
        <v>1</v>
      </c>
    </row>
    <row r="23" spans="1:29" ht="15">
      <c r="A23" s="404"/>
      <c r="B23" s="451" t="s">
        <v>2694</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7"/>
      <c r="Q23" s="1813" t="str">
        <f t="shared" ref="Q23:Q37" si="8">B23</f>
        <v>区域土地利用方向</v>
      </c>
      <c r="R23" s="774" t="s">
        <v>17</v>
      </c>
      <c r="S23" s="775">
        <f>F23</f>
        <v>100</v>
      </c>
      <c r="T23" s="774" t="s">
        <v>17</v>
      </c>
      <c r="U23" s="775">
        <f>H23</f>
        <v>100</v>
      </c>
      <c r="V23" s="774" t="s">
        <v>17</v>
      </c>
      <c r="W23" s="775">
        <f>J23</f>
        <v>100</v>
      </c>
      <c r="X23" s="1816"/>
      <c r="Y23" s="3157"/>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57"/>
      <c r="Q24" s="1813"/>
      <c r="R24" s="774"/>
      <c r="S24" s="775"/>
      <c r="T24" s="774"/>
      <c r="U24" s="775"/>
      <c r="V24" s="774"/>
      <c r="W24" s="775"/>
      <c r="X24" s="1816"/>
      <c r="Y24" s="3157"/>
      <c r="Z24" s="1817"/>
      <c r="AA24" s="1814"/>
      <c r="AB24" s="1814"/>
      <c r="AC24" s="1814"/>
    </row>
    <row r="25" spans="1:29" ht="71.25">
      <c r="A25" s="404"/>
      <c r="B25" s="1387" t="s">
        <v>2695</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7"/>
      <c r="Q25" s="1813" t="str">
        <f t="shared" si="8"/>
        <v>自然及人文环境状况</v>
      </c>
      <c r="R25" s="774" t="s">
        <v>17</v>
      </c>
      <c r="S25" s="775">
        <f>F25</f>
        <v>100</v>
      </c>
      <c r="T25" s="774" t="s">
        <v>17</v>
      </c>
      <c r="U25" s="775">
        <f>H25</f>
        <v>100</v>
      </c>
      <c r="V25" s="774" t="s">
        <v>17</v>
      </c>
      <c r="W25" s="775">
        <f>J25</f>
        <v>100</v>
      </c>
      <c r="X25" s="1816"/>
      <c r="Y25" s="3157"/>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57"/>
      <c r="Q26" s="1813"/>
      <c r="R26" s="774"/>
      <c r="S26" s="775"/>
      <c r="T26" s="774"/>
      <c r="U26" s="775"/>
      <c r="V26" s="774"/>
      <c r="W26" s="775"/>
      <c r="X26" s="1816"/>
      <c r="Y26" s="3157"/>
      <c r="Z26" s="1817"/>
      <c r="AA26" s="1814">
        <v>1</v>
      </c>
      <c r="AB26" s="1814">
        <v>1</v>
      </c>
      <c r="AC26" s="1814">
        <v>1</v>
      </c>
    </row>
    <row r="27" spans="1:29" s="117" customFormat="1" ht="42.75">
      <c r="A27" s="649"/>
      <c r="B27" s="1387" t="s">
        <v>2600</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7"/>
      <c r="Q27" s="1798" t="str">
        <f t="shared" si="8"/>
        <v>公共配套设施</v>
      </c>
      <c r="R27" s="770" t="s">
        <v>17</v>
      </c>
      <c r="S27" s="771">
        <f>F27</f>
        <v>100</v>
      </c>
      <c r="T27" s="770" t="s">
        <v>17</v>
      </c>
      <c r="U27" s="771">
        <f>H27</f>
        <v>100</v>
      </c>
      <c r="V27" s="770" t="s">
        <v>17</v>
      </c>
      <c r="W27" s="771">
        <f>J27</f>
        <v>100</v>
      </c>
      <c r="X27" s="772"/>
      <c r="Y27" s="3157"/>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57"/>
      <c r="Q28" s="1798"/>
      <c r="R28" s="770"/>
      <c r="S28" s="771"/>
      <c r="T28" s="770"/>
      <c r="U28" s="771"/>
      <c r="V28" s="770"/>
      <c r="W28" s="771"/>
      <c r="X28" s="772"/>
      <c r="Y28" s="3157"/>
      <c r="Z28" s="55"/>
      <c r="AA28" s="1814">
        <v>1</v>
      </c>
      <c r="AB28" s="1814">
        <v>1</v>
      </c>
      <c r="AC28" s="1814">
        <v>1</v>
      </c>
    </row>
    <row r="29" spans="1:29" s="117" customFormat="1" ht="42.75">
      <c r="A29" s="649"/>
      <c r="B29" s="1387" t="s">
        <v>2601</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7"/>
      <c r="Q29" s="1798"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57"/>
      <c r="Q30" s="1798"/>
      <c r="R30" s="770"/>
      <c r="S30" s="771"/>
      <c r="T30" s="770"/>
      <c r="U30" s="771"/>
      <c r="V30" s="770"/>
      <c r="W30" s="771"/>
      <c r="X30" s="772"/>
      <c r="Y30" s="3157"/>
      <c r="Z30" s="55"/>
      <c r="AA30" s="1814">
        <v>1</v>
      </c>
      <c r="AB30" s="1814">
        <v>1</v>
      </c>
      <c r="AC30" s="1814">
        <v>1</v>
      </c>
    </row>
    <row r="31" spans="1:29" ht="15">
      <c r="A31" s="428"/>
      <c r="B31" s="456" t="s">
        <v>2602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7"/>
      <c r="Z31" s="1817" t="str">
        <f t="shared" ref="Z31:Z45" si="13">Q31</f>
        <v>临街状况</v>
      </c>
      <c r="AA31" s="1814">
        <f t="shared" si="3"/>
        <v>1</v>
      </c>
      <c r="AB31" s="1814">
        <f t="shared" si="4"/>
        <v>1</v>
      </c>
      <c r="AC31" s="1814">
        <f t="shared" si="5"/>
        <v>1</v>
      </c>
    </row>
    <row r="32" spans="1:29" ht="27">
      <c r="A32" s="428"/>
      <c r="B32" s="1387"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3" t="str">
        <f t="shared" si="8"/>
        <v>毗邻道路的类型与等级</v>
      </c>
      <c r="R32" s="774" t="s">
        <v>17</v>
      </c>
      <c r="S32" s="775">
        <f t="shared" si="10"/>
        <v>100</v>
      </c>
      <c r="T32" s="774" t="s">
        <v>17</v>
      </c>
      <c r="U32" s="775">
        <f t="shared" si="11"/>
        <v>100</v>
      </c>
      <c r="V32" s="774" t="s">
        <v>17</v>
      </c>
      <c r="W32" s="775">
        <f t="shared" si="12"/>
        <v>100</v>
      </c>
      <c r="X32" s="1816"/>
      <c r="Y32" s="3157"/>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57"/>
      <c r="Q33" s="1813"/>
      <c r="R33" s="774"/>
      <c r="S33" s="775"/>
      <c r="T33" s="774"/>
      <c r="U33" s="775"/>
      <c r="V33" s="774"/>
      <c r="W33" s="775"/>
      <c r="X33" s="1816"/>
      <c r="Y33" s="3157"/>
      <c r="Z33" s="1817"/>
      <c r="AA33" s="1814">
        <v>1</v>
      </c>
      <c r="AB33" s="1814">
        <v>1</v>
      </c>
      <c r="AC33" s="1814">
        <v>1</v>
      </c>
    </row>
    <row r="34" spans="1:29" ht="15">
      <c r="A34" s="428"/>
      <c r="B34" s="422" t="s">
        <v>2696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3" t="str">
        <f t="shared" si="8"/>
        <v>土地级别</v>
      </c>
      <c r="R34" s="774" t="s">
        <v>17</v>
      </c>
      <c r="S34" s="775">
        <f t="shared" si="10"/>
        <v>100</v>
      </c>
      <c r="T34" s="774" t="s">
        <v>17</v>
      </c>
      <c r="U34" s="775">
        <f t="shared" si="11"/>
        <v>100</v>
      </c>
      <c r="V34" s="774" t="s">
        <v>17</v>
      </c>
      <c r="W34" s="775">
        <f t="shared" si="12"/>
        <v>100</v>
      </c>
      <c r="X34" s="1816"/>
      <c r="Y34" s="315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3">
        <f t="shared" si="8"/>
        <v>111</v>
      </c>
      <c r="R35" s="774" t="s">
        <v>17</v>
      </c>
      <c r="S35" s="775">
        <f t="shared" si="10"/>
        <v>100</v>
      </c>
      <c r="T35" s="774" t="s">
        <v>17</v>
      </c>
      <c r="U35" s="775">
        <f t="shared" si="11"/>
        <v>100</v>
      </c>
      <c r="V35" s="774" t="s">
        <v>17</v>
      </c>
      <c r="W35" s="775">
        <f t="shared" si="12"/>
        <v>100</v>
      </c>
      <c r="X35" s="1816"/>
      <c r="Y35" s="315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1" t="s">
        <v>2512</v>
      </c>
      <c r="Q36" s="1813">
        <f t="shared" si="8"/>
        <v>111</v>
      </c>
      <c r="R36" s="774" t="s">
        <v>17</v>
      </c>
      <c r="S36" s="775">
        <f t="shared" si="10"/>
        <v>100</v>
      </c>
      <c r="T36" s="774" t="s">
        <v>17</v>
      </c>
      <c r="U36" s="775">
        <f t="shared" si="11"/>
        <v>100</v>
      </c>
      <c r="V36" s="774" t="s">
        <v>17</v>
      </c>
      <c r="W36" s="775">
        <f t="shared" si="12"/>
        <v>100</v>
      </c>
      <c r="X36" s="1816"/>
      <c r="Y36" s="3161" t="s">
        <v>2512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3">
        <f t="shared" si="8"/>
        <v>111</v>
      </c>
      <c r="R37" s="777" t="s">
        <v>17</v>
      </c>
      <c r="S37" s="778">
        <f t="shared" si="10"/>
        <v>100</v>
      </c>
      <c r="T37" s="777" t="s">
        <v>17</v>
      </c>
      <c r="U37" s="778">
        <f t="shared" si="11"/>
        <v>100</v>
      </c>
      <c r="V37" s="777" t="s">
        <v>17</v>
      </c>
      <c r="W37" s="778">
        <f t="shared" si="12"/>
        <v>100</v>
      </c>
      <c r="X37" s="779"/>
      <c r="Y37" s="3161"/>
      <c r="Z37" s="780">
        <f t="shared" si="13"/>
        <v>111</v>
      </c>
      <c r="AA37" s="1814">
        <f t="shared" si="3"/>
        <v>1</v>
      </c>
      <c r="AB37" s="1814">
        <f t="shared" si="4"/>
        <v>1</v>
      </c>
      <c r="AC37" s="1814">
        <f t="shared" si="5"/>
        <v>1</v>
      </c>
    </row>
    <row r="38" spans="1:29" ht="15">
      <c r="A38" s="472" t="s">
        <v>2510</v>
      </c>
      <c r="B38" s="456" t="s">
        <v>2697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3" t="str">
        <f>B38</f>
        <v>宗地面积</v>
      </c>
      <c r="R38" s="774" t="s">
        <v>17</v>
      </c>
      <c r="S38" s="775" t="e">
        <f t="shared" si="10"/>
        <v>#N/A</v>
      </c>
      <c r="T38" s="774" t="s">
        <v>17</v>
      </c>
      <c r="U38" s="775" t="e">
        <f t="shared" si="11"/>
        <v>#N/A</v>
      </c>
      <c r="V38" s="774" t="s">
        <v>17</v>
      </c>
      <c r="W38" s="775" t="e">
        <f t="shared" si="12"/>
        <v>#N/A</v>
      </c>
      <c r="X38" s="1816"/>
      <c r="Y38" s="3161"/>
      <c r="Z38" s="1817" t="str">
        <f t="shared" si="13"/>
        <v>宗地面积</v>
      </c>
      <c r="AA38" s="1814" t="e">
        <f t="shared" si="3"/>
        <v>#N/A</v>
      </c>
      <c r="AB38" s="1814" t="e">
        <f t="shared" si="4"/>
        <v>#N/A</v>
      </c>
      <c r="AC38" s="1814" t="e">
        <f t="shared" si="5"/>
        <v>#N/A</v>
      </c>
    </row>
    <row r="39" spans="1:29" ht="15">
      <c r="A39" s="472"/>
      <c r="B39" s="422" t="s">
        <v>2698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61"/>
      <c r="Q39" s="1813" t="str">
        <f t="shared" ref="Q39:Q45" si="14">B39</f>
        <v>宗地形状</v>
      </c>
      <c r="R39" s="774" t="s">
        <v>17</v>
      </c>
      <c r="S39" s="775">
        <f t="shared" si="10"/>
        <v>100</v>
      </c>
      <c r="T39" s="774" t="s">
        <v>17</v>
      </c>
      <c r="U39" s="775">
        <f t="shared" si="11"/>
        <v>100</v>
      </c>
      <c r="V39" s="774" t="s">
        <v>17</v>
      </c>
      <c r="W39" s="775">
        <f t="shared" si="12"/>
        <v>100</v>
      </c>
      <c r="X39" s="1816"/>
      <c r="Y39" s="3161"/>
      <c r="Z39" s="1817" t="str">
        <f t="shared" si="13"/>
        <v>宗地形状</v>
      </c>
      <c r="AA39" s="1814">
        <f t="shared" si="3"/>
        <v>1</v>
      </c>
      <c r="AB39" s="1814">
        <f t="shared" si="4"/>
        <v>1</v>
      </c>
      <c r="AC39" s="1814">
        <f t="shared" si="5"/>
        <v>1</v>
      </c>
    </row>
    <row r="40" spans="1:29" ht="15">
      <c r="A40" s="472"/>
      <c r="B40" s="422" t="s">
        <v>2699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61"/>
      <c r="Q40" s="1813" t="str">
        <f t="shared" si="14"/>
        <v>临街宽度及深度</v>
      </c>
      <c r="R40" s="774" t="s">
        <v>17</v>
      </c>
      <c r="S40" s="775">
        <f t="shared" si="10"/>
        <v>100</v>
      </c>
      <c r="T40" s="774" t="s">
        <v>17</v>
      </c>
      <c r="U40" s="775">
        <f t="shared" si="11"/>
        <v>100</v>
      </c>
      <c r="V40" s="774" t="s">
        <v>17</v>
      </c>
      <c r="W40" s="775">
        <f t="shared" si="12"/>
        <v>100</v>
      </c>
      <c r="X40" s="1816"/>
      <c r="Y40" s="3161"/>
      <c r="Z40" s="1817" t="str">
        <f t="shared" si="13"/>
        <v>临街宽度及深度</v>
      </c>
      <c r="AA40" s="1814">
        <f t="shared" si="3"/>
        <v>1</v>
      </c>
      <c r="AB40" s="1814">
        <f t="shared" si="4"/>
        <v>1</v>
      </c>
      <c r="AC40" s="1814">
        <f t="shared" si="5"/>
        <v>1</v>
      </c>
    </row>
    <row r="41" spans="1:29" s="117" customFormat="1" ht="15">
      <c r="A41" s="473"/>
      <c r="B41" s="422" t="s">
        <v>2700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1"/>
      <c r="Q41" s="1813"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2701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61" t="s">
        <v>2512</v>
      </c>
      <c r="Q42" s="1813" t="str">
        <f t="shared" si="14"/>
        <v>工程地质条件</v>
      </c>
      <c r="R42" s="774" t="s">
        <v>17</v>
      </c>
      <c r="S42" s="775">
        <f t="shared" si="10"/>
        <v>100</v>
      </c>
      <c r="T42" s="774" t="s">
        <v>17</v>
      </c>
      <c r="U42" s="775">
        <f t="shared" si="11"/>
        <v>100</v>
      </c>
      <c r="V42" s="774" t="s">
        <v>17</v>
      </c>
      <c r="W42" s="775">
        <f t="shared" si="12"/>
        <v>100</v>
      </c>
      <c r="X42" s="1816"/>
      <c r="Y42" s="3161" t="s">
        <v>2512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3">
        <f t="shared" si="14"/>
        <v>111</v>
      </c>
      <c r="R43" s="774" t="s">
        <v>17</v>
      </c>
      <c r="S43" s="775">
        <f t="shared" si="10"/>
        <v>100</v>
      </c>
      <c r="T43" s="774" t="s">
        <v>17</v>
      </c>
      <c r="U43" s="775">
        <f t="shared" si="11"/>
        <v>100</v>
      </c>
      <c r="V43" s="774" t="s">
        <v>17</v>
      </c>
      <c r="W43" s="775">
        <f t="shared" si="12"/>
        <v>100</v>
      </c>
      <c r="X43" s="1816"/>
      <c r="Y43" s="316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3">
        <f t="shared" si="14"/>
        <v>111</v>
      </c>
      <c r="R44" s="774" t="s">
        <v>17</v>
      </c>
      <c r="S44" s="775">
        <f t="shared" si="10"/>
        <v>100</v>
      </c>
      <c r="T44" s="774" t="s">
        <v>17</v>
      </c>
      <c r="U44" s="775">
        <f t="shared" si="11"/>
        <v>100</v>
      </c>
      <c r="V44" s="774" t="s">
        <v>17</v>
      </c>
      <c r="W44" s="775">
        <f t="shared" si="12"/>
        <v>100</v>
      </c>
      <c r="X44" s="1816"/>
      <c r="Y44" s="3161"/>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3">
        <f t="shared" si="14"/>
        <v>111</v>
      </c>
      <c r="R45" s="777" t="s">
        <v>17</v>
      </c>
      <c r="S45" s="778">
        <f t="shared" si="10"/>
        <v>100</v>
      </c>
      <c r="T45" s="777" t="s">
        <v>17</v>
      </c>
      <c r="U45" s="778">
        <f t="shared" si="11"/>
        <v>100</v>
      </c>
      <c r="V45" s="777" t="s">
        <v>17</v>
      </c>
      <c r="W45" s="778">
        <f t="shared" si="12"/>
        <v>100</v>
      </c>
      <c r="X45" s="779"/>
      <c r="Y45" s="3161"/>
      <c r="Z45" s="780">
        <f t="shared" si="13"/>
        <v>111</v>
      </c>
      <c r="AA45" s="1814">
        <f t="shared" si="3"/>
        <v>1</v>
      </c>
      <c r="AB45" s="1814">
        <f t="shared" si="4"/>
        <v>1</v>
      </c>
      <c r="AC45" s="1814">
        <f t="shared" si="5"/>
        <v>1</v>
      </c>
    </row>
    <row r="46" spans="1:29" ht="15">
      <c r="A46" s="479" t="s">
        <v>2666</v>
      </c>
      <c r="B46" s="2710" t="s">
        <v>2702</v>
      </c>
      <c r="C46" s="682" t="s">
        <v>1</v>
      </c>
      <c r="D46" s="481"/>
      <c r="E46" s="482"/>
      <c r="F46" s="483"/>
      <c r="G46" s="484"/>
      <c r="H46" s="485"/>
      <c r="I46" s="482"/>
      <c r="J46" s="485"/>
      <c r="K46" s="783"/>
      <c r="L46" s="1146"/>
      <c r="M46" s="1147"/>
      <c r="N46" s="1134"/>
      <c r="O46" s="1147"/>
      <c r="P46" s="3154" t="str">
        <f>A46</f>
        <v>成交单价</v>
      </c>
      <c r="Q46" s="3154"/>
      <c r="R46" s="3185">
        <f>E46</f>
        <v>0</v>
      </c>
      <c r="S46" s="3185"/>
      <c r="T46" s="3185">
        <f>G46</f>
        <v>0</v>
      </c>
      <c r="U46" s="3185"/>
      <c r="V46" s="3185">
        <f>I46</f>
        <v>0</v>
      </c>
      <c r="W46" s="3185"/>
      <c r="X46" s="759"/>
      <c r="Y46" s="781"/>
      <c r="Z46" s="759"/>
      <c r="AA46" s="759"/>
      <c r="AB46" s="759"/>
      <c r="AC46" s="759"/>
    </row>
    <row r="47" spans="1:29" ht="15.75" thickBot="1">
      <c r="A47" s="486" t="s">
        <v>2615</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42" t="e">
        <f>ROUND(PRODUCT(R46,AA7:AA45),0)</f>
        <v>#DIV/0!</v>
      </c>
      <c r="S47" s="3242"/>
      <c r="T47" s="3242" t="e">
        <f>ROUND(PRODUCT(T46,AB7:AB45),0)</f>
        <v>#DIV/0!</v>
      </c>
      <c r="U47" s="3242"/>
      <c r="V47" s="3242" t="e">
        <f>ROUND(PRODUCT(V46,AC7:AC45),0)</f>
        <v>#DIV/0!</v>
      </c>
      <c r="W47" s="3242"/>
      <c r="X47" s="759"/>
      <c r="Y47" s="759"/>
      <c r="Z47" s="759"/>
      <c r="AA47" s="759"/>
      <c r="AB47" s="759"/>
      <c r="AC47" s="759"/>
    </row>
    <row r="48" spans="1:29" ht="15.75" thickBot="1">
      <c r="A48" s="492" t="s">
        <v>2703</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43" t="e">
        <f>ROUND(AVERAGE(R47:V47),0)</f>
        <v>#DIV/0!</v>
      </c>
      <c r="S48" s="3243"/>
      <c r="T48" s="3243"/>
      <c r="U48" s="3243"/>
      <c r="V48" s="3243"/>
      <c r="W48" s="324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2704</v>
      </c>
      <c r="B55" s="685" t="s">
        <v>2705</v>
      </c>
      <c r="C55" s="2711" t="s">
        <v>2706</v>
      </c>
      <c r="D55" s="2712" t="s">
        <v>2707</v>
      </c>
      <c r="E55" s="686" t="s">
        <v>2708</v>
      </c>
      <c r="F55" s="1110" t="s">
        <v>2709</v>
      </c>
      <c r="G55" s="3169" t="s">
        <v>2710</v>
      </c>
      <c r="H55" s="3244"/>
      <c r="I55" s="144" t="s">
        <v>2711</v>
      </c>
      <c r="J55" s="2713">
        <f>项目基本情况!F35</f>
        <v>0</v>
      </c>
      <c r="K55" s="2714" t="s">
        <v>2712</v>
      </c>
      <c r="L55" s="1109"/>
      <c r="M55" s="1147"/>
      <c r="N55" s="1147"/>
      <c r="O55" s="1147"/>
    </row>
    <row r="56" spans="1:15" s="692" customFormat="1">
      <c r="A56" s="688" t="s">
        <v>2713</v>
      </c>
      <c r="B56" s="689" t="e">
        <f>C48</f>
        <v>#DIV/0!</v>
      </c>
      <c r="C56" s="690">
        <v>1</v>
      </c>
      <c r="D56" s="1166">
        <v>1</v>
      </c>
      <c r="E56" s="690">
        <f>'数据-汇总表'!E8+'数据-汇总表'!E9</f>
        <v>32663.93</v>
      </c>
      <c r="F56" s="1106" t="e">
        <f t="shared" ref="F56:F65" si="15">ROUND(B56*E56/10000,0)</f>
        <v>#DIV/0!</v>
      </c>
      <c r="G56" s="3165"/>
      <c r="H56" s="3154"/>
      <c r="I56" s="1111">
        <v>1</v>
      </c>
      <c r="J56" s="1114">
        <v>1</v>
      </c>
      <c r="K56" s="1148"/>
      <c r="L56" s="944"/>
      <c r="M56" s="944"/>
      <c r="N56" s="944"/>
      <c r="O56" s="944"/>
    </row>
    <row r="57" spans="1:15" s="692" customFormat="1">
      <c r="A57" s="693" t="s">
        <v>2714</v>
      </c>
      <c r="B57" s="262" t="e">
        <f>ROUND($C$48*C57*D57,0)</f>
        <v>#DIV/0!</v>
      </c>
      <c r="C57" s="200">
        <f t="shared" ref="C57:C65" si="16">IF($C$55="北京市系数",I57,J57)</f>
        <v>0</v>
      </c>
      <c r="D57" s="1167">
        <v>0.25</v>
      </c>
      <c r="E57" s="694"/>
      <c r="F57" s="1106" t="e">
        <f t="shared" si="15"/>
        <v>#DIV/0!</v>
      </c>
      <c r="G57" s="3245" t="s">
        <v>2715</v>
      </c>
      <c r="H57" s="1107">
        <f>项目基本情况!B37</f>
        <v>0</v>
      </c>
      <c r="I57" s="1111">
        <f>SUMIF(修正!A45:A56,H57,修正!B45:B56)</f>
        <v>0</v>
      </c>
      <c r="J57" s="1115"/>
      <c r="K57" s="1147"/>
      <c r="L57" s="944"/>
      <c r="M57" s="944"/>
      <c r="N57" s="944"/>
      <c r="O57" s="944"/>
    </row>
    <row r="58" spans="1:15" s="692" customFormat="1">
      <c r="A58" s="693" t="s">
        <v>2716</v>
      </c>
      <c r="B58" s="262" t="e">
        <f t="shared" ref="B58:B65" si="17">ROUND($C$48*C58*D58,0)</f>
        <v>#DIV/0!</v>
      </c>
      <c r="C58" s="200">
        <f t="shared" si="16"/>
        <v>0</v>
      </c>
      <c r="D58" s="1167">
        <v>0.25</v>
      </c>
      <c r="E58" s="694"/>
      <c r="F58" s="1106" t="e">
        <f t="shared" si="15"/>
        <v>#DIV/0!</v>
      </c>
      <c r="G58" s="3245"/>
      <c r="H58" s="1107">
        <f>项目基本情况!B37</f>
        <v>0</v>
      </c>
      <c r="I58" s="1111">
        <f>SUMIF(修正!A45:A56,H58,修正!C45:C56)</f>
        <v>0</v>
      </c>
      <c r="J58" s="1115"/>
      <c r="K58" s="1148"/>
      <c r="L58" s="944"/>
      <c r="M58" s="944"/>
      <c r="N58" s="944"/>
      <c r="O58" s="944"/>
    </row>
    <row r="59" spans="1:15" s="692" customFormat="1">
      <c r="A59" s="693" t="s">
        <v>2717</v>
      </c>
      <c r="B59" s="262" t="e">
        <f t="shared" si="17"/>
        <v>#DIV/0!</v>
      </c>
      <c r="C59" s="200">
        <f t="shared" si="16"/>
        <v>0</v>
      </c>
      <c r="D59" s="1167">
        <v>0.25</v>
      </c>
      <c r="E59" s="694"/>
      <c r="F59" s="1106" t="e">
        <f t="shared" si="15"/>
        <v>#DIV/0!</v>
      </c>
      <c r="G59" s="3245"/>
      <c r="H59" s="1107">
        <f>项目基本情况!B37</f>
        <v>0</v>
      </c>
      <c r="I59" s="1111">
        <f>SUMIF(修正!A45:A56,H59,修正!D45:D56)</f>
        <v>0</v>
      </c>
      <c r="J59" s="1115"/>
      <c r="K59" s="1147"/>
      <c r="L59" s="944"/>
      <c r="M59" s="944"/>
      <c r="N59" s="944"/>
      <c r="O59" s="944"/>
    </row>
    <row r="60" spans="1:15" s="692" customFormat="1">
      <c r="A60" s="693" t="s">
        <v>2718</v>
      </c>
      <c r="B60" s="262" t="e">
        <f t="shared" si="17"/>
        <v>#DIV/0!</v>
      </c>
      <c r="C60" s="200">
        <f t="shared" si="16"/>
        <v>0</v>
      </c>
      <c r="D60" s="1167">
        <v>0.25</v>
      </c>
      <c r="E60" s="694"/>
      <c r="F60" s="1106" t="e">
        <f t="shared" si="15"/>
        <v>#DIV/0!</v>
      </c>
      <c r="G60" s="3245"/>
      <c r="H60" s="1107">
        <f>项目基本情况!B37</f>
        <v>0</v>
      </c>
      <c r="I60" s="1111">
        <f>SUMIF(修正!A45:A56,H60,修正!E45:E56)</f>
        <v>0</v>
      </c>
      <c r="J60" s="1115"/>
      <c r="K60" s="1148"/>
      <c r="L60" s="944"/>
      <c r="M60" s="944"/>
      <c r="N60" s="944"/>
      <c r="O60" s="944"/>
    </row>
    <row r="61" spans="1:15" s="692" customFormat="1">
      <c r="A61" s="693" t="s">
        <v>2719</v>
      </c>
      <c r="B61" s="262" t="e">
        <f t="shared" si="17"/>
        <v>#DIV/0!</v>
      </c>
      <c r="C61" s="200">
        <f t="shared" si="16"/>
        <v>0</v>
      </c>
      <c r="D61" s="1167">
        <v>0.25</v>
      </c>
      <c r="E61" s="261">
        <f>'数据-汇总表'!E11</f>
        <v>0</v>
      </c>
      <c r="F61" s="1106" t="e">
        <f t="shared" si="15"/>
        <v>#DIV/0!</v>
      </c>
      <c r="G61" s="2715" t="s">
        <v>2720</v>
      </c>
      <c r="H61" s="1107">
        <f>项目基本情况!C37</f>
        <v>0</v>
      </c>
      <c r="I61" s="1111">
        <f>SUMIF(修正!A45:A56,H61,修正!F45:F56)</f>
        <v>0</v>
      </c>
      <c r="J61" s="1115"/>
      <c r="K61" s="1147"/>
      <c r="L61" s="944"/>
      <c r="M61" s="944"/>
      <c r="N61" s="944"/>
      <c r="O61" s="944"/>
    </row>
    <row r="62" spans="1:15" s="692" customFormat="1">
      <c r="A62" s="693" t="s">
        <v>2721</v>
      </c>
      <c r="B62" s="262" t="e">
        <f t="shared" si="17"/>
        <v>#DIV/0!</v>
      </c>
      <c r="C62" s="200">
        <f t="shared" si="16"/>
        <v>0</v>
      </c>
      <c r="D62" s="1167">
        <v>0.25</v>
      </c>
      <c r="E62" s="261">
        <f>'数据-汇总表'!E12</f>
        <v>0</v>
      </c>
      <c r="F62" s="1106" t="e">
        <f t="shared" si="15"/>
        <v>#DIV/0!</v>
      </c>
      <c r="G62" s="1112" t="s">
        <v>2722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2723</v>
      </c>
      <c r="B63" s="262" t="e">
        <f t="shared" si="17"/>
        <v>#DIV/0!</v>
      </c>
      <c r="C63" s="200">
        <f t="shared" si="16"/>
        <v>0</v>
      </c>
      <c r="D63" s="1167">
        <v>0.25</v>
      </c>
      <c r="E63" s="261">
        <f>'数据-汇总表'!E13</f>
        <v>0</v>
      </c>
      <c r="F63" s="1106" t="e">
        <f t="shared" si="15"/>
        <v>#DIV/0!</v>
      </c>
      <c r="G63" s="1112" t="s">
        <v>2724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2725</v>
      </c>
      <c r="B64" s="262" t="e">
        <f t="shared" si="17"/>
        <v>#DIV/0!</v>
      </c>
      <c r="C64" s="200">
        <f t="shared" si="16"/>
        <v>0</v>
      </c>
      <c r="D64" s="1167">
        <v>0.25</v>
      </c>
      <c r="E64" s="261">
        <f>'数据-汇总表'!E14</f>
        <v>0</v>
      </c>
      <c r="F64" s="1106" t="e">
        <f t="shared" si="15"/>
        <v>#DIV/0!</v>
      </c>
      <c r="G64" s="2715" t="s">
        <v>2715</v>
      </c>
      <c r="H64" s="1107">
        <f>项目基本情况!B37</f>
        <v>0</v>
      </c>
      <c r="I64" s="1111">
        <f>SUMIF(修正!A45:A56,H64,修正!H45:H56)</f>
        <v>0</v>
      </c>
      <c r="J64" s="1115"/>
      <c r="K64" s="1148"/>
      <c r="L64" s="944"/>
      <c r="M64" s="944"/>
      <c r="N64" s="944"/>
      <c r="O64" s="944"/>
    </row>
    <row r="65" spans="1:17" s="692" customFormat="1" ht="15" thickBot="1">
      <c r="A65" s="693" t="s">
        <v>2726</v>
      </c>
      <c r="B65" s="262" t="e">
        <f t="shared" si="17"/>
        <v>#DIV/0!</v>
      </c>
      <c r="C65" s="200">
        <f t="shared" si="16"/>
        <v>0</v>
      </c>
      <c r="D65" s="1167">
        <v>0.25</v>
      </c>
      <c r="E65" s="261">
        <f>'数据-汇总表'!E15</f>
        <v>0</v>
      </c>
      <c r="F65" s="1106" t="e">
        <f t="shared" si="15"/>
        <v>#DIV/0!</v>
      </c>
      <c r="G65" s="2716" t="s">
        <v>2720</v>
      </c>
      <c r="H65" s="1117">
        <f>项目基本情况!C37</f>
        <v>0</v>
      </c>
      <c r="I65" s="1113">
        <f>SUMIF(修正!A45:A56,H65,修正!H45:H56)</f>
        <v>0</v>
      </c>
      <c r="J65" s="1116"/>
      <c r="K65" s="1147"/>
      <c r="L65" s="944"/>
      <c r="M65" s="944"/>
      <c r="N65" s="944"/>
      <c r="O65" s="944"/>
    </row>
    <row r="66" spans="1:17" s="692" customFormat="1" ht="13.5" thickBot="1">
      <c r="A66" s="695" t="s">
        <v>2727</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2620</v>
      </c>
      <c r="B69" s="759"/>
      <c r="C69" s="764"/>
      <c r="D69" s="764"/>
      <c r="E69" s="764"/>
      <c r="F69" s="765"/>
      <c r="G69" s="765"/>
      <c r="H69" s="764"/>
      <c r="I69" s="764"/>
      <c r="J69" s="1162"/>
      <c r="K69" s="1163"/>
      <c r="L69" s="1164"/>
      <c r="M69" s="1162"/>
      <c r="N69" s="1162"/>
      <c r="O69" s="1162"/>
      <c r="P69" s="503"/>
      <c r="Q69" s="504"/>
    </row>
    <row r="70" spans="1:17" s="508" customFormat="1" ht="15">
      <c r="A70" s="2717" t="s">
        <v>2728</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2729</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2531</v>
      </c>
      <c r="B72" s="516"/>
      <c r="C72" s="517"/>
      <c r="D72" s="518"/>
      <c r="E72" s="518"/>
      <c r="F72" s="518"/>
      <c r="G72" s="518"/>
      <c r="H72" s="518"/>
      <c r="I72" s="518"/>
      <c r="J72" s="518"/>
      <c r="K72" s="518"/>
      <c r="L72" s="518"/>
      <c r="M72" s="519"/>
      <c r="N72" s="518"/>
      <c r="O72" s="1165"/>
      <c r="P72" s="504"/>
      <c r="Q72" s="504"/>
    </row>
    <row r="73" spans="1:17" s="117" customFormat="1" ht="15">
      <c r="A73" s="521" t="s">
        <v>2497</v>
      </c>
      <c r="B73" s="510"/>
      <c r="C73" s="522" t="s">
        <v>2598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2534</v>
      </c>
      <c r="B75" s="528" t="s">
        <v>2501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2506</v>
      </c>
      <c r="B88" s="528" t="s">
        <v>2542</v>
      </c>
      <c r="C88" s="573" t="s">
        <v>2543</v>
      </c>
      <c r="D88" s="573" t="s">
        <v>2544</v>
      </c>
      <c r="E88" s="573" t="s">
        <v>2545</v>
      </c>
      <c r="F88" s="573" t="s">
        <v>2546</v>
      </c>
      <c r="G88" s="573" t="s">
        <v>2547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2730</v>
      </c>
      <c r="C90" s="578" t="s">
        <v>2543</v>
      </c>
      <c r="D90" s="578" t="s">
        <v>2544</v>
      </c>
      <c r="E90" s="578" t="s">
        <v>2545</v>
      </c>
      <c r="F90" s="578" t="s">
        <v>2546</v>
      </c>
      <c r="G90" s="578" t="s">
        <v>2547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2731</v>
      </c>
      <c r="C96" s="578" t="s">
        <v>2543</v>
      </c>
      <c r="D96" s="578" t="s">
        <v>2544</v>
      </c>
      <c r="E96" s="578" t="s">
        <v>2545</v>
      </c>
      <c r="F96" s="578" t="s">
        <v>2546</v>
      </c>
      <c r="G96" s="578" t="s">
        <v>2547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2732</v>
      </c>
      <c r="C98" s="573" t="s">
        <v>2543</v>
      </c>
      <c r="D98" s="573" t="s">
        <v>2544</v>
      </c>
      <c r="E98" s="573" t="s">
        <v>2545</v>
      </c>
      <c r="F98" s="573" t="s">
        <v>2546</v>
      </c>
      <c r="G98" s="573" t="s">
        <v>2547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2637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2696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2510</v>
      </c>
      <c r="B116" s="528" t="s">
        <v>2737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2742</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ROUND(IF(D3="",B2*10000/'数据-汇总表'!E3,B2*10000/D3),0)</f>
        <v>#DIV/0!</v>
      </c>
      <c r="C3" s="247" t="s">
        <v>2692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69" t="s">
        <v>2592</v>
      </c>
      <c r="D4" s="3170"/>
      <c r="E4" s="3171" t="s">
        <v>2593</v>
      </c>
      <c r="F4" s="3172"/>
      <c r="G4" s="3169" t="s">
        <v>2594</v>
      </c>
      <c r="H4" s="3170"/>
      <c r="I4" s="3169" t="s">
        <v>2595</v>
      </c>
      <c r="J4" s="3170"/>
      <c r="K4" s="610" t="s">
        <v>2596</v>
      </c>
      <c r="L4" s="1133"/>
      <c r="M4" s="1134"/>
      <c r="N4" s="1134"/>
      <c r="O4" s="1134"/>
      <c r="P4" s="3173" t="s">
        <v>2597</v>
      </c>
      <c r="Q4" s="3174"/>
      <c r="R4" s="3179" t="s">
        <v>2593</v>
      </c>
      <c r="S4" s="3180"/>
      <c r="T4" s="3179" t="s">
        <v>2594</v>
      </c>
      <c r="U4" s="3180"/>
      <c r="V4" s="3185" t="s">
        <v>2595</v>
      </c>
      <c r="W4" s="3185"/>
      <c r="X4" s="1816"/>
      <c r="Y4" s="3179" t="s">
        <v>2597</v>
      </c>
      <c r="Z4" s="3180"/>
      <c r="AA4" s="3166" t="s">
        <v>2593</v>
      </c>
      <c r="AB4" s="3167" t="s">
        <v>2594</v>
      </c>
      <c r="AC4" s="3166" t="s">
        <v>2595</v>
      </c>
    </row>
    <row r="5" spans="1:29" ht="15">
      <c r="A5" s="404"/>
      <c r="B5" s="405"/>
      <c r="C5" s="3224" t="s">
        <v>2489</v>
      </c>
      <c r="D5" s="3189"/>
      <c r="E5" s="3225" t="s">
        <v>2490</v>
      </c>
      <c r="F5" s="3196"/>
      <c r="G5" s="3224" t="s">
        <v>2491</v>
      </c>
      <c r="H5" s="3189"/>
      <c r="I5" s="3224" t="s">
        <v>2492</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246" t="s">
        <v>2743</v>
      </c>
      <c r="D6" s="3247"/>
      <c r="E6" s="3248" t="s">
        <v>2743</v>
      </c>
      <c r="F6" s="3249"/>
      <c r="G6" s="3246" t="s">
        <v>2743</v>
      </c>
      <c r="H6" s="3247"/>
      <c r="I6" s="3246" t="s">
        <v>2743</v>
      </c>
      <c r="J6" s="3247"/>
      <c r="K6" s="610" t="s">
        <v>2494</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2495</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0" t="s">
        <v>2496</v>
      </c>
      <c r="Q7" s="3192"/>
      <c r="R7" s="770" t="s">
        <v>17</v>
      </c>
      <c r="S7" s="771">
        <f t="shared" ref="S7:S15" si="0">F7</f>
        <v>0</v>
      </c>
      <c r="T7" s="770" t="s">
        <v>17</v>
      </c>
      <c r="U7" s="771">
        <f t="shared" ref="U7:U15" si="1">H7</f>
        <v>0</v>
      </c>
      <c r="V7" s="770" t="s">
        <v>17</v>
      </c>
      <c r="W7" s="771">
        <f t="shared" ref="W7:W15" si="2">J7</f>
        <v>0</v>
      </c>
      <c r="X7" s="772"/>
      <c r="Y7" s="3190" t="s">
        <v>2496</v>
      </c>
      <c r="Z7" s="3191"/>
      <c r="AA7" s="773" t="e">
        <f>D7/F7</f>
        <v>#DIV/0!</v>
      </c>
      <c r="AB7" s="773" t="e">
        <f>D7/H7</f>
        <v>#DIV/0!</v>
      </c>
      <c r="AC7" s="773"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2499</v>
      </c>
      <c r="Q8" s="3191"/>
      <c r="R8" s="770" t="s">
        <v>17</v>
      </c>
      <c r="S8" s="771">
        <f t="shared" si="0"/>
        <v>0</v>
      </c>
      <c r="T8" s="770" t="s">
        <v>17</v>
      </c>
      <c r="U8" s="771">
        <f t="shared" si="1"/>
        <v>0</v>
      </c>
      <c r="V8" s="770" t="s">
        <v>17</v>
      </c>
      <c r="W8" s="771">
        <f t="shared" si="2"/>
        <v>0</v>
      </c>
      <c r="X8" s="772"/>
      <c r="Y8" s="3190" t="s">
        <v>2499</v>
      </c>
      <c r="Z8" s="3191"/>
      <c r="AA8" s="773" t="e">
        <f t="shared" ref="AA8:AA40" si="3">D8/F8</f>
        <v>#DIV/0!</v>
      </c>
      <c r="AB8" s="773" t="e">
        <f t="shared" ref="AB8:AB40" si="4">D8/H8</f>
        <v>#DIV/0!</v>
      </c>
      <c r="AC8" s="773" t="e">
        <f t="shared" ref="AC8:AC40" si="5">D8/J8</f>
        <v>#DIV/0!</v>
      </c>
    </row>
    <row r="9" spans="1:29" s="117" customFormat="1">
      <c r="A9" s="415" t="s">
        <v>2500</v>
      </c>
      <c r="B9" s="71" t="s">
        <v>2501</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4" t="s">
        <v>2502</v>
      </c>
      <c r="Q9" s="1798" t="str">
        <f t="shared" ref="Q9:Q15" si="6">B9</f>
        <v>用途</v>
      </c>
      <c r="R9" s="770" t="s">
        <v>17</v>
      </c>
      <c r="S9" s="771">
        <f t="shared" si="0"/>
        <v>100</v>
      </c>
      <c r="T9" s="770" t="s">
        <v>17</v>
      </c>
      <c r="U9" s="771">
        <f t="shared" si="1"/>
        <v>100</v>
      </c>
      <c r="V9" s="770" t="s">
        <v>17</v>
      </c>
      <c r="W9" s="771">
        <f t="shared" si="2"/>
        <v>100</v>
      </c>
      <c r="X9" s="772"/>
      <c r="Y9" s="3006" t="s">
        <v>2503</v>
      </c>
      <c r="Z9" s="55" t="str">
        <f t="shared" ref="Z9:Z15" si="7">Q9</f>
        <v>用途</v>
      </c>
      <c r="AA9" s="773">
        <f t="shared" si="3"/>
        <v>1</v>
      </c>
      <c r="AB9" s="773">
        <f t="shared" si="4"/>
        <v>1</v>
      </c>
      <c r="AC9" s="773">
        <f t="shared" si="5"/>
        <v>1</v>
      </c>
    </row>
    <row r="10" spans="1:29" s="427" customFormat="1" ht="27">
      <c r="A10" s="421"/>
      <c r="B10" s="422" t="s">
        <v>2504</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54"/>
      <c r="Q10" s="1798" t="str">
        <f t="shared" si="6"/>
        <v>土地使用年限（年）</v>
      </c>
      <c r="R10" s="770" t="s">
        <v>17</v>
      </c>
      <c r="S10" s="771">
        <f t="shared" si="0"/>
        <v>113</v>
      </c>
      <c r="T10" s="770" t="s">
        <v>17</v>
      </c>
      <c r="U10" s="771">
        <f t="shared" si="1"/>
        <v>113</v>
      </c>
      <c r="V10" s="770" t="s">
        <v>17</v>
      </c>
      <c r="W10" s="771">
        <f t="shared" si="2"/>
        <v>113</v>
      </c>
      <c r="X10" s="772"/>
      <c r="Y10" s="3006"/>
      <c r="Z10" s="55" t="str">
        <f t="shared" si="7"/>
        <v>土地使用年限（年）</v>
      </c>
      <c r="AA10" s="773">
        <f t="shared" si="3"/>
        <v>0.88495575221238942</v>
      </c>
      <c r="AB10" s="773">
        <f t="shared" si="4"/>
        <v>0.88495575221238942</v>
      </c>
      <c r="AC10" s="773">
        <f t="shared" si="5"/>
        <v>0.88495575221238942</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5">
      <c r="A15" s="440" t="s">
        <v>2506</v>
      </c>
      <c r="B15" s="629" t="s">
        <v>2744</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2507</v>
      </c>
      <c r="Q15" s="1813" t="str">
        <f t="shared" si="6"/>
        <v>产业集聚程度</v>
      </c>
      <c r="R15" s="774" t="s">
        <v>17</v>
      </c>
      <c r="S15" s="775">
        <f t="shared" si="0"/>
        <v>100</v>
      </c>
      <c r="T15" s="774" t="s">
        <v>17</v>
      </c>
      <c r="U15" s="775">
        <f t="shared" si="1"/>
        <v>100</v>
      </c>
      <c r="V15" s="774" t="s">
        <v>17</v>
      </c>
      <c r="W15" s="775">
        <f t="shared" si="2"/>
        <v>100</v>
      </c>
      <c r="X15" s="1816"/>
      <c r="Y15" s="3156" t="s">
        <v>2507</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57"/>
      <c r="Q16" s="1813"/>
      <c r="R16" s="774"/>
      <c r="S16" s="775"/>
      <c r="T16" s="774"/>
      <c r="U16" s="775"/>
      <c r="V16" s="774"/>
      <c r="W16" s="775"/>
      <c r="X16" s="1816"/>
      <c r="Y16" s="3157"/>
      <c r="Z16" s="1817"/>
      <c r="AA16" s="1814">
        <v>1</v>
      </c>
      <c r="AB16" s="1814">
        <v>1</v>
      </c>
      <c r="AC16" s="1814">
        <v>1</v>
      </c>
    </row>
    <row r="17" spans="1:29" ht="15">
      <c r="A17" s="428"/>
      <c r="B17" s="631" t="s">
        <v>2655</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57"/>
      <c r="Q18" s="1813"/>
      <c r="R18" s="774"/>
      <c r="S18" s="775"/>
      <c r="T18" s="774"/>
      <c r="U18" s="775"/>
      <c r="V18" s="774"/>
      <c r="W18" s="775"/>
      <c r="X18" s="1816"/>
      <c r="Y18" s="3157"/>
      <c r="Z18" s="1817"/>
      <c r="AA18" s="1814">
        <v>1</v>
      </c>
      <c r="AB18" s="1814">
        <v>1</v>
      </c>
      <c r="AC18" s="1814">
        <v>1</v>
      </c>
    </row>
    <row r="19" spans="1:29" ht="15">
      <c r="A19" s="428"/>
      <c r="B19" s="631" t="s">
        <v>2694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3" t="str">
        <f t="shared" ref="Q19:Q33" si="8">B19</f>
        <v>区域土地利用方向</v>
      </c>
      <c r="R19" s="774" t="s">
        <v>17</v>
      </c>
      <c r="S19" s="775">
        <f>F19</f>
        <v>100</v>
      </c>
      <c r="T19" s="774" t="s">
        <v>17</v>
      </c>
      <c r="U19" s="775">
        <f>H19</f>
        <v>100</v>
      </c>
      <c r="V19" s="774" t="s">
        <v>17</v>
      </c>
      <c r="W19" s="775">
        <f>J19</f>
        <v>100</v>
      </c>
      <c r="X19" s="1816"/>
      <c r="Y19" s="3157"/>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57"/>
      <c r="Q20" s="1813"/>
      <c r="R20" s="774"/>
      <c r="S20" s="775"/>
      <c r="T20" s="774"/>
      <c r="U20" s="775"/>
      <c r="V20" s="774"/>
      <c r="W20" s="775"/>
      <c r="X20" s="1816"/>
      <c r="Y20" s="3157"/>
      <c r="Z20" s="1817"/>
      <c r="AA20" s="1814"/>
      <c r="AB20" s="1814"/>
      <c r="AC20" s="1814"/>
    </row>
    <row r="21" spans="1:29" ht="15">
      <c r="A21" s="404"/>
      <c r="B21" s="631" t="s">
        <v>2745</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3" t="str">
        <f t="shared" si="8"/>
        <v>环境状况</v>
      </c>
      <c r="R21" s="774" t="s">
        <v>17</v>
      </c>
      <c r="S21" s="775">
        <f>F21</f>
        <v>100</v>
      </c>
      <c r="T21" s="774" t="s">
        <v>17</v>
      </c>
      <c r="U21" s="775">
        <f>H21</f>
        <v>100</v>
      </c>
      <c r="V21" s="774" t="s">
        <v>17</v>
      </c>
      <c r="W21" s="775">
        <f>J21</f>
        <v>100</v>
      </c>
      <c r="X21" s="1816"/>
      <c r="Y21" s="3157"/>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57"/>
      <c r="Q22" s="1813"/>
      <c r="R22" s="774"/>
      <c r="S22" s="775"/>
      <c r="T22" s="774"/>
      <c r="U22" s="775"/>
      <c r="V22" s="774"/>
      <c r="W22" s="775"/>
      <c r="X22" s="1816"/>
      <c r="Y22" s="3157"/>
      <c r="Z22" s="1817"/>
      <c r="AA22" s="1814">
        <v>1</v>
      </c>
      <c r="AB22" s="1814">
        <v>1</v>
      </c>
      <c r="AC22" s="1814">
        <v>1</v>
      </c>
    </row>
    <row r="23" spans="1:29" s="117" customFormat="1" ht="15">
      <c r="A23" s="649"/>
      <c r="B23" s="633" t="s">
        <v>2600</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8" t="str">
        <f t="shared" si="8"/>
        <v>公共配套设施</v>
      </c>
      <c r="R23" s="770" t="s">
        <v>17</v>
      </c>
      <c r="S23" s="771">
        <f>F23</f>
        <v>100</v>
      </c>
      <c r="T23" s="770" t="s">
        <v>17</v>
      </c>
      <c r="U23" s="771">
        <f>H23</f>
        <v>100</v>
      </c>
      <c r="V23" s="770" t="s">
        <v>17</v>
      </c>
      <c r="W23" s="771">
        <f>J23</f>
        <v>100</v>
      </c>
      <c r="X23" s="772"/>
      <c r="Y23" s="3157"/>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57"/>
      <c r="Q24" s="1798"/>
      <c r="R24" s="770"/>
      <c r="S24" s="771"/>
      <c r="T24" s="770"/>
      <c r="U24" s="771"/>
      <c r="V24" s="770"/>
      <c r="W24" s="771"/>
      <c r="X24" s="772"/>
      <c r="Y24" s="3157"/>
      <c r="Z24" s="55"/>
      <c r="AA24" s="773">
        <v>1</v>
      </c>
      <c r="AB24" s="773">
        <v>1</v>
      </c>
      <c r="AC24" s="773">
        <v>1</v>
      </c>
    </row>
    <row r="25" spans="1:29" s="117" customFormat="1" ht="15">
      <c r="A25" s="649"/>
      <c r="B25" s="633" t="s">
        <v>2601</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8"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57"/>
      <c r="Q26" s="1798"/>
      <c r="R26" s="770"/>
      <c r="S26" s="771"/>
      <c r="T26" s="770"/>
      <c r="U26" s="771"/>
      <c r="V26" s="770"/>
      <c r="W26" s="771"/>
      <c r="X26" s="772"/>
      <c r="Y26" s="3157"/>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7"/>
      <c r="Z27" s="1817" t="str">
        <f t="shared" ref="Z27:Z40" si="13">Q27</f>
        <v>临街状况</v>
      </c>
      <c r="AA27" s="1814">
        <f t="shared" si="3"/>
        <v>1</v>
      </c>
      <c r="AB27" s="1814">
        <f t="shared" si="4"/>
        <v>1</v>
      </c>
      <c r="AC27" s="1814">
        <f t="shared" si="5"/>
        <v>1</v>
      </c>
    </row>
    <row r="28" spans="1:29" ht="27">
      <c r="A28" s="428"/>
      <c r="B28" s="633" t="s">
        <v>2637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3" t="str">
        <f t="shared" si="8"/>
        <v>毗邻道路的类型与等级</v>
      </c>
      <c r="R28" s="774" t="s">
        <v>17</v>
      </c>
      <c r="S28" s="775">
        <f t="shared" si="10"/>
        <v>100</v>
      </c>
      <c r="T28" s="774" t="s">
        <v>17</v>
      </c>
      <c r="U28" s="775">
        <f t="shared" si="11"/>
        <v>100</v>
      </c>
      <c r="V28" s="774" t="s">
        <v>17</v>
      </c>
      <c r="W28" s="775">
        <f t="shared" si="12"/>
        <v>100</v>
      </c>
      <c r="X28" s="1816"/>
      <c r="Y28" s="3157"/>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57"/>
      <c r="Q29" s="1813"/>
      <c r="R29" s="774"/>
      <c r="S29" s="775"/>
      <c r="T29" s="774"/>
      <c r="U29" s="775"/>
      <c r="V29" s="774"/>
      <c r="W29" s="775"/>
      <c r="X29" s="1816"/>
      <c r="Y29" s="3157"/>
      <c r="Z29" s="1817"/>
      <c r="AA29" s="1814">
        <v>1</v>
      </c>
      <c r="AB29" s="1814">
        <v>1</v>
      </c>
      <c r="AC29" s="1814">
        <v>1</v>
      </c>
    </row>
    <row r="30" spans="1:29" ht="15">
      <c r="A30" s="428"/>
      <c r="B30" s="654" t="s">
        <v>2696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3" t="str">
        <f t="shared" si="8"/>
        <v>土地级别</v>
      </c>
      <c r="R30" s="774" t="s">
        <v>17</v>
      </c>
      <c r="S30" s="775">
        <f t="shared" si="10"/>
        <v>100</v>
      </c>
      <c r="T30" s="774" t="s">
        <v>17</v>
      </c>
      <c r="U30" s="775">
        <f t="shared" si="11"/>
        <v>100</v>
      </c>
      <c r="V30" s="774" t="s">
        <v>17</v>
      </c>
      <c r="W30" s="775">
        <f t="shared" si="12"/>
        <v>100</v>
      </c>
      <c r="X30" s="1816"/>
      <c r="Y30" s="3157"/>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3">
        <f t="shared" si="8"/>
        <v>111</v>
      </c>
      <c r="R31" s="774" t="s">
        <v>17</v>
      </c>
      <c r="S31" s="775">
        <f t="shared" si="10"/>
        <v>100</v>
      </c>
      <c r="T31" s="774" t="s">
        <v>17</v>
      </c>
      <c r="U31" s="775">
        <f t="shared" si="11"/>
        <v>100</v>
      </c>
      <c r="V31" s="774" t="s">
        <v>17</v>
      </c>
      <c r="W31" s="775">
        <f t="shared" si="12"/>
        <v>100</v>
      </c>
      <c r="X31" s="1816"/>
      <c r="Y31" s="3157"/>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1" t="s">
        <v>2512</v>
      </c>
      <c r="Q32" s="1813">
        <f t="shared" si="8"/>
        <v>111</v>
      </c>
      <c r="R32" s="774" t="s">
        <v>17</v>
      </c>
      <c r="S32" s="775">
        <f t="shared" si="10"/>
        <v>100</v>
      </c>
      <c r="T32" s="774" t="s">
        <v>17</v>
      </c>
      <c r="U32" s="775">
        <f t="shared" si="11"/>
        <v>100</v>
      </c>
      <c r="V32" s="774" t="s">
        <v>17</v>
      </c>
      <c r="W32" s="775">
        <f t="shared" si="12"/>
        <v>100</v>
      </c>
      <c r="X32" s="1816"/>
      <c r="Y32" s="3161" t="s">
        <v>2512</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3">
        <f t="shared" si="8"/>
        <v>111</v>
      </c>
      <c r="R33" s="777" t="s">
        <v>17</v>
      </c>
      <c r="S33" s="778">
        <f t="shared" si="10"/>
        <v>100</v>
      </c>
      <c r="T33" s="777" t="s">
        <v>17</v>
      </c>
      <c r="U33" s="778">
        <f t="shared" si="11"/>
        <v>100</v>
      </c>
      <c r="V33" s="777" t="s">
        <v>17</v>
      </c>
      <c r="W33" s="778">
        <f t="shared" si="12"/>
        <v>100</v>
      </c>
      <c r="X33" s="779"/>
      <c r="Y33" s="3161"/>
      <c r="Z33" s="780">
        <f t="shared" si="13"/>
        <v>111</v>
      </c>
      <c r="AA33" s="1814">
        <f t="shared" si="3"/>
        <v>1</v>
      </c>
      <c r="AB33" s="1814">
        <f t="shared" si="4"/>
        <v>1</v>
      </c>
      <c r="AC33" s="1814">
        <f t="shared" si="5"/>
        <v>1</v>
      </c>
    </row>
    <row r="34" spans="1:29" ht="15">
      <c r="A34" s="440" t="s">
        <v>2510</v>
      </c>
      <c r="B34" s="456" t="s">
        <v>2697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1"/>
      <c r="Q34" s="1813" t="str">
        <f>B34</f>
        <v>宗地面积</v>
      </c>
      <c r="R34" s="774" t="s">
        <v>17</v>
      </c>
      <c r="S34" s="775" t="e">
        <f t="shared" si="10"/>
        <v>#N/A</v>
      </c>
      <c r="T34" s="774" t="s">
        <v>17</v>
      </c>
      <c r="U34" s="775" t="e">
        <f t="shared" si="11"/>
        <v>#N/A</v>
      </c>
      <c r="V34" s="774" t="s">
        <v>17</v>
      </c>
      <c r="W34" s="775" t="e">
        <f t="shared" si="12"/>
        <v>#N/A</v>
      </c>
      <c r="X34" s="1816"/>
      <c r="Y34" s="3161"/>
      <c r="Z34" s="1817" t="str">
        <f t="shared" si="13"/>
        <v>宗地面积</v>
      </c>
      <c r="AA34" s="1814" t="e">
        <f t="shared" si="3"/>
        <v>#N/A</v>
      </c>
      <c r="AB34" s="1814" t="e">
        <f t="shared" si="4"/>
        <v>#N/A</v>
      </c>
      <c r="AC34" s="1814" t="e">
        <f t="shared" si="5"/>
        <v>#N/A</v>
      </c>
    </row>
    <row r="35" spans="1:29" ht="15">
      <c r="A35" s="472"/>
      <c r="B35" s="422" t="s">
        <v>2698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61"/>
      <c r="Q35" s="1813" t="str">
        <f t="shared" ref="Q35:Q40" si="14">B35</f>
        <v>宗地形状</v>
      </c>
      <c r="R35" s="774" t="s">
        <v>17</v>
      </c>
      <c r="S35" s="775">
        <f t="shared" si="10"/>
        <v>100</v>
      </c>
      <c r="T35" s="774" t="s">
        <v>17</v>
      </c>
      <c r="U35" s="775">
        <f t="shared" si="11"/>
        <v>100</v>
      </c>
      <c r="V35" s="774" t="s">
        <v>17</v>
      </c>
      <c r="W35" s="775">
        <f t="shared" si="12"/>
        <v>100</v>
      </c>
      <c r="X35" s="1816"/>
      <c r="Y35" s="3161"/>
      <c r="Z35" s="1817" t="str">
        <f t="shared" si="13"/>
        <v>宗地形状</v>
      </c>
      <c r="AA35" s="1814">
        <f t="shared" si="3"/>
        <v>1</v>
      </c>
      <c r="AB35" s="1814">
        <f t="shared" si="4"/>
        <v>1</v>
      </c>
      <c r="AC35" s="1814">
        <f t="shared" si="5"/>
        <v>1</v>
      </c>
    </row>
    <row r="36" spans="1:29" s="117" customFormat="1" ht="15">
      <c r="A36" s="473"/>
      <c r="B36" s="422" t="s">
        <v>2700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1"/>
      <c r="Q36" s="1813"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2701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61" t="s">
        <v>2512</v>
      </c>
      <c r="Q37" s="1813" t="str">
        <f t="shared" si="14"/>
        <v>工程地质条件</v>
      </c>
      <c r="R37" s="774" t="s">
        <v>17</v>
      </c>
      <c r="S37" s="775">
        <f t="shared" si="10"/>
        <v>100</v>
      </c>
      <c r="T37" s="774" t="s">
        <v>17</v>
      </c>
      <c r="U37" s="775">
        <f t="shared" si="11"/>
        <v>100</v>
      </c>
      <c r="V37" s="774" t="s">
        <v>17</v>
      </c>
      <c r="W37" s="775">
        <f t="shared" si="12"/>
        <v>100</v>
      </c>
      <c r="X37" s="1816"/>
      <c r="Y37" s="3161" t="s">
        <v>2512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3">
        <f t="shared" si="14"/>
        <v>111</v>
      </c>
      <c r="R38" s="774" t="s">
        <v>17</v>
      </c>
      <c r="S38" s="775">
        <f t="shared" si="10"/>
        <v>100</v>
      </c>
      <c r="T38" s="774" t="s">
        <v>17</v>
      </c>
      <c r="U38" s="775">
        <f t="shared" si="11"/>
        <v>100</v>
      </c>
      <c r="V38" s="774" t="s">
        <v>17</v>
      </c>
      <c r="W38" s="775">
        <f t="shared" si="12"/>
        <v>100</v>
      </c>
      <c r="X38" s="1816"/>
      <c r="Y38" s="316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3">
        <f t="shared" si="14"/>
        <v>111</v>
      </c>
      <c r="R39" s="774" t="s">
        <v>17</v>
      </c>
      <c r="S39" s="775">
        <f t="shared" si="10"/>
        <v>100</v>
      </c>
      <c r="T39" s="774" t="s">
        <v>17</v>
      </c>
      <c r="U39" s="775">
        <f t="shared" si="11"/>
        <v>100</v>
      </c>
      <c r="V39" s="774" t="s">
        <v>17</v>
      </c>
      <c r="W39" s="775">
        <f t="shared" si="12"/>
        <v>100</v>
      </c>
      <c r="X39" s="1816"/>
      <c r="Y39" s="3161"/>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3">
        <f t="shared" si="14"/>
        <v>111</v>
      </c>
      <c r="R40" s="777" t="s">
        <v>17</v>
      </c>
      <c r="S40" s="778">
        <f t="shared" si="10"/>
        <v>100</v>
      </c>
      <c r="T40" s="777" t="s">
        <v>17</v>
      </c>
      <c r="U40" s="778">
        <f t="shared" si="11"/>
        <v>100</v>
      </c>
      <c r="V40" s="777" t="s">
        <v>17</v>
      </c>
      <c r="W40" s="778">
        <f t="shared" si="12"/>
        <v>100</v>
      </c>
      <c r="X40" s="779"/>
      <c r="Y40" s="3161"/>
      <c r="Z40" s="780">
        <f t="shared" si="13"/>
        <v>111</v>
      </c>
      <c r="AA40" s="1814">
        <f t="shared" si="3"/>
        <v>1</v>
      </c>
      <c r="AB40" s="1814">
        <f t="shared" si="4"/>
        <v>1</v>
      </c>
      <c r="AC40" s="1814">
        <f t="shared" si="5"/>
        <v>1</v>
      </c>
    </row>
    <row r="41" spans="1:29" ht="15">
      <c r="A41" s="479" t="s">
        <v>2666</v>
      </c>
      <c r="B41" s="2710" t="s">
        <v>2746</v>
      </c>
      <c r="C41" s="682" t="s">
        <v>1</v>
      </c>
      <c r="D41" s="481"/>
      <c r="E41" s="482"/>
      <c r="F41" s="483"/>
      <c r="G41" s="484"/>
      <c r="H41" s="485"/>
      <c r="I41" s="482"/>
      <c r="J41" s="485"/>
      <c r="K41" s="783"/>
      <c r="L41" s="1146"/>
      <c r="M41" s="1134"/>
      <c r="N41" s="1134"/>
      <c r="O41" s="1147"/>
      <c r="P41" s="3154" t="str">
        <f>A41</f>
        <v>成交单价</v>
      </c>
      <c r="Q41" s="3154"/>
      <c r="R41" s="3185">
        <f>E41</f>
        <v>0</v>
      </c>
      <c r="S41" s="3185"/>
      <c r="T41" s="3185">
        <f>G41</f>
        <v>0</v>
      </c>
      <c r="U41" s="3185"/>
      <c r="V41" s="3185">
        <f>I41</f>
        <v>0</v>
      </c>
      <c r="W41" s="3185"/>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43" t="e">
        <f>ROUND(AVERAGE(R42:V42),0)</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2704</v>
      </c>
      <c r="B50" s="685" t="s">
        <v>2705</v>
      </c>
      <c r="C50" s="2711" t="s">
        <v>2706</v>
      </c>
      <c r="D50" s="2712" t="s">
        <v>2707</v>
      </c>
      <c r="E50" s="686" t="s">
        <v>2708</v>
      </c>
      <c r="F50" s="687" t="s">
        <v>2709</v>
      </c>
      <c r="G50" s="3169" t="s">
        <v>2710</v>
      </c>
      <c r="H50" s="3244"/>
      <c r="I50" s="1817" t="s">
        <v>2747</v>
      </c>
      <c r="J50" s="1817">
        <f>项目基本情况!F35</f>
        <v>0</v>
      </c>
      <c r="K50" s="2714" t="s">
        <v>2712</v>
      </c>
      <c r="L50" s="1109"/>
      <c r="M50" s="1147"/>
      <c r="N50" s="1147"/>
      <c r="O50" s="1147"/>
    </row>
    <row r="51" spans="1:17" s="692" customFormat="1">
      <c r="A51" s="688" t="s">
        <v>2713</v>
      </c>
      <c r="B51" s="689" t="e">
        <f>C43</f>
        <v>#DIV/0!</v>
      </c>
      <c r="C51" s="690">
        <v>1</v>
      </c>
      <c r="D51" s="1166">
        <v>1</v>
      </c>
      <c r="E51" s="690">
        <f>'数据-汇总表'!E8+'数据-汇总表'!E9</f>
        <v>32663.93</v>
      </c>
      <c r="F51" s="691" t="e">
        <f t="shared" ref="F51:F60" si="15">ROUND(B51*E51/10000,0)</f>
        <v>#DIV/0!</v>
      </c>
      <c r="G51" s="3165"/>
      <c r="H51" s="3154"/>
      <c r="I51" s="945">
        <v>1</v>
      </c>
      <c r="J51" s="945">
        <v>1</v>
      </c>
      <c r="K51" s="1148"/>
      <c r="L51" s="944"/>
      <c r="M51" s="944"/>
      <c r="N51" s="944"/>
      <c r="O51" s="944"/>
    </row>
    <row r="52" spans="1:17" s="692" customFormat="1">
      <c r="A52" s="693" t="s">
        <v>2714</v>
      </c>
      <c r="B52" s="262" t="e">
        <f>ROUND($C$43*C52*D52,0)</f>
        <v>#DIV/0!</v>
      </c>
      <c r="C52" s="200">
        <f t="shared" ref="C52:C60" si="16">IF($C$50="北京市系数",I52,J52)</f>
        <v>0</v>
      </c>
      <c r="D52" s="1167">
        <v>0.25</v>
      </c>
      <c r="E52" s="694"/>
      <c r="F52" s="691" t="e">
        <f t="shared" si="15"/>
        <v>#DIV/0!</v>
      </c>
      <c r="G52" s="3245" t="s">
        <v>2715</v>
      </c>
      <c r="H52" s="1107">
        <f>项目基本情况!B37</f>
        <v>0</v>
      </c>
      <c r="I52" s="945">
        <f>SUMIF(修正!A45:A56,H52,修正!B45:B56)</f>
        <v>0</v>
      </c>
      <c r="J52" s="946"/>
      <c r="K52" s="1147"/>
      <c r="L52" s="944"/>
      <c r="M52" s="944"/>
      <c r="N52" s="944"/>
      <c r="O52" s="944"/>
    </row>
    <row r="53" spans="1:17" s="692" customFormat="1">
      <c r="A53" s="693" t="s">
        <v>2716</v>
      </c>
      <c r="B53" s="262" t="e">
        <f t="shared" ref="B53:B60" si="17">ROUND($C$43*C53*D53,0)</f>
        <v>#DIV/0!</v>
      </c>
      <c r="C53" s="200">
        <f t="shared" si="16"/>
        <v>0</v>
      </c>
      <c r="D53" s="1167">
        <v>0.25</v>
      </c>
      <c r="E53" s="694"/>
      <c r="F53" s="691" t="e">
        <f t="shared" si="15"/>
        <v>#DIV/0!</v>
      </c>
      <c r="G53" s="3245"/>
      <c r="H53" s="1107">
        <f>项目基本情况!B37</f>
        <v>0</v>
      </c>
      <c r="I53" s="945">
        <f>SUMIF(修正!A45:A56,H53,修正!C45:C56)</f>
        <v>0</v>
      </c>
      <c r="J53" s="946"/>
      <c r="K53" s="1148"/>
      <c r="L53" s="944"/>
      <c r="M53" s="944"/>
      <c r="N53" s="944"/>
      <c r="O53" s="944"/>
    </row>
    <row r="54" spans="1:17" s="692" customFormat="1">
      <c r="A54" s="693" t="s">
        <v>2717</v>
      </c>
      <c r="B54" s="262" t="e">
        <f t="shared" si="17"/>
        <v>#DIV/0!</v>
      </c>
      <c r="C54" s="200">
        <f t="shared" si="16"/>
        <v>0</v>
      </c>
      <c r="D54" s="1167">
        <v>0.25</v>
      </c>
      <c r="E54" s="694"/>
      <c r="F54" s="691" t="e">
        <f t="shared" si="15"/>
        <v>#DIV/0!</v>
      </c>
      <c r="G54" s="3245"/>
      <c r="H54" s="1107">
        <f>项目基本情况!B37</f>
        <v>0</v>
      </c>
      <c r="I54" s="945">
        <f>SUMIF(修正!A45:A56,H54,修正!D45:D56)</f>
        <v>0</v>
      </c>
      <c r="J54" s="946"/>
      <c r="K54" s="1147"/>
      <c r="L54" s="944"/>
      <c r="M54" s="944"/>
      <c r="N54" s="944"/>
      <c r="O54" s="944"/>
    </row>
    <row r="55" spans="1:17" s="692" customFormat="1">
      <c r="A55" s="693" t="s">
        <v>2718</v>
      </c>
      <c r="B55" s="262" t="e">
        <f t="shared" si="17"/>
        <v>#DIV/0!</v>
      </c>
      <c r="C55" s="200">
        <f t="shared" si="16"/>
        <v>0</v>
      </c>
      <c r="D55" s="1167">
        <v>0.25</v>
      </c>
      <c r="E55" s="694"/>
      <c r="F55" s="691" t="e">
        <f t="shared" si="15"/>
        <v>#DIV/0!</v>
      </c>
      <c r="G55" s="3245"/>
      <c r="H55" s="1107">
        <f>项目基本情况!B37</f>
        <v>0</v>
      </c>
      <c r="I55" s="945">
        <f>SUMIF(修正!A45:A56,H55,修正!E45:E56)</f>
        <v>0</v>
      </c>
      <c r="J55" s="946"/>
      <c r="K55" s="1148"/>
      <c r="L55" s="944"/>
      <c r="M55" s="944"/>
      <c r="N55" s="944"/>
      <c r="O55" s="944"/>
    </row>
    <row r="56" spans="1:17" s="692" customFormat="1">
      <c r="A56" s="693" t="s">
        <v>2719</v>
      </c>
      <c r="B56" s="262" t="e">
        <f t="shared" si="17"/>
        <v>#DIV/0!</v>
      </c>
      <c r="C56" s="200">
        <f t="shared" si="16"/>
        <v>0</v>
      </c>
      <c r="D56" s="1167">
        <v>0.25</v>
      </c>
      <c r="E56" s="261">
        <f>'数据-汇总表'!E11</f>
        <v>0</v>
      </c>
      <c r="F56" s="691" t="e">
        <f t="shared" si="15"/>
        <v>#DIV/0!</v>
      </c>
      <c r="G56" s="2715" t="s">
        <v>2720</v>
      </c>
      <c r="H56" s="1107">
        <f>项目基本情况!C37</f>
        <v>0</v>
      </c>
      <c r="I56" s="945">
        <f>SUMIF(修正!A45:A56,H56,修正!F45:F56)</f>
        <v>0</v>
      </c>
      <c r="J56" s="946"/>
      <c r="K56" s="1147"/>
      <c r="L56" s="944"/>
      <c r="M56" s="944"/>
      <c r="N56" s="944"/>
      <c r="O56" s="944"/>
    </row>
    <row r="57" spans="1:17" s="692" customFormat="1">
      <c r="A57" s="693" t="s">
        <v>2721</v>
      </c>
      <c r="B57" s="262" t="e">
        <f t="shared" si="17"/>
        <v>#DIV/0!</v>
      </c>
      <c r="C57" s="200">
        <f t="shared" si="16"/>
        <v>0</v>
      </c>
      <c r="D57" s="1167">
        <v>0.25</v>
      </c>
      <c r="E57" s="261">
        <f>'数据-汇总表'!E12</f>
        <v>0</v>
      </c>
      <c r="F57" s="691" t="e">
        <f t="shared" si="15"/>
        <v>#DIV/0!</v>
      </c>
      <c r="G57" s="1112" t="s">
        <v>2722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2723</v>
      </c>
      <c r="B58" s="262" t="e">
        <f t="shared" si="17"/>
        <v>#DIV/0!</v>
      </c>
      <c r="C58" s="200">
        <f t="shared" si="16"/>
        <v>0</v>
      </c>
      <c r="D58" s="1167">
        <v>0.25</v>
      </c>
      <c r="E58" s="261">
        <f>'数据-汇总表'!E13</f>
        <v>0</v>
      </c>
      <c r="F58" s="691" t="e">
        <f t="shared" si="15"/>
        <v>#DIV/0!</v>
      </c>
      <c r="G58" s="1112" t="s">
        <v>2724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2725</v>
      </c>
      <c r="B59" s="262" t="e">
        <f t="shared" si="17"/>
        <v>#DIV/0!</v>
      </c>
      <c r="C59" s="200">
        <f t="shared" si="16"/>
        <v>0</v>
      </c>
      <c r="D59" s="1167">
        <v>0.25</v>
      </c>
      <c r="E59" s="261">
        <f>'数据-汇总表'!E14</f>
        <v>0</v>
      </c>
      <c r="F59" s="691" t="e">
        <f t="shared" si="15"/>
        <v>#DIV/0!</v>
      </c>
      <c r="G59" s="2715" t="s">
        <v>2715</v>
      </c>
      <c r="H59" s="1107">
        <f>项目基本情况!B37</f>
        <v>0</v>
      </c>
      <c r="I59" s="945">
        <f>SUMIF(修正!A45:A56,H59,修正!H45:H56)</f>
        <v>0</v>
      </c>
      <c r="J59" s="946"/>
      <c r="K59" s="1148"/>
      <c r="L59" s="944"/>
      <c r="M59" s="944"/>
      <c r="N59" s="944"/>
      <c r="O59" s="944"/>
    </row>
    <row r="60" spans="1:17" s="692" customFormat="1" ht="15" thickBot="1">
      <c r="A60" s="693" t="s">
        <v>2726</v>
      </c>
      <c r="B60" s="262" t="e">
        <f t="shared" si="17"/>
        <v>#DIV/0!</v>
      </c>
      <c r="C60" s="200">
        <f t="shared" si="16"/>
        <v>0</v>
      </c>
      <c r="D60" s="1167">
        <v>0.25</v>
      </c>
      <c r="E60" s="261">
        <f>'数据-汇总表'!E15</f>
        <v>0</v>
      </c>
      <c r="F60" s="691" t="e">
        <f t="shared" si="15"/>
        <v>#DIV/0!</v>
      </c>
      <c r="G60" s="2716" t="s">
        <v>2720</v>
      </c>
      <c r="H60" s="1117">
        <f>项目基本情况!C37</f>
        <v>0</v>
      </c>
      <c r="I60" s="945">
        <f>SUMIF(修正!A45:A56,H60,修正!H45:H56)</f>
        <v>0</v>
      </c>
      <c r="J60" s="946"/>
      <c r="K60" s="1147"/>
      <c r="L60" s="944"/>
      <c r="M60" s="944"/>
      <c r="N60" s="944"/>
      <c r="O60" s="944"/>
    </row>
    <row r="61" spans="1:17" s="692" customFormat="1" ht="15" thickBot="1">
      <c r="A61" s="695" t="s">
        <v>2727</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2620</v>
      </c>
      <c r="B64" s="759"/>
      <c r="C64" s="764"/>
      <c r="D64" s="764"/>
      <c r="E64" s="764"/>
      <c r="F64" s="765"/>
      <c r="G64" s="765"/>
      <c r="H64" s="764"/>
      <c r="I64" s="764"/>
      <c r="J64" s="764"/>
      <c r="K64" s="766"/>
      <c r="L64" s="767"/>
      <c r="M64" s="764"/>
      <c r="N64" s="764"/>
      <c r="O64" s="1162"/>
      <c r="P64" s="503"/>
      <c r="Q64" s="504"/>
    </row>
    <row r="65" spans="1:17" s="508" customFormat="1" ht="15">
      <c r="A65" s="2717" t="s">
        <v>2728</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2748</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2534</v>
      </c>
      <c r="B70" s="528" t="s">
        <v>2501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2506</v>
      </c>
      <c r="B83" s="528" t="s">
        <v>2651</v>
      </c>
      <c r="C83" s="573" t="s">
        <v>2543</v>
      </c>
      <c r="D83" s="573" t="s">
        <v>2544</v>
      </c>
      <c r="E83" s="573" t="s">
        <v>2545</v>
      </c>
      <c r="F83" s="573" t="s">
        <v>2546</v>
      </c>
      <c r="G83" s="573" t="s">
        <v>2547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2731</v>
      </c>
      <c r="C87" s="573" t="s">
        <v>2543</v>
      </c>
      <c r="D87" s="573" t="s">
        <v>2544</v>
      </c>
      <c r="E87" s="573" t="s">
        <v>2545</v>
      </c>
      <c r="F87" s="573" t="s">
        <v>2546</v>
      </c>
      <c r="G87" s="573" t="s">
        <v>2547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2732</v>
      </c>
      <c r="C89" s="573" t="s">
        <v>2543</v>
      </c>
      <c r="D89" s="573" t="s">
        <v>2544</v>
      </c>
      <c r="E89" s="573" t="s">
        <v>2545</v>
      </c>
      <c r="F89" s="573" t="s">
        <v>2546</v>
      </c>
      <c r="G89" s="573" t="s">
        <v>2547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2749</v>
      </c>
      <c r="C93" s="660" t="s">
        <v>2621</v>
      </c>
      <c r="D93" s="660" t="s">
        <v>2622</v>
      </c>
      <c r="E93" s="660" t="s">
        <v>2623</v>
      </c>
      <c r="F93" s="660" t="s">
        <v>2624</v>
      </c>
      <c r="G93" s="660" t="s">
        <v>2625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2637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2510</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2750</v>
      </c>
      <c r="B1" s="241"/>
      <c r="C1" s="245" t="s">
        <v>2751</v>
      </c>
      <c r="D1" s="388">
        <f>SUM(D29:D30,D33:D39)</f>
        <v>0</v>
      </c>
      <c r="E1" s="2723"/>
      <c r="F1" s="2723"/>
      <c r="G1" s="2723"/>
      <c r="H1" s="2723"/>
      <c r="I1" s="2723"/>
      <c r="J1" s="2723"/>
      <c r="K1" s="1373"/>
      <c r="L1" s="2724" t="s">
        <v>2752</v>
      </c>
      <c r="M1" s="1083">
        <f>SUMPRODUCT((区片价!B5:B9=I2)*(区片价!C3:F3=E2)*(区片价!C5:F9))</f>
        <v>0</v>
      </c>
      <c r="N1" s="1086">
        <f>SUMPRODUCT((因素修正幅度!B5:B9=I2)*(因素修正幅度!C3:F3=E2)*(因素修正幅度!C5:F9))</f>
        <v>0</v>
      </c>
      <c r="O1" s="2725"/>
      <c r="P1" s="2725"/>
      <c r="Q1" s="1373"/>
      <c r="R1" s="1605" t="s">
        <v>2753</v>
      </c>
      <c r="S1" s="1605" t="s">
        <v>2754</v>
      </c>
      <c r="T1" s="1605" t="s">
        <v>2755</v>
      </c>
      <c r="U1" s="1605" t="s">
        <v>2756</v>
      </c>
      <c r="V1" s="1605" t="s">
        <v>2757</v>
      </c>
      <c r="W1" s="1609"/>
      <c r="X1" s="1609"/>
      <c r="Y1" s="1609"/>
      <c r="Z1" s="1609"/>
      <c r="AA1" s="1609"/>
      <c r="AB1" s="1609"/>
      <c r="AC1" s="1610"/>
      <c r="AD1" s="1611"/>
      <c r="AE1" s="1611"/>
      <c r="AF1" s="1611"/>
      <c r="AG1" s="1611"/>
      <c r="AH1" s="1611"/>
      <c r="AI1" s="1611"/>
      <c r="AJ1" s="1612"/>
    </row>
    <row r="2" spans="1:36" ht="15.75">
      <c r="A2" s="245" t="s">
        <v>2758</v>
      </c>
      <c r="B2" s="248" t="e">
        <f>C26</f>
        <v>#DIV/0!</v>
      </c>
      <c r="C2" s="2727" t="s">
        <v>2759</v>
      </c>
      <c r="D2" s="2728" t="s">
        <v>2760</v>
      </c>
      <c r="E2" s="2729"/>
      <c r="F2" s="2728" t="s">
        <v>2761</v>
      </c>
      <c r="G2" s="2730">
        <f>IF(E2="商业",项目基本情况!B37,IF(E2="办公",项目基本情况!C37,IF(E2="住宅",项目基本情况!D37,项目基本情况!E37)))</f>
        <v>0</v>
      </c>
      <c r="H2" s="2728" t="s">
        <v>2762</v>
      </c>
      <c r="I2" s="2730">
        <f>IF(E2="商业",项目基本情况!B38,IF(E2="办公",项目基本情况!C38,IF(E2="住宅",项目基本情况!D38,项目基本情况!E38)))</f>
        <v>0</v>
      </c>
      <c r="J2" s="2731"/>
      <c r="K2" s="1373"/>
      <c r="L2" s="2732" t="s">
        <v>2763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2764</v>
      </c>
      <c r="B3" s="248" t="e">
        <f>ROUND(B2*10000/D1,0)</f>
        <v>#DIV/0!</v>
      </c>
      <c r="C3" s="2727" t="s">
        <v>2765</v>
      </c>
      <c r="D3" s="2728" t="s">
        <v>2766</v>
      </c>
      <c r="E3" s="2733"/>
      <c r="F3" s="2734" t="s">
        <v>2767</v>
      </c>
      <c r="G3" s="916">
        <f>IF(F3="宗地容积率",'数据-汇总表'!I4,IF(F3="估价对象容积率",'数据-汇总表'!I6,'数据-汇总表'!I7))</f>
        <v>7.1</v>
      </c>
      <c r="H3" s="198" t="s">
        <v>2768</v>
      </c>
      <c r="I3" s="947"/>
      <c r="J3" s="2731" t="s">
        <v>2769</v>
      </c>
      <c r="K3" s="1373"/>
      <c r="L3" s="2732" t="s">
        <v>2770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3"/>
      <c r="B4" s="3254"/>
      <c r="C4" s="3254"/>
      <c r="D4" s="3255"/>
      <c r="E4" s="3255"/>
      <c r="F4" s="3255"/>
      <c r="G4" s="3255"/>
      <c r="H4" s="3255"/>
      <c r="I4" s="3255"/>
      <c r="J4" s="3256"/>
      <c r="K4" s="1373"/>
      <c r="L4" s="2732" t="s">
        <v>2771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806</v>
      </c>
      <c r="B5" s="2736" t="s">
        <v>2772</v>
      </c>
      <c r="C5" s="917" t="e">
        <f>ROUND(IF(E2="商业",IF(F16="增加",C6*C7+C16,C6*C7-C16),IF(E2="住宅",IF(F16="增加",C6*C12+C16,C6*C12-C16),IF(F16="增加",C6+C16,C6-C16))),0)</f>
        <v>#DIV/0!</v>
      </c>
      <c r="D5" s="1790" t="e">
        <f>ROUND(IF(F16="增加",C6+C16,C6-C16),0)</f>
        <v>#DIV/0!</v>
      </c>
      <c r="E5" s="1790"/>
      <c r="F5" s="2737"/>
      <c r="G5" s="2738"/>
      <c r="H5" s="2738"/>
      <c r="I5" s="2738"/>
      <c r="J5" s="2739"/>
      <c r="K5" s="2740"/>
      <c r="L5" s="2732" t="s">
        <v>2773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2774</v>
      </c>
      <c r="B6" s="2746" t="s">
        <v>2775</v>
      </c>
      <c r="C6" s="918">
        <f>SUMIF(L1:L12,G2,M1:M12)</f>
        <v>0</v>
      </c>
      <c r="D6" s="2747" t="s">
        <v>2776</v>
      </c>
      <c r="E6" s="2748"/>
      <c r="F6" s="2748"/>
      <c r="G6" s="2749"/>
      <c r="H6" s="2749"/>
      <c r="I6" s="2749"/>
      <c r="J6" s="2750"/>
      <c r="K6" s="1845"/>
      <c r="L6" s="2732" t="s">
        <v>2777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57" t="str">
        <f>IF(E2="商业",IF(C8="不临58条商业街","",2),"")</f>
        <v/>
      </c>
      <c r="B7" s="2751" t="s">
        <v>2778</v>
      </c>
      <c r="C7" s="919" t="e">
        <f>IF(C8="不临58条商业街",1,ROUND(1+(1.6*E8+1.2*E9+0.8*E10+0.4*E11)*C9,4))</f>
        <v>#DIV/0!</v>
      </c>
      <c r="D7" s="2752" t="s">
        <v>2779</v>
      </c>
      <c r="E7" s="948"/>
      <c r="F7" s="2753"/>
      <c r="G7" s="2754"/>
      <c r="H7" s="2754"/>
      <c r="I7" s="2754"/>
      <c r="J7" s="2755"/>
      <c r="K7" s="1845"/>
      <c r="L7" s="2732" t="s">
        <v>2780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2781</v>
      </c>
      <c r="X7" s="1607">
        <f>G2</f>
        <v>0</v>
      </c>
      <c r="Y7" s="1607" t="s">
        <v>2782</v>
      </c>
      <c r="Z7" s="1608">
        <f>G3</f>
        <v>7.1</v>
      </c>
      <c r="AA7" s="1609"/>
      <c r="AB7" s="1609"/>
      <c r="AC7" s="1610"/>
      <c r="AD7" s="1611"/>
      <c r="AE7" s="1611"/>
      <c r="AF7" s="1611"/>
      <c r="AG7" s="1611"/>
      <c r="AH7" s="1611"/>
      <c r="AI7" s="1611"/>
      <c r="AJ7" s="1612"/>
    </row>
    <row r="8" spans="1:36" ht="15">
      <c r="A8" s="3258"/>
      <c r="B8" s="198" t="s">
        <v>2783</v>
      </c>
      <c r="C8" s="2756"/>
      <c r="D8" s="920" t="s">
        <v>139</v>
      </c>
      <c r="E8" s="921" t="e">
        <f>ROUND(C11/E7,4)</f>
        <v>#DIV/0!</v>
      </c>
      <c r="F8" s="2757" t="s">
        <v>2784</v>
      </c>
      <c r="G8" s="2758"/>
      <c r="H8" s="2758"/>
      <c r="I8" s="2758"/>
      <c r="J8" s="2759"/>
      <c r="K8" s="1373"/>
      <c r="L8" s="2732" t="s">
        <v>2785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0" t="s">
        <v>2786</v>
      </c>
      <c r="X8" s="3251"/>
      <c r="Y8" s="1613" t="s">
        <v>2787</v>
      </c>
      <c r="Z8" s="1613" t="s">
        <v>2788</v>
      </c>
      <c r="AA8" s="1613" t="s">
        <v>2789</v>
      </c>
      <c r="AB8" s="1613" t="s">
        <v>2790</v>
      </c>
      <c r="AC8" s="1613" t="s">
        <v>2791</v>
      </c>
      <c r="AD8" s="1613" t="s">
        <v>2792</v>
      </c>
      <c r="AE8" s="1613" t="s">
        <v>2793</v>
      </c>
      <c r="AF8" s="1613" t="s">
        <v>2794</v>
      </c>
      <c r="AG8" s="1613" t="s">
        <v>2795</v>
      </c>
      <c r="AH8" s="1613" t="s">
        <v>2796</v>
      </c>
      <c r="AI8" s="1613" t="s">
        <v>2797</v>
      </c>
      <c r="AJ8" s="1613" t="s">
        <v>2798</v>
      </c>
    </row>
    <row r="9" spans="1:36" ht="15">
      <c r="A9" s="3258"/>
      <c r="B9" s="198" t="s">
        <v>2799</v>
      </c>
      <c r="C9" s="922">
        <f>SUMIF(修正!C59:C119,C8,修正!E59:E119)</f>
        <v>0</v>
      </c>
      <c r="D9" s="200" t="s">
        <v>140</v>
      </c>
      <c r="E9" s="200" t="e">
        <f>ROUND(C11/E7,4)</f>
        <v>#DIV/0!</v>
      </c>
      <c r="F9" s="2757" t="s">
        <v>2800</v>
      </c>
      <c r="G9" s="2758"/>
      <c r="H9" s="2758"/>
      <c r="I9" s="2758"/>
      <c r="J9" s="2759"/>
      <c r="K9" s="1373"/>
      <c r="L9" s="2732" t="s">
        <v>2801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2" t="s">
        <v>2802</v>
      </c>
      <c r="X9" s="1614" t="s">
        <v>2803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8"/>
      <c r="B10" s="198" t="s">
        <v>2804</v>
      </c>
      <c r="C10" s="200">
        <f>SUMIF(修正!C59:C119,C8,修正!F59:F119)</f>
        <v>0</v>
      </c>
      <c r="D10" s="200" t="s">
        <v>141</v>
      </c>
      <c r="E10" s="200" t="e">
        <f>ROUND(C11/E7,4)</f>
        <v>#DIV/0!</v>
      </c>
      <c r="F10" s="2757" t="s">
        <v>2805</v>
      </c>
      <c r="G10" s="2758"/>
      <c r="H10" s="2758"/>
      <c r="I10" s="2758"/>
      <c r="J10" s="2759"/>
      <c r="K10" s="1373"/>
      <c r="L10" s="2732" t="s">
        <v>2806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8"/>
      <c r="B11" s="2760" t="s">
        <v>2807</v>
      </c>
      <c r="C11" s="923">
        <f>C10/4</f>
        <v>0</v>
      </c>
      <c r="D11" s="923" t="s">
        <v>142</v>
      </c>
      <c r="E11" s="923" t="e">
        <f>ROUND(C11/E7,4)</f>
        <v>#DIV/0!</v>
      </c>
      <c r="F11" s="2761" t="s">
        <v>2808</v>
      </c>
      <c r="G11" s="2762"/>
      <c r="H11" s="2762"/>
      <c r="I11" s="2762"/>
      <c r="J11" s="2763"/>
      <c r="K11" s="1373"/>
      <c r="L11" s="2732" t="s">
        <v>2809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2" t="s">
        <v>2810</v>
      </c>
      <c r="X11" s="1617" t="s">
        <v>2811</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5" thickBot="1">
      <c r="A12" s="3257" t="s">
        <v>2812</v>
      </c>
      <c r="B12" s="2764" t="s">
        <v>2813</v>
      </c>
      <c r="C12" s="919">
        <f>ROUND(C15*D15*E15*F15*G15*H15*I15*J15,4)</f>
        <v>1</v>
      </c>
      <c r="D12" s="2765" t="s">
        <v>2814</v>
      </c>
      <c r="E12" s="2766"/>
      <c r="F12" s="2766"/>
      <c r="G12" s="2767"/>
      <c r="H12" s="2767"/>
      <c r="I12" s="2767"/>
      <c r="J12" s="2768"/>
      <c r="K12" s="1373"/>
      <c r="L12" s="2769" t="s">
        <v>2815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2"/>
      <c r="X12" s="1619" t="s">
        <v>2816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9"/>
      <c r="B13" s="2770" t="s">
        <v>2817</v>
      </c>
      <c r="C13" s="2771" t="s">
        <v>2818</v>
      </c>
      <c r="D13" s="1811" t="s">
        <v>2819</v>
      </c>
      <c r="E13" s="1811" t="s">
        <v>2820</v>
      </c>
      <c r="F13" s="30" t="s">
        <v>2821</v>
      </c>
      <c r="G13" s="2772" t="s">
        <v>2822</v>
      </c>
      <c r="H13" s="2772" t="s">
        <v>2822</v>
      </c>
      <c r="I13" s="2772" t="s">
        <v>2822</v>
      </c>
      <c r="J13" s="2773" t="s">
        <v>2822</v>
      </c>
      <c r="K13" s="1373"/>
      <c r="L13" s="1373"/>
      <c r="M13" s="1373"/>
      <c r="N13" s="1373"/>
      <c r="O13" s="1373"/>
      <c r="P13" s="1373"/>
      <c r="Q13" s="1373"/>
      <c r="R13" s="1605">
        <v>12</v>
      </c>
      <c r="S13" s="1606"/>
      <c r="T13" s="1605" t="e">
        <f t="shared" si="0"/>
        <v>#DIV/0!</v>
      </c>
      <c r="U13" s="1606"/>
      <c r="V13" s="1605" t="e">
        <f t="shared" si="1"/>
        <v>#DIV/0!</v>
      </c>
      <c r="W13" s="3252"/>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59"/>
      <c r="B14" s="2774"/>
      <c r="C14" s="2775"/>
      <c r="D14" s="2776"/>
      <c r="E14" s="2776"/>
      <c r="F14" s="2777"/>
      <c r="G14" s="2778" t="s">
        <v>2823</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0"/>
      <c r="B15" s="2782" t="s">
        <v>2824</v>
      </c>
      <c r="C15" s="229">
        <f>IF(C14="有",1.1,1)</f>
        <v>1</v>
      </c>
      <c r="D15" s="229">
        <f>IF(D14="有",1.1,1)</f>
        <v>1</v>
      </c>
      <c r="E15" s="229">
        <f>IF(E14="有",1.1,1)</f>
        <v>1</v>
      </c>
      <c r="F15" s="229">
        <f>IF(F14="500米范围内",1.2,IF(F14="500-1000米",1.1,1))</f>
        <v>1</v>
      </c>
      <c r="G15" s="949">
        <v>1</v>
      </c>
      <c r="H15" s="949">
        <v>1</v>
      </c>
      <c r="I15" s="949">
        <v>1</v>
      </c>
      <c r="J15" s="950">
        <v>1</v>
      </c>
      <c r="K15" s="1373"/>
      <c r="L15" s="2783" t="s">
        <v>2760</v>
      </c>
      <c r="M15" s="920" t="s">
        <v>2825</v>
      </c>
      <c r="N15" s="920" t="s">
        <v>2826</v>
      </c>
      <c r="O15" s="920" t="s">
        <v>2827</v>
      </c>
      <c r="P15" s="2784" t="s">
        <v>2828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7" t="s">
        <v>2829</v>
      </c>
      <c r="B16" s="2751" t="s">
        <v>2830</v>
      </c>
      <c r="C16" s="1804" t="e">
        <f>ROUND(SUM(G17:J17)/C17,0)</f>
        <v>#DIV/0!</v>
      </c>
      <c r="D16" s="2785" t="s">
        <v>2831</v>
      </c>
      <c r="E16" s="2786"/>
      <c r="F16" s="2787"/>
      <c r="G16" s="2788"/>
      <c r="H16" s="2788"/>
      <c r="I16" s="2788"/>
      <c r="J16" s="2789"/>
      <c r="K16" s="1373"/>
      <c r="L16" s="2790" t="s">
        <v>2832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8"/>
      <c r="B17" s="2791" t="s">
        <v>2833</v>
      </c>
      <c r="C17" s="924">
        <f>SUMPRODUCT((修正!A2:A5=E2)*(修正!B1:M1=G2)*(修正!B2:M5))</f>
        <v>0</v>
      </c>
      <c r="D17" s="2792" t="s">
        <v>2834</v>
      </c>
      <c r="E17" s="923" t="str">
        <f>IF(OR(G2="八级",G2="九级",G2="十级",G2="十一级",G2="十二级"),"五通一平","七通一平")</f>
        <v>七通一平</v>
      </c>
      <c r="F17" s="924" t="s">
        <v>2835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2836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2837</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2838</v>
      </c>
      <c r="C19" s="927" t="e">
        <f>ROUND(IF(H19="按公示增长率计算",SUMPRODUCT((地价!A3:A25=YEAR(G19)&amp;"-"&amp;ROUNDUP(MONTH(G19)/3,0))*(地价!X2:AB2=E2)*(地价!X3:AB25)),IF(H19="地价指数",M20/M19,(1+I19)^O19)),4)</f>
        <v>#DIV/0!</v>
      </c>
      <c r="D19" s="2803" t="s">
        <v>2839</v>
      </c>
      <c r="E19" s="928">
        <v>41640</v>
      </c>
      <c r="F19" s="2803" t="s">
        <v>2840</v>
      </c>
      <c r="G19" s="929">
        <f>'数据-取费表'!B2</f>
        <v>43493</v>
      </c>
      <c r="H19" s="2804" t="s">
        <v>2841</v>
      </c>
      <c r="I19" s="930" t="str">
        <f>IF(H19="季度增幅（自定义）",SUMIF(N21:N24,E2,O21:O24),"")</f>
        <v/>
      </c>
      <c r="J19" s="2801"/>
      <c r="K19" s="1380"/>
      <c r="L19" s="2805" t="s">
        <v>2842</v>
      </c>
      <c r="M19" s="1737">
        <f>ROUND(SUMIF(地价!B2:F2,E2,地价!B25:F25),0)</f>
        <v>0</v>
      </c>
      <c r="N19" s="2806" t="s">
        <v>2843</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2844</v>
      </c>
      <c r="C20" s="932" t="e">
        <f>ROUND(POWER(1+G20,J20-I20)*(POWER(1+G20,I20)-1)/(POWER(1+G20,J20)-1),4)</f>
        <v>#DIV/0!</v>
      </c>
      <c r="D20" s="2812" t="s">
        <v>2845</v>
      </c>
      <c r="E20" s="1771">
        <f ca="1">存贷款利率!D4/100</f>
        <v>4.3499999999999997E-2</v>
      </c>
      <c r="F20" s="2812" t="s">
        <v>2836</v>
      </c>
      <c r="G20" s="937">
        <f>SUMIF(M15:P15,E2,M17:P17)</f>
        <v>0</v>
      </c>
      <c r="H20" s="2812" t="s">
        <v>2846</v>
      </c>
      <c r="I20" s="938" t="e">
        <f>SUMIF('数据-取费表'!C6:C15,E2,'数据-取费表'!F6:F15)/COUNTIF('数据-取费表'!C6:C15,E2)</f>
        <v>#DIV/0!</v>
      </c>
      <c r="J20" s="939">
        <f>IF(E2="住宅",70,IF(E2="商业",40,50))</f>
        <v>50</v>
      </c>
      <c r="K20" s="1380"/>
      <c r="L20" s="2813" t="s">
        <v>2847</v>
      </c>
      <c r="M20" s="1738">
        <f>ROUND(SUMPRODUCT((地价!A4:A25=YEAR(G19)&amp;"-"&amp;ROUNDUP(MONTH(G19)/3,0))*(地价!B2:F2=E2)*(地价!B4:F25)),0)</f>
        <v>0</v>
      </c>
      <c r="N20" s="2814" t="s">
        <v>2848</v>
      </c>
      <c r="O20" s="2815" t="s">
        <v>2849</v>
      </c>
      <c r="P20" s="2816" t="s">
        <v>2850</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2851</v>
      </c>
      <c r="C21" s="940">
        <f>IF(B21="容积率修正",IF(G3&lt;=10,D22,J22),C23)</f>
        <v>0</v>
      </c>
      <c r="D21" s="2819"/>
      <c r="E21" s="2819"/>
      <c r="F21" s="2819"/>
      <c r="G21" s="2819"/>
      <c r="H21" s="2819"/>
      <c r="I21" s="2819"/>
      <c r="J21" s="2820"/>
      <c r="K21" s="1380"/>
      <c r="N21" s="2821" t="s">
        <v>2852</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2853</v>
      </c>
      <c r="B22" s="2822" t="s">
        <v>2854</v>
      </c>
      <c r="C22" s="1813" t="s">
        <v>2855</v>
      </c>
      <c r="D22" s="1813" t="b">
        <f>IF(E22=G22,F22,IF(G3&lt;=10,ROUND(F22+(H22-F22)*(G3-E22)/(G22-E22),4),"——"))</f>
        <v>0</v>
      </c>
      <c r="E22" s="916">
        <f>ROUNDDOWN(G3,1)</f>
        <v>7.1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2856</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2857</v>
      </c>
      <c r="B23" s="2823" t="s">
        <v>2858</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2859</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2860</v>
      </c>
      <c r="C24" s="927">
        <f>SUMIF(A45:A88,E2,B45:B88)</f>
        <v>0</v>
      </c>
      <c r="D24" s="2799"/>
      <c r="E24" s="2829"/>
      <c r="F24" s="2829"/>
      <c r="G24" s="2829"/>
      <c r="H24" s="2829"/>
      <c r="I24" s="2829"/>
      <c r="J24" s="2830"/>
      <c r="K24" s="1380"/>
      <c r="N24" s="2831" t="s">
        <v>2861</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2862</v>
      </c>
      <c r="C25" s="933"/>
      <c r="D25" s="2754"/>
      <c r="E25" s="2754"/>
      <c r="F25" s="2833"/>
      <c r="G25" s="2754"/>
      <c r="H25" s="2754"/>
      <c r="I25" s="2754"/>
      <c r="J25" s="2755"/>
      <c r="K25" s="1373"/>
      <c r="N25" s="2834" t="s">
        <v>2863</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2864</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2865</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2866</v>
      </c>
      <c r="C28" s="2846" t="s">
        <v>2867</v>
      </c>
      <c r="D28" s="2846" t="s">
        <v>2868</v>
      </c>
      <c r="E28" s="2847" t="s">
        <v>2869</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2870</v>
      </c>
      <c r="C29" s="206" t="e">
        <f>ROUND(C5*C18*C19*C20*C21*C24,0)</f>
        <v>#DIV/0!</v>
      </c>
      <c r="D29" s="2851"/>
      <c r="E29" s="945" t="e">
        <f>ROUND(C29*D29/10000,0)</f>
        <v>#DIV/0!</v>
      </c>
      <c r="F29" s="2852" t="s">
        <v>2871</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2872</v>
      </c>
      <c r="C30" s="229" t="e">
        <f>ROUND(IF(E2="工业",C29*M39,C29*M38),0)</f>
        <v>#DIV/0!</v>
      </c>
      <c r="D30" s="2857"/>
      <c r="E30" s="945" t="e">
        <f>ROUND(C30*D30/10000,0)</f>
        <v>#DIV/0!</v>
      </c>
      <c r="F30" s="2858" t="s">
        <v>2873</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2874</v>
      </c>
      <c r="C31" s="2863" t="s">
        <v>2875</v>
      </c>
      <c r="D31" s="2767"/>
      <c r="E31" s="2863"/>
      <c r="F31" s="2863"/>
      <c r="G31" s="2765" t="s">
        <v>2876</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2867</v>
      </c>
      <c r="D32" s="498" t="s">
        <v>2868</v>
      </c>
      <c r="E32" s="498" t="s">
        <v>2869</v>
      </c>
      <c r="F32" s="388" t="s">
        <v>2877</v>
      </c>
      <c r="G32" s="2866" t="s">
        <v>2867</v>
      </c>
      <c r="H32" s="2866" t="s">
        <v>2868</v>
      </c>
      <c r="I32" s="2866" t="s">
        <v>2869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7" t="s">
        <v>2878</v>
      </c>
      <c r="B33" s="2867" t="s">
        <v>2879</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8"/>
      <c r="B34" s="2771" t="s">
        <v>2880</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8"/>
      <c r="B35" s="2771" t="s">
        <v>2881</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9"/>
      <c r="B36" s="2771" t="s">
        <v>2882</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2883</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2884</v>
      </c>
      <c r="M37" s="2871"/>
      <c r="N37" s="1373"/>
      <c r="O37" s="1373"/>
      <c r="P37" s="1373"/>
      <c r="Q37" s="1373"/>
      <c r="R37" s="1373"/>
      <c r="S37" s="1373"/>
      <c r="T37" s="1373"/>
      <c r="U37" s="1373"/>
      <c r="V37" s="1373"/>
      <c r="W37" s="1373"/>
      <c r="X37" s="1373"/>
      <c r="Y37" s="1373"/>
      <c r="Z37" s="1374"/>
    </row>
    <row r="38" spans="1:37">
      <c r="A38" s="2869"/>
      <c r="B38" s="2771" t="s">
        <v>2885</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2886</v>
      </c>
      <c r="M38" s="2872">
        <v>0.25</v>
      </c>
      <c r="N38" s="1373"/>
      <c r="O38" s="1373"/>
      <c r="P38" s="1373"/>
      <c r="Q38" s="1373"/>
      <c r="R38" s="1373"/>
      <c r="S38" s="1373"/>
      <c r="T38" s="1373"/>
      <c r="U38" s="1373"/>
      <c r="V38" s="1373"/>
      <c r="W38" s="1373"/>
      <c r="X38" s="1373"/>
      <c r="Y38" s="1373"/>
      <c r="Z38" s="1374"/>
    </row>
    <row r="39" spans="1:37" ht="13.5" thickBot="1">
      <c r="A39" s="2855"/>
      <c r="B39" s="2873" t="s">
        <v>2887</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2828</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2998</v>
      </c>
      <c r="C41" s="388" t="e">
        <f>ROUND(POWER(1+E41,H41-G41)*(POWER(1+E41,G41)-1)/(POWER(1+E41,H41)-1),4)</f>
        <v>#DIV/0!</v>
      </c>
      <c r="D41" s="200" t="s">
        <v>2836</v>
      </c>
      <c r="E41" s="2943">
        <f>G20</f>
        <v>0</v>
      </c>
      <c r="F41" s="200" t="s">
        <v>2846</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2888</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2889</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2890</v>
      </c>
      <c r="B47" s="1812" t="s">
        <v>2891</v>
      </c>
      <c r="C47" s="1812" t="s">
        <v>2892</v>
      </c>
      <c r="D47" s="1812" t="s">
        <v>2893</v>
      </c>
      <c r="E47" s="819" t="s">
        <v>2894</v>
      </c>
      <c r="F47" s="2885" t="s">
        <v>2895</v>
      </c>
      <c r="G47" s="1812" t="s">
        <v>754</v>
      </c>
      <c r="H47" s="2886" t="s">
        <v>2896</v>
      </c>
      <c r="I47" s="1812" t="s">
        <v>2897</v>
      </c>
      <c r="J47" s="603" t="s">
        <v>2543</v>
      </c>
      <c r="K47" s="603" t="s">
        <v>2544</v>
      </c>
      <c r="L47" s="603" t="s">
        <v>2545</v>
      </c>
      <c r="M47" s="603" t="s">
        <v>2546</v>
      </c>
      <c r="N47" s="603" t="s">
        <v>2547</v>
      </c>
      <c r="AA47" s="1374"/>
      <c r="AB47" s="1374"/>
      <c r="AC47" s="1374"/>
      <c r="AD47" s="1374"/>
      <c r="AE47" s="1374"/>
      <c r="AF47" s="1374"/>
      <c r="AG47" s="1374"/>
      <c r="AH47" s="1374"/>
      <c r="AI47" s="1374"/>
      <c r="AJ47" s="1374"/>
      <c r="AK47" s="1374"/>
    </row>
    <row r="48" spans="1:37" s="1373" customFormat="1" ht="24.75">
      <c r="A48" s="2884" t="s">
        <v>2898</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2899</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2900</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2901</v>
      </c>
      <c r="B51" s="2889" t="s">
        <v>2902</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4" t="s">
        <v>2903</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2904</v>
      </c>
      <c r="B53" s="2890" t="s">
        <v>2905</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2906</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2907</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2908</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2909</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2890</v>
      </c>
      <c r="B58" s="1812"/>
      <c r="C58" s="1812" t="s">
        <v>2892</v>
      </c>
      <c r="D58" s="1812" t="s">
        <v>2893</v>
      </c>
      <c r="E58" s="819" t="s">
        <v>2894</v>
      </c>
      <c r="F58" s="2885" t="s">
        <v>2910</v>
      </c>
      <c r="G58" s="1812" t="s">
        <v>754</v>
      </c>
      <c r="H58" s="2886" t="s">
        <v>2896</v>
      </c>
      <c r="I58" s="1812" t="s">
        <v>2897</v>
      </c>
      <c r="J58" s="603" t="s">
        <v>2543</v>
      </c>
      <c r="K58" s="603" t="s">
        <v>2544</v>
      </c>
      <c r="L58" s="603" t="s">
        <v>2545</v>
      </c>
      <c r="M58" s="603" t="s">
        <v>2546</v>
      </c>
      <c r="N58" s="603" t="s">
        <v>2547</v>
      </c>
      <c r="AA58" s="1374"/>
      <c r="AB58" s="1374"/>
      <c r="AC58" s="1374"/>
      <c r="AD58" s="1374"/>
      <c r="AE58" s="1374"/>
      <c r="AF58" s="1374"/>
      <c r="AG58" s="1374"/>
      <c r="AH58" s="1374"/>
      <c r="AI58" s="1374"/>
      <c r="AJ58" s="1374"/>
      <c r="AK58" s="1374"/>
    </row>
    <row r="59" spans="1:37" s="1373" customFormat="1" ht="24">
      <c r="A59" s="2884" t="s">
        <v>2911</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2899</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2900</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2901</v>
      </c>
      <c r="B62" s="2889" t="s">
        <v>2902</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4" t="s">
        <v>2903</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2904</v>
      </c>
      <c r="B64" s="2890" t="s">
        <v>2905</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2906</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2907</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2908</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2912</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2890</v>
      </c>
      <c r="B69" s="1812"/>
      <c r="C69" s="1812" t="s">
        <v>2892</v>
      </c>
      <c r="D69" s="1812" t="s">
        <v>2893</v>
      </c>
      <c r="E69" s="819" t="s">
        <v>2894</v>
      </c>
      <c r="F69" s="2885" t="s">
        <v>2910</v>
      </c>
      <c r="G69" s="1812" t="s">
        <v>754</v>
      </c>
      <c r="H69" s="2886" t="s">
        <v>2896</v>
      </c>
      <c r="I69" s="1812" t="s">
        <v>2897</v>
      </c>
      <c r="J69" s="603" t="s">
        <v>2543</v>
      </c>
      <c r="K69" s="603" t="s">
        <v>2544</v>
      </c>
      <c r="L69" s="603" t="s">
        <v>2545</v>
      </c>
      <c r="M69" s="603" t="s">
        <v>2546</v>
      </c>
      <c r="N69" s="603" t="s">
        <v>2547</v>
      </c>
      <c r="AA69" s="1374"/>
      <c r="AB69" s="1374"/>
      <c r="AC69" s="1374"/>
      <c r="AD69" s="1374"/>
      <c r="AE69" s="1374"/>
      <c r="AF69" s="1374"/>
      <c r="AG69" s="1374"/>
      <c r="AH69" s="1374"/>
      <c r="AI69" s="1374"/>
      <c r="AJ69" s="1374"/>
      <c r="AK69" s="1374"/>
    </row>
    <row r="70" spans="1:37" s="1373" customFormat="1" ht="89.25">
      <c r="A70" s="2884" t="s">
        <v>2913</v>
      </c>
      <c r="B70" s="2887" t="str">
        <f>估价对象房地状况!C15</f>
        <v>估价对象周边居住用地比例较高、居住小区规模和社区发展完善程度较好，估价对象位于三里屯地区，周边有东三里屯社区等项目，综合评价居住社区成熟度较好</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2899</v>
      </c>
      <c r="B71" s="2888" t="str">
        <f>估价对象房地状况!C18</f>
        <v>估价对象周边道路状况好、公共交通通达情况好、停车便捷程度好、周边有113/115等公交线路及地铁10号线团结湖站，综合评价交通便捷度较好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2900</v>
      </c>
      <c r="B72" s="2888" t="str">
        <f>估价对象房地状况!C19</f>
        <v>较一致</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25.5">
      <c r="A73" s="2884" t="s">
        <v>2914</v>
      </c>
      <c r="B73" s="2888" t="str">
        <f>估价对象房地状况!C24</f>
        <v>城市次干道-工人体育场北路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2906</v>
      </c>
      <c r="B74" s="1728" t="str">
        <f>估价对象房地状况!C21</f>
        <v>估价对象所在区域公共配套设施齐备情况好</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2907</v>
      </c>
      <c r="B75" s="1728" t="str">
        <f>估价对象房地状况!C22</f>
        <v>估价对象所在区域基础设施水平好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2904</v>
      </c>
      <c r="B76" s="2890" t="s">
        <v>2905</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2908</v>
      </c>
      <c r="B77" s="2887" t="str">
        <f>估价对象房地状况!C20</f>
        <v>区域自然环境：团结湖公园；人文环境：农业展览馆；综合评价环境状况好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2915</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2916</v>
      </c>
      <c r="B79" s="2881">
        <f>1+E81</f>
        <v>1</v>
      </c>
      <c r="C79" s="814"/>
      <c r="D79" s="814"/>
      <c r="E79" s="815"/>
      <c r="F79" s="2883"/>
      <c r="G79" s="6"/>
      <c r="H79" s="6"/>
      <c r="I79" s="6"/>
      <c r="J79" s="7"/>
      <c r="K79" s="7"/>
      <c r="L79" s="7"/>
      <c r="M79" s="7"/>
      <c r="N79" s="7"/>
      <c r="Z79" s="2726"/>
      <c r="AA79" s="2802"/>
      <c r="AG79" s="1375"/>
      <c r="AK79" s="2802"/>
    </row>
    <row r="80" spans="1:37" ht="24.75">
      <c r="A80" s="2884" t="s">
        <v>2890</v>
      </c>
      <c r="B80" s="1812"/>
      <c r="C80" s="1812" t="s">
        <v>2892</v>
      </c>
      <c r="D80" s="1812" t="s">
        <v>2893</v>
      </c>
      <c r="E80" s="819" t="s">
        <v>2894</v>
      </c>
      <c r="F80" s="2885" t="s">
        <v>2910</v>
      </c>
      <c r="G80" s="1812" t="s">
        <v>754</v>
      </c>
      <c r="H80" s="2886" t="s">
        <v>2896</v>
      </c>
      <c r="I80" s="1812" t="s">
        <v>2897</v>
      </c>
      <c r="J80" s="603" t="s">
        <v>2543</v>
      </c>
      <c r="K80" s="603" t="s">
        <v>2544</v>
      </c>
      <c r="L80" s="603" t="s">
        <v>2545</v>
      </c>
      <c r="M80" s="603" t="s">
        <v>2546</v>
      </c>
      <c r="N80" s="603" t="s">
        <v>2547</v>
      </c>
      <c r="Z80" s="2726"/>
      <c r="AA80" s="2802"/>
      <c r="AG80" s="1375"/>
      <c r="AK80" s="2802"/>
    </row>
    <row r="81" spans="1:37" ht="24">
      <c r="A81" s="2884" t="s">
        <v>2917</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2899</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2900</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2914</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2906</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2907</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2904</v>
      </c>
      <c r="B87" s="2890" t="s">
        <v>2918</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2919</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1" t="s">
        <v>2920</v>
      </c>
      <c r="B90" s="3261"/>
      <c r="C90" s="3261"/>
      <c r="D90" s="3261"/>
      <c r="E90" s="3261"/>
      <c r="F90" s="3261"/>
      <c r="G90" s="3261"/>
      <c r="H90" s="3261"/>
      <c r="I90" s="3261"/>
      <c r="J90" s="3261"/>
      <c r="K90" s="2898"/>
      <c r="L90" s="2898"/>
      <c r="M90" s="2898"/>
      <c r="N90" s="2898"/>
    </row>
    <row r="91" spans="1:37">
      <c r="A91" s="3263" t="s">
        <v>2921</v>
      </c>
      <c r="B91" s="3263" t="s">
        <v>2922</v>
      </c>
      <c r="C91" s="2852" t="s">
        <v>2923</v>
      </c>
      <c r="D91" s="2853"/>
      <c r="E91" s="2853"/>
      <c r="F91" s="2853"/>
      <c r="G91" s="2853"/>
      <c r="H91" s="2853"/>
      <c r="I91" s="2853"/>
      <c r="J91" s="2899"/>
      <c r="K91" s="2900"/>
      <c r="L91" s="2900"/>
      <c r="M91" s="2900"/>
      <c r="N91" s="2900"/>
    </row>
    <row r="92" spans="1:37">
      <c r="A92" s="3263"/>
      <c r="B92" s="3263"/>
      <c r="C92" s="945" t="s">
        <v>2787</v>
      </c>
      <c r="D92" s="945" t="s">
        <v>2788</v>
      </c>
      <c r="E92" s="945" t="s">
        <v>2789</v>
      </c>
      <c r="F92" s="945" t="s">
        <v>2790</v>
      </c>
      <c r="G92" s="945" t="s">
        <v>2791</v>
      </c>
      <c r="H92" s="945" t="s">
        <v>2792</v>
      </c>
      <c r="I92" s="945" t="s">
        <v>2793</v>
      </c>
      <c r="J92" s="945" t="s">
        <v>2794</v>
      </c>
      <c r="K92" s="945" t="s">
        <v>2795</v>
      </c>
      <c r="L92" s="945" t="s">
        <v>2796</v>
      </c>
      <c r="M92" s="945" t="s">
        <v>2797</v>
      </c>
      <c r="N92" s="945" t="s">
        <v>2798</v>
      </c>
    </row>
    <row r="93" spans="1:37">
      <c r="A93" s="3264" t="s">
        <v>2924</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5"/>
      <c r="B99" s="2901" t="s">
        <v>2803</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6"/>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4" t="s">
        <v>2925</v>
      </c>
      <c r="B101" s="2905" t="s">
        <v>2926</v>
      </c>
      <c r="C101" s="2906">
        <f>$G$3</f>
        <v>7.1</v>
      </c>
      <c r="D101" s="2906">
        <f t="shared" ref="D101:N101" si="31">$G$3</f>
        <v>7.1</v>
      </c>
      <c r="E101" s="2906">
        <f t="shared" si="31"/>
        <v>7.1</v>
      </c>
      <c r="F101" s="2906">
        <f t="shared" si="31"/>
        <v>7.1</v>
      </c>
      <c r="G101" s="2906">
        <f t="shared" si="31"/>
        <v>7.1</v>
      </c>
      <c r="H101" s="2906">
        <f t="shared" si="31"/>
        <v>7.1</v>
      </c>
      <c r="I101" s="2906">
        <f t="shared" si="31"/>
        <v>7.1</v>
      </c>
      <c r="J101" s="2906">
        <f t="shared" si="31"/>
        <v>7.1</v>
      </c>
      <c r="K101" s="2906">
        <f t="shared" si="31"/>
        <v>7.1</v>
      </c>
      <c r="L101" s="2906">
        <f t="shared" si="31"/>
        <v>7.1</v>
      </c>
      <c r="M101" s="2906">
        <f t="shared" si="31"/>
        <v>7.1</v>
      </c>
      <c r="N101" s="2906">
        <f t="shared" si="31"/>
        <v>7.1</v>
      </c>
    </row>
    <row r="102" spans="1:14">
      <c r="A102" s="3265"/>
      <c r="B102" s="2901">
        <v>1</v>
      </c>
      <c r="C102" s="2902">
        <f>1.9362/C101</f>
        <v>0.27270422535211269</v>
      </c>
      <c r="D102" s="2902">
        <f>1.9362/D101</f>
        <v>0.27270422535211269</v>
      </c>
      <c r="E102" s="2902">
        <f>1.8629/E101</f>
        <v>0.26238028169014088</v>
      </c>
      <c r="F102" s="2902">
        <f>1.8629/F101</f>
        <v>0.26238028169014088</v>
      </c>
      <c r="G102" s="2902">
        <f>1.8629/G101</f>
        <v>0.26238028169014088</v>
      </c>
      <c r="H102" s="2902">
        <f>1.8629/H101</f>
        <v>0.26238028169014088</v>
      </c>
      <c r="I102" s="2902">
        <f>1.8629/I101</f>
        <v>0.26238028169014088</v>
      </c>
      <c r="J102" s="2902">
        <f>1.942/J101</f>
        <v>0.27352112676056339</v>
      </c>
      <c r="K102" s="2902">
        <f>1.942/K101</f>
        <v>0.27352112676056339</v>
      </c>
      <c r="L102" s="2902">
        <f>1.942/L101</f>
        <v>0.27352112676056339</v>
      </c>
      <c r="M102" s="2902">
        <f>1.942/M101</f>
        <v>0.27352112676056339</v>
      </c>
      <c r="N102" s="2902">
        <f>1.942/N101</f>
        <v>0.27352112676056339</v>
      </c>
    </row>
    <row r="103" spans="1:14">
      <c r="A103" s="3265"/>
      <c r="B103" s="2901">
        <v>2</v>
      </c>
      <c r="C103" s="2902">
        <f>1.4198/C101</f>
        <v>0.19997183098591551</v>
      </c>
      <c r="D103" s="2902">
        <f>1.4198/D101</f>
        <v>0.19997183098591551</v>
      </c>
      <c r="E103" s="2902">
        <f>1.3372/E101</f>
        <v>0.1883380281690141</v>
      </c>
      <c r="F103" s="2902">
        <f>1.3372/F101</f>
        <v>0.1883380281690141</v>
      </c>
      <c r="G103" s="2902">
        <f>1.3372/G101</f>
        <v>0.1883380281690141</v>
      </c>
      <c r="H103" s="2902">
        <f>1.3372/H101</f>
        <v>0.1883380281690141</v>
      </c>
      <c r="I103" s="2902">
        <f>1.3372/I101</f>
        <v>0.1883380281690141</v>
      </c>
      <c r="J103" s="2902">
        <f>1.2799/J101</f>
        <v>0.18026760563380284</v>
      </c>
      <c r="K103" s="2902">
        <f>1.2799/K101</f>
        <v>0.18026760563380284</v>
      </c>
      <c r="L103" s="2902">
        <f>1.2799/L101</f>
        <v>0.18026760563380284</v>
      </c>
      <c r="M103" s="2902">
        <f>1.2799/M101</f>
        <v>0.18026760563380284</v>
      </c>
      <c r="N103" s="2902">
        <f>1.2799/N101</f>
        <v>0.18026760563380284</v>
      </c>
    </row>
    <row r="104" spans="1:14">
      <c r="A104" s="3265"/>
      <c r="B104" s="2901">
        <v>3</v>
      </c>
      <c r="C104" s="2902">
        <f>1.1594/C101</f>
        <v>0.16329577464788733</v>
      </c>
      <c r="D104" s="2902">
        <f>1.1594/D101</f>
        <v>0.16329577464788733</v>
      </c>
      <c r="E104" s="2902">
        <f>1.0788/E101</f>
        <v>0.15194366197183098</v>
      </c>
      <c r="F104" s="2902">
        <f>1.0788/F101</f>
        <v>0.15194366197183098</v>
      </c>
      <c r="G104" s="2902">
        <f>1.0788/G101</f>
        <v>0.15194366197183098</v>
      </c>
      <c r="H104" s="2902">
        <f>1.0788/H101</f>
        <v>0.15194366197183098</v>
      </c>
      <c r="I104" s="2902">
        <f>1.0788/I101</f>
        <v>0.15194366197183098</v>
      </c>
      <c r="J104" s="2902">
        <f>1.0072/J101</f>
        <v>0.14185915492957749</v>
      </c>
      <c r="K104" s="2902">
        <f>1.0072/K101</f>
        <v>0.14185915492957749</v>
      </c>
      <c r="L104" s="2902">
        <f>1.0072/L101</f>
        <v>0.14185915492957749</v>
      </c>
      <c r="M104" s="2902">
        <f>1.0072/M101</f>
        <v>0.14185915492957749</v>
      </c>
      <c r="N104" s="2902">
        <f>1.0072/N101</f>
        <v>0.14185915492957749</v>
      </c>
    </row>
    <row r="105" spans="1:14">
      <c r="A105" s="3265"/>
      <c r="B105" s="2901">
        <v>4</v>
      </c>
      <c r="C105" s="2902">
        <f>0.9622/C101</f>
        <v>0.13552112676056338</v>
      </c>
      <c r="D105" s="2902">
        <f>0.9622/D101</f>
        <v>0.13552112676056338</v>
      </c>
      <c r="E105" s="2902">
        <f>0.8656/E101</f>
        <v>0.12191549295774649</v>
      </c>
      <c r="F105" s="2902">
        <f>0.8656/F101</f>
        <v>0.12191549295774649</v>
      </c>
      <c r="G105" s="2902">
        <f>0.8656/G101</f>
        <v>0.12191549295774649</v>
      </c>
      <c r="H105" s="2902">
        <f>0.8656/H101</f>
        <v>0.12191549295774649</v>
      </c>
      <c r="I105" s="2902">
        <f>0.8656/I101</f>
        <v>0.12191549295774649</v>
      </c>
      <c r="J105" s="2902">
        <f>0.7525/J101</f>
        <v>0.10598591549295774</v>
      </c>
      <c r="K105" s="2902">
        <f>0.7525/K101</f>
        <v>0.10598591549295774</v>
      </c>
      <c r="L105" s="2902">
        <f>0.7525/L101</f>
        <v>0.10598591549295774</v>
      </c>
      <c r="M105" s="2902">
        <f>0.7525/M101</f>
        <v>0.10598591549295774</v>
      </c>
      <c r="N105" s="2902">
        <f>0.7525/N101</f>
        <v>0.10598591549295774</v>
      </c>
    </row>
    <row r="106" spans="1:14">
      <c r="A106" s="3265"/>
      <c r="B106" s="2901">
        <v>5</v>
      </c>
      <c r="C106" s="2902">
        <f>0.8417/C101</f>
        <v>0.1185492957746479</v>
      </c>
      <c r="D106" s="2902">
        <f>0.8417/D101</f>
        <v>0.1185492957746479</v>
      </c>
      <c r="E106" s="2902">
        <f>0.7371/E101</f>
        <v>0.10381690140845071</v>
      </c>
      <c r="F106" s="2902">
        <f>0.7371/F101</f>
        <v>0.10381690140845071</v>
      </c>
      <c r="G106" s="2902">
        <f>0.7371/G101</f>
        <v>0.10381690140845071</v>
      </c>
      <c r="H106" s="2902">
        <f>0.7371/H101</f>
        <v>0.10381690140845071</v>
      </c>
      <c r="I106" s="2902">
        <f>0.7371/I101</f>
        <v>0.10381690140845071</v>
      </c>
      <c r="J106" s="2902">
        <f>0.5659/J101</f>
        <v>7.9704225352112676E-2</v>
      </c>
      <c r="K106" s="2902">
        <f>0.5659/K101</f>
        <v>7.9704225352112676E-2</v>
      </c>
      <c r="L106" s="2902">
        <f>0.5659/L101</f>
        <v>7.9704225352112676E-2</v>
      </c>
      <c r="M106" s="2902">
        <f>0.5659/M101</f>
        <v>7.9704225352112676E-2</v>
      </c>
      <c r="N106" s="2902">
        <f>0.5659/N101</f>
        <v>7.9704225352112676E-2</v>
      </c>
    </row>
    <row r="107" spans="1:14">
      <c r="A107" s="3265"/>
      <c r="B107" s="2901">
        <v>6</v>
      </c>
      <c r="C107" s="2902">
        <f>0.7608/C101</f>
        <v>0.10715492957746479</v>
      </c>
      <c r="D107" s="2902">
        <f>0.7608/D101</f>
        <v>0.10715492957746479</v>
      </c>
      <c r="E107" s="2902">
        <f>0.6482/E101</f>
        <v>9.1295774647887323E-2</v>
      </c>
      <c r="F107" s="2902">
        <f>0.6482/F101</f>
        <v>9.1295774647887323E-2</v>
      </c>
      <c r="G107" s="2902">
        <f>0.6482/G101</f>
        <v>9.1295774647887323E-2</v>
      </c>
      <c r="H107" s="2902">
        <f>0.6482/H101</f>
        <v>9.1295774647887323E-2</v>
      </c>
      <c r="I107" s="2902">
        <f>0.6482/I101</f>
        <v>9.1295774647887323E-2</v>
      </c>
      <c r="J107" s="2902">
        <f>0.4525/J101</f>
        <v>6.3732394366197181E-2</v>
      </c>
      <c r="K107" s="2902">
        <f>0.4525/K101</f>
        <v>6.3732394366197181E-2</v>
      </c>
      <c r="L107" s="2902">
        <f>0.4525/L101</f>
        <v>6.3732394366197181E-2</v>
      </c>
      <c r="M107" s="2902">
        <f>0.4525/M101</f>
        <v>6.3732394366197181E-2</v>
      </c>
      <c r="N107" s="2902">
        <f>0.4525/N101</f>
        <v>6.3732394366197181E-2</v>
      </c>
    </row>
    <row r="108" spans="1:14">
      <c r="A108" s="3265"/>
      <c r="B108" s="3121" t="s">
        <v>2927</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6"/>
      <c r="B109" s="3122"/>
      <c r="C109" s="2904">
        <f>(-0.163*(C108^2)-0.59*C108+7617)*(10^(-4))/C101</f>
        <v>0.10728169014084508</v>
      </c>
      <c r="D109" s="2904">
        <f>(-0.163*(D108^2)-0.59*D108+7617)*(10^(-4))/D101</f>
        <v>0.10728169014084508</v>
      </c>
      <c r="E109" s="2904">
        <f>(-0.161*(E108^2)-7.509*E108+6533)*(10^(-4))/E101</f>
        <v>9.2014084507042251E-2</v>
      </c>
      <c r="F109" s="2904">
        <f>(-0.161*(F108^2)-7.509*F108+6533)*(10^(-4))/F101</f>
        <v>9.2014084507042251E-2</v>
      </c>
      <c r="G109" s="2904">
        <f>(-0.161*(G108^2)-7.509*G108+6533)*(10^(-4))/G101</f>
        <v>9.2014084507042251E-2</v>
      </c>
      <c r="H109" s="2904">
        <f>(-0.161*(H108^2)-7.509*H108+6533)*(10^(-4))/H101</f>
        <v>9.2014084507042251E-2</v>
      </c>
      <c r="I109" s="2904">
        <f>(-0.161*(I108^2)-7.509*I108+6533)*(10^(-4))/I101</f>
        <v>9.2014084507042251E-2</v>
      </c>
      <c r="J109" s="2904">
        <f>(-0.214*(J108^2)-21.991*J108+4665)*(10^(-4))/J101</f>
        <v>6.5704225352112677E-2</v>
      </c>
      <c r="K109" s="2904">
        <f>(-0.214*(K108^2)-21.991*K108+4665)*(10^(-4))/K101</f>
        <v>6.5704225352112677E-2</v>
      </c>
      <c r="L109" s="2904">
        <f>(-0.214*(L108^2)-21.991*L108+4665)*(10^(-4))/L101</f>
        <v>6.5704225352112677E-2</v>
      </c>
      <c r="M109" s="2904">
        <f>(-0.214*(M108^2)-21.991*M108+4665)*(10^(-4))/M101</f>
        <v>6.5704225352112677E-2</v>
      </c>
      <c r="N109" s="2904">
        <f>(-0.214*(N108^2)-21.991*N108+4665)*(10^(-4))/N101</f>
        <v>6.5704225352112677E-2</v>
      </c>
    </row>
    <row r="110" spans="1:14">
      <c r="A110" s="3262" t="s">
        <v>2928</v>
      </c>
      <c r="B110" s="3262"/>
      <c r="C110" s="3262"/>
      <c r="D110" s="3262"/>
      <c r="E110" s="3262"/>
      <c r="F110" s="3262"/>
      <c r="G110" s="3262"/>
      <c r="H110" s="3262"/>
      <c r="I110" s="3262"/>
      <c r="J110" s="3262"/>
      <c r="K110" s="2907"/>
      <c r="L110" s="2907"/>
      <c r="M110" s="2907"/>
      <c r="N110" s="2907"/>
    </row>
    <row r="112" spans="1:14" ht="13.5" thickBot="1"/>
    <row r="113" spans="1:13" ht="25.5" thickBot="1">
      <c r="A113" s="903" t="s">
        <v>2929</v>
      </c>
      <c r="B113" s="1290">
        <f>G3</f>
        <v>7.1</v>
      </c>
      <c r="C113" s="904" t="s">
        <v>2930</v>
      </c>
      <c r="D113" s="905">
        <f>SUMPRODUCT((A115:A118=F113)*(B114:M114=H113)*B115:M118)</f>
        <v>0</v>
      </c>
      <c r="E113" s="2730" t="s">
        <v>2760</v>
      </c>
      <c r="F113" s="2909">
        <f>E2</f>
        <v>0</v>
      </c>
      <c r="G113" s="2730" t="s">
        <v>2761</v>
      </c>
      <c r="H113" s="2909">
        <f>G2</f>
        <v>0</v>
      </c>
      <c r="I113" s="2730"/>
      <c r="J113" s="2910"/>
      <c r="K113" s="2910"/>
      <c r="L113" s="2910"/>
      <c r="M113" s="2910"/>
    </row>
    <row r="114" spans="1:13">
      <c r="A114" s="908"/>
      <c r="B114" s="2911" t="s">
        <v>2931</v>
      </c>
      <c r="C114" s="2911" t="s">
        <v>2932</v>
      </c>
      <c r="D114" s="2911" t="s">
        <v>2933</v>
      </c>
      <c r="E114" s="2912" t="s">
        <v>2934</v>
      </c>
      <c r="F114" s="2912" t="s">
        <v>2935</v>
      </c>
      <c r="G114" s="2912" t="s">
        <v>2936</v>
      </c>
      <c r="H114" s="2913" t="s">
        <v>2937</v>
      </c>
      <c r="I114" s="2913" t="s">
        <v>2938</v>
      </c>
      <c r="J114" s="2914" t="s">
        <v>2939</v>
      </c>
      <c r="K114" s="2914" t="s">
        <v>2940</v>
      </c>
      <c r="L114" s="2914" t="s">
        <v>2941</v>
      </c>
      <c r="M114" s="2915" t="s">
        <v>2942</v>
      </c>
    </row>
    <row r="115" spans="1:13">
      <c r="A115" s="909" t="s">
        <v>2825</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2826</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2827</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5" thickBot="1">
      <c r="A118" s="714" t="s">
        <v>2828</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2951</v>
      </c>
    </row>
    <row r="2" spans="1:5" ht="15.75">
      <c r="A2" s="2916" t="s">
        <v>2943</v>
      </c>
      <c r="B2" s="2917" t="e">
        <f ca="1">SUMIF(B6:B13,"&lt;&gt;#ref!",B6:B13)</f>
        <v>#DIV/0!</v>
      </c>
      <c r="C2" s="2916" t="s">
        <v>2944</v>
      </c>
      <c r="D2" s="2916" t="s">
        <v>2945</v>
      </c>
      <c r="E2" s="2917">
        <f ca="1">SUMIF(E6:E13,"&lt;&gt;#ref!",E6:E13)</f>
        <v>0</v>
      </c>
    </row>
    <row r="3" spans="1:5" ht="15.75">
      <c r="A3" s="2916" t="s">
        <v>2946</v>
      </c>
      <c r="B3" s="2917" t="e">
        <f ca="1">ROUND(B2*10000/E2,0)</f>
        <v>#DIV/0!</v>
      </c>
      <c r="C3" s="2916" t="s">
        <v>2952</v>
      </c>
      <c r="D3" s="2918"/>
      <c r="E3" s="2918"/>
    </row>
    <row r="4" spans="1:5" ht="15.75">
      <c r="A4" s="2919"/>
      <c r="B4" s="2918"/>
      <c r="C4" s="2918"/>
      <c r="D4" s="2918"/>
      <c r="E4" s="2918"/>
    </row>
    <row r="5" spans="1:5" ht="28.5">
      <c r="A5" s="2920" t="s">
        <v>2947</v>
      </c>
      <c r="B5" s="2916" t="s">
        <v>2948</v>
      </c>
      <c r="C5" s="2917"/>
      <c r="D5" s="2918"/>
      <c r="E5" s="2916" t="s">
        <v>2949</v>
      </c>
    </row>
    <row r="6" spans="1:5" ht="15.75">
      <c r="A6" s="2921" t="s">
        <v>2950</v>
      </c>
      <c r="B6" s="2917" t="e">
        <f ca="1">SUMIF(INDIRECT("'"&amp;A6&amp;"'"&amp;"!A:A"),"总价",INDIRECT("'"&amp;A6&amp;"'"&amp;"!B:B"))</f>
        <v>#DIV/0!</v>
      </c>
      <c r="C6" s="2916" t="s">
        <v>2944</v>
      </c>
      <c r="D6" s="2918"/>
      <c r="E6" s="2581">
        <f ca="1">SUMIF(INDIRECT("'"&amp;A6&amp;"'"&amp;"!C:C"),"建筑面积",INDIRECT("'"&amp;A6&amp;"'"&amp;"!D:D"))</f>
        <v>0</v>
      </c>
    </row>
    <row r="7" spans="1:5" ht="15.75">
      <c r="A7" s="2921"/>
      <c r="B7" s="2917" t="e">
        <f ca="1">SUMIF(INDIRECT("'"&amp;A7&amp;"'"&amp;"!A:A"),"总价",INDIRECT("'"&amp;A7&amp;"'"&amp;"!B:B"))</f>
        <v>#REF!</v>
      </c>
      <c r="C7" s="2916" t="s">
        <v>2944</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2944</v>
      </c>
      <c r="D8" s="2918"/>
      <c r="E8" s="2581" t="e">
        <f t="shared" ca="1" si="0"/>
        <v>#REF!</v>
      </c>
    </row>
    <row r="9" spans="1:5" ht="15.75">
      <c r="A9" s="2921"/>
      <c r="B9" s="2917" t="e">
        <f t="shared" ca="1" si="1"/>
        <v>#REF!</v>
      </c>
      <c r="C9" s="2916" t="s">
        <v>2944</v>
      </c>
      <c r="D9" s="2918"/>
      <c r="E9" s="2581" t="e">
        <f t="shared" ca="1" si="0"/>
        <v>#REF!</v>
      </c>
    </row>
    <row r="10" spans="1:5" ht="15.75">
      <c r="A10" s="2921"/>
      <c r="B10" s="2917" t="e">
        <f t="shared" ca="1" si="1"/>
        <v>#REF!</v>
      </c>
      <c r="C10" s="2916" t="s">
        <v>2944</v>
      </c>
      <c r="D10" s="2918"/>
      <c r="E10" s="2581" t="e">
        <f t="shared" ca="1" si="0"/>
        <v>#REF!</v>
      </c>
    </row>
    <row r="11" spans="1:5" ht="15.75">
      <c r="A11" s="2921"/>
      <c r="B11" s="2917" t="e">
        <f t="shared" ca="1" si="1"/>
        <v>#REF!</v>
      </c>
      <c r="C11" s="2916" t="s">
        <v>2944</v>
      </c>
      <c r="D11" s="2918"/>
      <c r="E11" s="2581" t="e">
        <f t="shared" ca="1" si="0"/>
        <v>#REF!</v>
      </c>
    </row>
    <row r="12" spans="1:5" ht="15.75">
      <c r="A12" s="2921"/>
      <c r="B12" s="2917" t="e">
        <f t="shared" ca="1" si="1"/>
        <v>#REF!</v>
      </c>
      <c r="C12" s="2916" t="s">
        <v>2944</v>
      </c>
      <c r="D12" s="2918"/>
      <c r="E12" s="2581" t="e">
        <f t="shared" ca="1" si="0"/>
        <v>#REF!</v>
      </c>
    </row>
    <row r="13" spans="1:5" ht="15.75">
      <c r="A13" s="2921"/>
      <c r="B13" s="2917" t="e">
        <f t="shared" ca="1" si="1"/>
        <v>#REF!</v>
      </c>
      <c r="C13" s="2916" t="s">
        <v>2944</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1142</v>
      </c>
      <c r="C1" s="3276"/>
      <c r="D1" s="3276"/>
      <c r="E1" s="3276"/>
      <c r="F1" s="3276"/>
      <c r="G1" s="3275" t="s">
        <v>1143</v>
      </c>
      <c r="H1" s="3275"/>
      <c r="I1" s="3275"/>
      <c r="J1" s="3275"/>
      <c r="K1" s="3275"/>
      <c r="L1" s="3275"/>
      <c r="N1" s="3275" t="s">
        <v>1144</v>
      </c>
      <c r="O1" s="3275"/>
      <c r="P1" s="3275"/>
      <c r="Q1" s="3275"/>
      <c r="R1" s="1449"/>
      <c r="S1" s="3275" t="s">
        <v>1145</v>
      </c>
      <c r="T1" s="3275"/>
      <c r="U1" s="3275"/>
      <c r="V1" s="3275"/>
      <c r="X1" s="3274" t="s">
        <v>1146</v>
      </c>
      <c r="Y1" s="3275"/>
      <c r="Z1" s="3275"/>
      <c r="AA1" s="3275"/>
      <c r="AB1" s="3275"/>
      <c r="AD1" s="3274" t="s">
        <v>1147</v>
      </c>
      <c r="AE1" s="3275"/>
      <c r="AF1" s="3275"/>
      <c r="AG1" s="3275"/>
      <c r="AH1" s="3275"/>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2" customFormat="1" ht="14.25">
      <c r="A3" s="2941" t="s">
        <v>2986</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2987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3000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2">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2993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2992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2982</v>
      </c>
      <c r="B10" s="1472">
        <v>439</v>
      </c>
      <c r="C10" s="1472">
        <v>327</v>
      </c>
      <c r="D10" s="1472">
        <f>C10</f>
        <v>327</v>
      </c>
      <c r="E10" s="1472">
        <v>627</v>
      </c>
      <c r="F10" s="1473">
        <v>283</v>
      </c>
      <c r="G10" s="327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7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28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1155</v>
      </c>
      <c r="B26" s="1472">
        <v>299</v>
      </c>
      <c r="C26" s="1472">
        <v>252</v>
      </c>
      <c r="D26" s="1472">
        <f t="shared" si="74"/>
        <v>252</v>
      </c>
      <c r="E26" s="1472">
        <v>409</v>
      </c>
      <c r="F26" s="1473">
        <v>227</v>
      </c>
      <c r="G26" s="327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27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28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27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7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7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27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27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7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7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27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7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7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27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7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7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27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7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7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27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7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7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27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7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7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27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7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7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27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7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7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271">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72">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72">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273">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271">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72">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72">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27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2953</v>
      </c>
      <c r="C1" s="3283" t="s">
        <v>2954</v>
      </c>
      <c r="D1" s="3284"/>
      <c r="E1" s="3284"/>
      <c r="F1" s="3284"/>
      <c r="G1" s="3284"/>
      <c r="H1" s="3284"/>
      <c r="I1" s="3284"/>
      <c r="J1" s="3284"/>
      <c r="K1" s="3284"/>
      <c r="L1" s="3284"/>
      <c r="M1" s="3284"/>
      <c r="N1" s="3284"/>
      <c r="O1" s="3284"/>
      <c r="P1" s="3284"/>
      <c r="Q1" s="3284"/>
      <c r="R1" s="3284"/>
      <c r="S1" s="3285"/>
      <c r="T1" s="1207" t="s">
        <v>2955</v>
      </c>
    </row>
    <row r="2" spans="1:45" s="707" customFormat="1">
      <c r="A2" s="1208"/>
      <c r="B2" s="703" t="s">
        <v>2956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2960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2961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2962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2963</v>
      </c>
      <c r="B17" s="2923" t="s">
        <v>2964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2965</v>
      </c>
      <c r="E19" s="1795"/>
      <c r="F19" s="1795"/>
      <c r="G19" s="1795"/>
      <c r="H19" s="1283"/>
      <c r="I19" s="168"/>
      <c r="J19" s="168"/>
      <c r="K19" s="168"/>
      <c r="L19" s="168"/>
      <c r="M19" s="168"/>
      <c r="N19" s="168"/>
      <c r="O19" s="168"/>
      <c r="P19" s="168"/>
      <c r="Q19" s="168"/>
      <c r="R19" s="788"/>
      <c r="S19" s="138"/>
    </row>
    <row r="20" spans="1:45" ht="16.5" thickBot="1">
      <c r="A20" s="715" t="s">
        <v>2966</v>
      </c>
      <c r="B20" s="338" t="e">
        <f ca="1">IF(D20="——",S22,S22-F20)</f>
        <v>#REF!</v>
      </c>
      <c r="C20" s="168"/>
      <c r="D20" s="2925" t="s">
        <v>2967</v>
      </c>
      <c r="E20" s="1796"/>
      <c r="F20" s="1207" t="e">
        <f ca="1">SUMIF(INDIRECT("'"&amp;H20&amp;"'"&amp;"!A:A"),"承租人权益价值",INDIRECT("'"&amp;H20&amp;"'"&amp;"!c:c"))</f>
        <v>#REF!</v>
      </c>
      <c r="G20" s="1207" t="s">
        <v>2968</v>
      </c>
      <c r="H20" s="2926"/>
      <c r="I20" s="168"/>
      <c r="J20" s="168"/>
      <c r="K20" s="168"/>
      <c r="L20" s="168"/>
      <c r="M20" s="168"/>
      <c r="N20" s="168"/>
      <c r="O20" s="168"/>
      <c r="P20" s="168"/>
      <c r="Q20" s="168"/>
      <c r="R20" s="788"/>
      <c r="S20" s="138"/>
    </row>
    <row r="21" spans="1:45" ht="15.75">
      <c r="A21" s="715" t="s">
        <v>2969</v>
      </c>
      <c r="B21" s="338">
        <f>R22</f>
        <v>10000</v>
      </c>
      <c r="C21" s="168"/>
      <c r="D21" s="168"/>
      <c r="E21" s="168"/>
      <c r="F21" s="168"/>
      <c r="G21" s="168"/>
      <c r="H21" s="168"/>
      <c r="I21" s="168"/>
      <c r="J21" s="168"/>
      <c r="K21" s="168"/>
      <c r="L21" s="168"/>
      <c r="M21" s="168"/>
      <c r="N21" s="168"/>
      <c r="O21" s="168"/>
      <c r="P21" s="168"/>
      <c r="Q21" s="168"/>
      <c r="R21" s="788"/>
      <c r="S21" s="138"/>
    </row>
    <row r="22" spans="1:45">
      <c r="A22" s="361" t="s">
        <v>2970</v>
      </c>
      <c r="B22" s="24">
        <f>SUM(B24:B10000)</f>
        <v>100</v>
      </c>
      <c r="C22" s="3143" t="s">
        <v>33</v>
      </c>
      <c r="D22" s="3144"/>
      <c r="E22" s="3144"/>
      <c r="F22" s="3144"/>
      <c r="G22" s="3144"/>
      <c r="H22" s="3144"/>
      <c r="I22" s="3144"/>
      <c r="J22" s="3144"/>
      <c r="K22" s="3144"/>
      <c r="L22" s="3144"/>
      <c r="M22" s="3144"/>
      <c r="N22" s="3144"/>
      <c r="O22" s="3144"/>
      <c r="P22" s="3144"/>
      <c r="Q22" s="3282"/>
      <c r="R22" s="716">
        <f>ROUND(S22*10000/B22,0)</f>
        <v>10000</v>
      </c>
      <c r="S22" s="24">
        <f>SUM(S24:S10000)</f>
        <v>100</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7" t="s">
        <v>2974</v>
      </c>
      <c r="S23" s="11" t="s">
        <v>2975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1613</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1622</v>
      </c>
      <c r="C4" s="2966"/>
      <c r="D4" s="2966"/>
      <c r="E4" s="1964"/>
    </row>
    <row r="5" spans="1:5" ht="16.5" thickTop="1">
      <c r="A5" s="1962"/>
      <c r="B5" s="2964" t="s">
        <v>1614</v>
      </c>
      <c r="C5" s="1965" t="s">
        <v>1615</v>
      </c>
      <c r="D5" s="1043">
        <f ca="1">结果表!H101</f>
        <v>457909</v>
      </c>
      <c r="E5" s="1962"/>
    </row>
    <row r="6" spans="1:5" ht="15.75">
      <c r="A6" s="1962"/>
      <c r="B6" s="2964"/>
      <c r="C6" s="1965" t="s">
        <v>1616</v>
      </c>
      <c r="D6" s="1043" t="str">
        <f ca="1">NUMBERSTRING(INT(D5*10000),2)&amp;"元整"</f>
        <v>肆拾伍亿柒仟玖佰零玖万元整</v>
      </c>
      <c r="E6" s="1962"/>
    </row>
    <row r="7" spans="1:5" ht="15.75">
      <c r="A7" s="1962"/>
      <c r="B7" s="2969"/>
      <c r="C7" s="1966" t="s">
        <v>1617</v>
      </c>
      <c r="D7" s="1044">
        <f ca="1">结果表!H102</f>
        <v>140188</v>
      </c>
      <c r="E7" s="1962"/>
    </row>
    <row r="8" spans="1:5" ht="15.75">
      <c r="A8" s="1962"/>
      <c r="B8" s="2970" t="str">
        <f>结果表!E103</f>
        <v>2.估价师知悉的法定优先受偿款</v>
      </c>
      <c r="C8" s="1967" t="s">
        <v>1618</v>
      </c>
      <c r="D8" s="1044">
        <f>结果表!H103</f>
        <v>0</v>
      </c>
      <c r="E8" s="1962"/>
    </row>
    <row r="9" spans="1:5" ht="15.75">
      <c r="A9" s="1962"/>
      <c r="B9" s="2972"/>
      <c r="C9" s="1965" t="s">
        <v>1616</v>
      </c>
      <c r="D9" s="1043" t="str">
        <f>NUMBERSTRING(INT(D8*10000),2)&amp;"元整"</f>
        <v>零元整</v>
      </c>
      <c r="E9" s="1962"/>
    </row>
    <row r="10" spans="1:5" ht="15">
      <c r="A10" s="1962"/>
      <c r="B10" s="1968" t="s">
        <v>1621</v>
      </c>
      <c r="C10" s="1969" t="s">
        <v>1619</v>
      </c>
      <c r="D10" s="1045">
        <f>结果表!H104</f>
        <v>0</v>
      </c>
      <c r="E10" s="1962"/>
    </row>
    <row r="11" spans="1:5" ht="15">
      <c r="A11" s="1962"/>
      <c r="B11" s="1968" t="s">
        <v>1623</v>
      </c>
      <c r="C11" s="1969" t="s">
        <v>1624</v>
      </c>
      <c r="D11" s="1045">
        <f>结果表!H105</f>
        <v>0</v>
      </c>
      <c r="E11" s="1962"/>
    </row>
    <row r="12" spans="1:5" ht="15">
      <c r="A12" s="1962"/>
      <c r="B12" s="1968" t="s">
        <v>1625</v>
      </c>
      <c r="C12" s="1969" t="s">
        <v>1624</v>
      </c>
      <c r="D12" s="1045">
        <f>结果表!H106</f>
        <v>0</v>
      </c>
      <c r="E12" s="1962"/>
    </row>
    <row r="13" spans="1:5" ht="15.75">
      <c r="A13" s="1962"/>
      <c r="B13" s="2963" t="str">
        <f>结果表!E107</f>
        <v>——</v>
      </c>
      <c r="C13" s="1970" t="s">
        <v>1615</v>
      </c>
      <c r="D13" s="1046" t="str">
        <f>结果表!H107</f>
        <v>——</v>
      </c>
      <c r="E13" s="1962"/>
    </row>
    <row r="14" spans="1:5" ht="15.75">
      <c r="A14" s="1962"/>
      <c r="B14" s="2964"/>
      <c r="C14" s="1965" t="s">
        <v>1616</v>
      </c>
      <c r="D14" s="1043" t="e">
        <f>NUMBERSTRING(INT(D13*10000),2)&amp;"元整"</f>
        <v>#VALUE!</v>
      </c>
      <c r="E14" s="1962"/>
    </row>
    <row r="15" spans="1:5" ht="15">
      <c r="A15" s="1962"/>
      <c r="B15" s="2969"/>
      <c r="C15" s="1966" t="s">
        <v>1626</v>
      </c>
      <c r="D15" s="1055" t="e">
        <f>结果表!H108</f>
        <v>#VALUE!</v>
      </c>
      <c r="E15" s="1962"/>
    </row>
    <row r="16" spans="1:5" ht="15">
      <c r="A16" s="1962"/>
      <c r="B16" s="2970" t="str">
        <f>结果表!E109</f>
        <v>3.抵押担保权已注销时的房地产抵押价值</v>
      </c>
      <c r="C16" s="1970" t="s">
        <v>1627</v>
      </c>
      <c r="D16" s="1971">
        <f ca="1">结果表!H109</f>
        <v>457909</v>
      </c>
      <c r="E16" s="1962"/>
    </row>
    <row r="17" spans="1:5" ht="15.75">
      <c r="A17" s="1962"/>
      <c r="B17" s="2971"/>
      <c r="C17" s="1965" t="s">
        <v>1628</v>
      </c>
      <c r="D17" s="1043" t="str">
        <f ca="1">NUMBERSTRING(INT(D16*10000),2)&amp;"元整"</f>
        <v>肆拾伍亿柒仟玖佰零玖万元整</v>
      </c>
      <c r="E17" s="1962"/>
    </row>
    <row r="18" spans="1:5" ht="15">
      <c r="A18" s="1962"/>
      <c r="B18" s="2972"/>
      <c r="C18" s="1966" t="s">
        <v>1617</v>
      </c>
      <c r="D18" s="1055">
        <f ca="1">结果表!H110</f>
        <v>140188</v>
      </c>
      <c r="E18" s="1962"/>
    </row>
    <row r="19" spans="1:5" ht="15.75">
      <c r="A19" s="1962"/>
      <c r="B19" s="2963" t="str">
        <f>结果表!E111</f>
        <v>——</v>
      </c>
      <c r="C19" s="1970" t="s">
        <v>1615</v>
      </c>
      <c r="D19" s="1044" t="str">
        <f>结果表!H111</f>
        <v>——</v>
      </c>
      <c r="E19" s="1962"/>
    </row>
    <row r="20" spans="1:5" ht="15.75">
      <c r="A20" s="1962"/>
      <c r="B20" s="2964"/>
      <c r="C20" s="1965" t="s">
        <v>1628</v>
      </c>
      <c r="D20" s="1043" t="e">
        <f>NUMBERSTRING(INT(D19*10000),2)&amp;"元整"</f>
        <v>#VALUE!</v>
      </c>
      <c r="E20" s="1962"/>
    </row>
    <row r="21" spans="1:5" ht="15.75" thickBot="1">
      <c r="A21" s="1962"/>
      <c r="B21" s="2965"/>
      <c r="C21" s="1972" t="s">
        <v>1626</v>
      </c>
      <c r="D21" s="1056" t="str">
        <f>结果表!H112</f>
        <v>——</v>
      </c>
      <c r="E21" s="1962"/>
    </row>
    <row r="22" spans="1:5" ht="15" thickTop="1">
      <c r="A22" s="1962"/>
      <c r="B22" s="1973" t="s">
        <v>1629</v>
      </c>
      <c r="C22" s="1962"/>
      <c r="D22" s="1962"/>
      <c r="E22" s="1962"/>
    </row>
    <row r="23" spans="1:5">
      <c r="A23" s="1962"/>
      <c r="B23" s="1962"/>
      <c r="C23" s="1962"/>
      <c r="D23" s="1962"/>
      <c r="E23" s="1962"/>
    </row>
    <row r="24" spans="1:5" ht="18.75">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4.75">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48" t="s">
        <v>121</v>
      </c>
    </row>
    <row r="43" spans="1:7" ht="13.5" customHeight="1">
      <c r="A43" s="954" t="s">
        <v>791</v>
      </c>
      <c r="B43" s="259" t="s">
        <v>1060</v>
      </c>
      <c r="C43" s="282">
        <f ca="1">ROUND(IF('数据-取费表'!B22&lt;=1,C39*F22*'数据-取费表'!B21/2,C39*(POWER((1+F22),'数据-取费表'!B21/2)-1)),0)</f>
        <v>21</v>
      </c>
      <c r="D43" s="282"/>
      <c r="E43" s="282"/>
      <c r="F43" s="283"/>
      <c r="G43" s="3149"/>
    </row>
    <row r="44" spans="1:7" ht="13.5" customHeight="1">
      <c r="A44" s="954" t="s">
        <v>792</v>
      </c>
      <c r="B44" s="259" t="s">
        <v>1062</v>
      </c>
      <c r="C44" s="282">
        <f ca="1">ROUND(IF('数据-取费表'!B22&lt;=1,C40*F22*'数据-取费表'!B21/2,C40*(POWER((1+F22),'数据-取费表'!B21/2)-1)),4)</f>
        <v>1E-3</v>
      </c>
      <c r="D44" s="282"/>
      <c r="E44" s="282"/>
      <c r="F44" s="283"/>
      <c r="G44" s="3150"/>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5"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1364</v>
      </c>
      <c r="E1" s="1779" t="s">
        <v>1368</v>
      </c>
      <c r="F1" s="1780" t="s">
        <v>1372</v>
      </c>
    </row>
    <row r="2" spans="1:13" ht="20.25">
      <c r="A2" s="1786" t="s">
        <v>1365</v>
      </c>
    </row>
    <row r="3" spans="1:13" ht="16.5">
      <c r="A3" s="1787" t="s">
        <v>1366</v>
      </c>
    </row>
    <row r="4" spans="1:13" ht="14.25">
      <c r="A4" s="1777" t="s">
        <v>1367</v>
      </c>
      <c r="B4" s="1782" t="s">
        <v>1369</v>
      </c>
      <c r="C4" s="1783"/>
      <c r="D4" s="1784"/>
      <c r="E4" s="1782" t="s">
        <v>27</v>
      </c>
      <c r="F4" s="1783"/>
      <c r="G4" s="1784"/>
      <c r="H4" s="1782" t="s">
        <v>1370</v>
      </c>
      <c r="I4" s="1783"/>
      <c r="J4" s="1784"/>
      <c r="K4" s="1782" t="s">
        <v>6</v>
      </c>
      <c r="L4" s="1783"/>
      <c r="M4" s="1784"/>
    </row>
    <row r="5" spans="1:13" ht="14.25">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1633</v>
      </c>
      <c r="B2" s="2983" t="s">
        <v>1634</v>
      </c>
      <c r="C2" s="2983" t="s">
        <v>1635</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t="e">
        <f ca="1">结果表!D118</f>
        <v>#REF!</v>
      </c>
      <c r="E4" s="1047" t="e">
        <f ca="1">结果表!E118</f>
        <v>#REF!</v>
      </c>
      <c r="F4" s="1047" t="e">
        <f ca="1">结果表!F118</f>
        <v>#REF!</v>
      </c>
      <c r="G4" s="1047" t="e">
        <f ca="1">结果表!G118</f>
        <v>#REF!</v>
      </c>
      <c r="H4" s="1047">
        <f ca="1">结果表!H118</f>
        <v>457909</v>
      </c>
      <c r="I4" s="1047">
        <f ca="1">结果表!I118</f>
        <v>140188</v>
      </c>
    </row>
    <row r="5" spans="1:9" ht="30" customHeight="1">
      <c r="A5" s="2977" t="s">
        <v>1632</v>
      </c>
      <c r="B5" s="2977"/>
      <c r="C5" s="2977"/>
      <c r="D5" s="2978" t="e">
        <f ca="1">结果表!D119</f>
        <v>#REF!</v>
      </c>
      <c r="E5" s="2978"/>
      <c r="F5" s="2978" t="e">
        <f ca="1">结果表!F119</f>
        <v>#REF!</v>
      </c>
      <c r="G5" s="2978"/>
      <c r="H5" s="2978" t="str">
        <f ca="1">结果表!H119</f>
        <v>肆拾伍亿柒仟玖佰零玖万元整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1632</v>
      </c>
      <c r="B7" s="2977"/>
      <c r="C7" s="2977"/>
      <c r="D7" s="2979" t="str">
        <f>结果表!D121</f>
        <v>零元整</v>
      </c>
      <c r="E7" s="2980"/>
      <c r="F7" s="2980"/>
      <c r="G7" s="2980"/>
      <c r="H7" s="2980"/>
      <c r="I7" s="2981"/>
    </row>
    <row r="8" spans="1:9" ht="15.75">
      <c r="A8" s="2976" t="str">
        <f>结果表!A122</f>
        <v/>
      </c>
      <c r="B8" s="2976"/>
      <c r="C8" s="2976"/>
      <c r="D8" s="2976" t="str">
        <f>结果表!D122</f>
        <v>——</v>
      </c>
      <c r="E8" s="2976"/>
      <c r="F8" s="2976"/>
      <c r="G8" s="2976"/>
      <c r="H8" s="2976"/>
      <c r="I8" s="2976"/>
    </row>
    <row r="9" spans="1:9" ht="15">
      <c r="A9" s="2977" t="s">
        <v>1632</v>
      </c>
      <c r="B9" s="2977"/>
      <c r="C9" s="2977"/>
      <c r="D9" s="2978" t="e">
        <f>结果表!D123</f>
        <v>#VALUE!</v>
      </c>
      <c r="E9" s="2978"/>
      <c r="F9" s="2978"/>
      <c r="G9" s="2978"/>
      <c r="H9" s="2978"/>
      <c r="I9" s="2978"/>
    </row>
    <row r="10" spans="1:9" ht="15.75">
      <c r="A10" s="2976" t="str">
        <f>结果表!A124</f>
        <v>抵押担保权已注销时的房地产抵押价值</v>
      </c>
      <c r="B10" s="2976"/>
      <c r="C10" s="2976"/>
      <c r="D10" s="2976">
        <f ca="1">结果表!D124</f>
        <v>457909</v>
      </c>
      <c r="E10" s="2976"/>
      <c r="F10" s="2976"/>
      <c r="G10" s="2976"/>
      <c r="H10" s="2976"/>
      <c r="I10" s="2976"/>
    </row>
    <row r="11" spans="1:9" ht="15">
      <c r="A11" s="2977" t="s">
        <v>1632</v>
      </c>
      <c r="B11" s="2977"/>
      <c r="C11" s="2977"/>
      <c r="D11" s="2978" t="str">
        <f ca="1">结果表!D125</f>
        <v>肆拾伍亿柒仟玖佰零玖万元整</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1632</v>
      </c>
      <c r="B13" s="2973"/>
      <c r="C13" s="2973"/>
      <c r="D13" s="2974" t="e">
        <f>结果表!D127</f>
        <v>#VALUE!</v>
      </c>
      <c r="E13" s="2974"/>
      <c r="F13" s="2974"/>
      <c r="G13" s="2974"/>
      <c r="H13" s="2974"/>
      <c r="I13" s="2974"/>
    </row>
    <row r="14" spans="1:9" ht="15" thickTop="1">
      <c r="A14" s="2975" t="s">
        <v>1637</v>
      </c>
      <c r="B14" s="2975"/>
      <c r="C14" s="2975"/>
      <c r="D14" s="2975"/>
      <c r="E14" s="2975"/>
      <c r="F14" s="2975"/>
      <c r="G14" s="2975"/>
      <c r="H14" s="2975"/>
      <c r="I14" s="2975"/>
    </row>
    <row r="16" spans="1:9" ht="18.75">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0" t="s">
        <v>1654</v>
      </c>
      <c r="B1" s="2990"/>
      <c r="C1" s="2990"/>
      <c r="D1" s="2990"/>
    </row>
    <row r="2" spans="1:4" ht="18">
      <c r="A2" s="2991" t="s">
        <v>1638</v>
      </c>
      <c r="B2" s="2991"/>
      <c r="C2" s="2991"/>
      <c r="D2" s="2991"/>
    </row>
    <row r="3" spans="1:4" ht="18.75">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8">
      <c r="A6" s="2991" t="s">
        <v>1644</v>
      </c>
      <c r="B6" s="2991"/>
      <c r="C6" s="2991"/>
      <c r="D6" s="2991"/>
    </row>
    <row r="7" spans="1:4" ht="18.75">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8.75">
      <c r="A10" s="1987" t="s">
        <v>1646</v>
      </c>
      <c r="B10" s="728"/>
      <c r="C10" s="728"/>
      <c r="D10" s="728"/>
    </row>
    <row r="11" spans="1:4" ht="30" customHeight="1">
      <c r="A11" s="2992" t="s">
        <v>1647</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6" t="s">
        <v>1648</v>
      </c>
      <c r="B16" s="2986"/>
      <c r="C16" s="2986"/>
      <c r="D16" s="2986"/>
    </row>
    <row r="17" spans="1:4" ht="144" customHeight="1">
      <c r="A17" s="2986" t="s">
        <v>1649</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1650</v>
      </c>
      <c r="B22" s="2988"/>
      <c r="C22" s="2988"/>
      <c r="D22" s="2988"/>
    </row>
    <row r="23" spans="1:4">
      <c r="A23" s="1988"/>
      <c r="B23" s="1960"/>
      <c r="C23" s="1960"/>
      <c r="D23" s="1960"/>
    </row>
    <row r="24" spans="1:4">
      <c r="A24" s="1988"/>
      <c r="B24" s="1960"/>
      <c r="C24" s="1960"/>
      <c r="D24" s="1960"/>
    </row>
    <row r="25" spans="1:4" ht="18.75">
      <c r="A25" s="1989" t="s">
        <v>1651</v>
      </c>
    </row>
    <row r="26" spans="1:4" ht="18">
      <c r="A26" s="1958"/>
    </row>
    <row r="27" spans="1:4" ht="18.75">
      <c r="A27" s="1958" t="s">
        <v>1652</v>
      </c>
    </row>
    <row r="30" spans="1:4" ht="18.75">
      <c r="D30" s="1989" t="s">
        <v>1653</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3.5">
      <c r="A15" s="2998" t="s">
        <v>1661</v>
      </c>
      <c r="B15" s="2993" t="s">
        <v>136</v>
      </c>
      <c r="C15" s="2994"/>
    </row>
    <row r="16" spans="1:7" ht="13.5">
      <c r="A16" s="2999"/>
      <c r="B16" s="2993" t="s">
        <v>69</v>
      </c>
      <c r="C16" s="2994"/>
    </row>
    <row r="17" spans="1:3" ht="13.5">
      <c r="A17" s="2999"/>
      <c r="B17" s="2996" t="s">
        <v>1662</v>
      </c>
      <c r="C17" s="2003" t="s">
        <v>1661</v>
      </c>
    </row>
    <row r="18" spans="1:3" ht="13.5">
      <c r="A18" s="2999"/>
      <c r="B18" s="2996"/>
      <c r="C18" s="2003" t="s">
        <v>1663</v>
      </c>
    </row>
    <row r="19" spans="1:3" ht="13.5">
      <c r="A19" s="2999"/>
      <c r="B19" s="2996"/>
      <c r="C19" s="2003" t="s">
        <v>1664</v>
      </c>
    </row>
    <row r="20" spans="1:3" ht="13.5">
      <c r="A20" s="3000"/>
      <c r="B20" s="2995" t="s">
        <v>1665</v>
      </c>
      <c r="C20" s="2994"/>
    </row>
    <row r="21" spans="1:3" ht="13.5">
      <c r="A21" s="2004" t="s">
        <v>1666</v>
      </c>
      <c r="B21" s="2005"/>
      <c r="C21" s="2006"/>
    </row>
    <row r="22" spans="1:3" ht="13.5">
      <c r="A22" s="2997" t="s">
        <v>1667</v>
      </c>
      <c r="B22" s="2995" t="s">
        <v>1668</v>
      </c>
      <c r="C22" s="2994"/>
    </row>
    <row r="23" spans="1:3" ht="13.5">
      <c r="A23" s="2997"/>
      <c r="B23" s="2995" t="s">
        <v>1669</v>
      </c>
      <c r="C23" s="2994"/>
    </row>
    <row r="24" spans="1:3" ht="13.5">
      <c r="A24" s="2997"/>
      <c r="B24" s="2995" t="s">
        <v>1670</v>
      </c>
      <c r="C24" s="2994"/>
    </row>
    <row r="25" spans="1:3" ht="13.5">
      <c r="A25" s="2997"/>
      <c r="B25" s="2996" t="s">
        <v>1671</v>
      </c>
      <c r="C25" s="2003" t="s">
        <v>1672</v>
      </c>
    </row>
    <row r="26" spans="1:3" ht="13.5">
      <c r="A26" s="2997"/>
      <c r="B26" s="2996"/>
      <c r="C26" s="2003" t="s">
        <v>1673</v>
      </c>
    </row>
    <row r="27" spans="1:3" ht="13.5">
      <c r="A27" s="2997"/>
      <c r="B27" s="2996"/>
      <c r="C27" s="2003" t="s">
        <v>1674</v>
      </c>
    </row>
    <row r="28" spans="1:3" ht="13.5">
      <c r="A28" s="2997"/>
      <c r="B28" s="2996"/>
      <c r="C28" s="2003" t="s">
        <v>1675</v>
      </c>
    </row>
    <row r="29" spans="1:3" ht="13.5">
      <c r="A29" s="2997"/>
      <c r="B29" s="2996"/>
      <c r="C29" s="2003" t="s">
        <v>1676</v>
      </c>
    </row>
    <row r="30" spans="1:3" ht="13.5">
      <c r="A30" s="2997"/>
      <c r="B30" s="2996"/>
      <c r="C30" s="2003" t="s">
        <v>1677</v>
      </c>
    </row>
    <row r="31" spans="1:3" ht="13.5">
      <c r="A31" s="2997"/>
      <c r="B31" s="2996"/>
      <c r="C31" s="2003" t="s">
        <v>1678</v>
      </c>
    </row>
    <row r="32" spans="1:3" ht="13.5">
      <c r="A32" s="2997"/>
      <c r="B32" s="2996"/>
      <c r="C32" s="2003" t="s">
        <v>1679</v>
      </c>
    </row>
    <row r="33" spans="1:3" ht="13.5">
      <c r="A33" s="2997"/>
      <c r="B33" s="2996"/>
      <c r="C33" s="2003" t="s">
        <v>1680</v>
      </c>
    </row>
    <row r="34" spans="1:3">
      <c r="A34" s="2007" t="s">
        <v>76</v>
      </c>
    </row>
    <row r="37" spans="1:3">
      <c r="A37" s="2007" t="s">
        <v>1681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43497</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2"/>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2994</v>
      </c>
      <c r="B14" s="1025">
        <f ca="1">IF(C14&lt;B2,"已过期",1120040230)</f>
        <v>1120040230</v>
      </c>
      <c r="C14" s="2352">
        <v>43835</v>
      </c>
      <c r="D14" s="2355" t="s">
        <v>2994</v>
      </c>
      <c r="E14" s="1025">
        <f ca="1">IF(F14&lt;B2,"已过期",98030020)</f>
        <v>98030020</v>
      </c>
      <c r="F14" s="1033">
        <v>47118</v>
      </c>
    </row>
    <row r="15" spans="1:6" ht="24" customHeight="1">
      <c r="A15" s="1706" t="s">
        <v>2995</v>
      </c>
      <c r="B15" s="1025">
        <f ca="1">IF(C15&lt;B2,"已过期",1120070085)</f>
        <v>1120070085</v>
      </c>
      <c r="C15" s="2352">
        <v>43814</v>
      </c>
      <c r="D15" s="2356" t="s">
        <v>2995</v>
      </c>
      <c r="E15" s="1025">
        <f ca="1">IF(F15&lt;B2,"已过期",2004110128)</f>
        <v>2004110128</v>
      </c>
      <c r="F15" s="1026">
        <v>47118</v>
      </c>
    </row>
    <row r="16" spans="1:6" ht="24" customHeight="1">
      <c r="A16" s="1705" t="s">
        <v>2996</v>
      </c>
      <c r="B16" s="1025">
        <f ca="1">IF(C16&lt;B2,"已过期",1120140022)</f>
        <v>1120140022</v>
      </c>
      <c r="C16" s="2942">
        <v>44029</v>
      </c>
      <c r="D16" s="2355" t="s">
        <v>2996</v>
      </c>
      <c r="E16" s="1025">
        <f ca="1">IF(F16&lt;B2,"已过期",2008110059)</f>
        <v>2008110059</v>
      </c>
      <c r="F16" s="1033">
        <v>47177</v>
      </c>
    </row>
    <row r="17" spans="1:7" ht="24" customHeight="1">
      <c r="A17" s="1705"/>
      <c r="B17" s="1025"/>
      <c r="C17" s="2352"/>
      <c r="D17" s="2355" t="s">
        <v>2997</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2">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01" t="s">
        <v>842</v>
      </c>
      <c r="B25" s="3001"/>
      <c r="C25" s="3001"/>
      <c r="D25" s="3001"/>
      <c r="E25" s="3001"/>
      <c r="F25" s="3001"/>
      <c r="G25" s="3001"/>
    </row>
    <row r="26" spans="1:7" s="1028" customFormat="1" ht="24" customHeight="1">
      <c r="A26" s="3002" t="s">
        <v>843</v>
      </c>
      <c r="B26" s="3002"/>
      <c r="C26" s="3003"/>
      <c r="D26" s="3004" t="s">
        <v>844</v>
      </c>
      <c r="E26" s="3002"/>
      <c r="F26" s="3002"/>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2019-02-01T08:48:47Z</dcterms:modified>
</cp:coreProperties>
</file>