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workbookProtection lockStructure="1"/>
  <bookViews>
    <workbookView xWindow="0" yWindow="465" windowWidth="19320" windowHeight="1548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汇总" sheetId="84" r:id="rId13"/>
    <sheet name="综合指标表" sheetId="85" r:id="rId14"/>
    <sheet name="抵押物清单（分楼）" sheetId="42" state="hidden" r:id="rId15"/>
    <sheet name="数据-汇总表" sheetId="6" r:id="rId16"/>
    <sheet name="数据-取费表" sheetId="1" r:id="rId17"/>
    <sheet name="估价对象房地状况" sheetId="20" state="hidden" r:id="rId18"/>
    <sheet name="系统读取表" sheetId="74" state="hidden" r:id="rId19"/>
    <sheet name="结果表" sheetId="9" r:id="rId20"/>
    <sheet name="成本法" sheetId="68" state="hidden" r:id="rId21"/>
    <sheet name="成本法 (元)" sheetId="69" state="hidden" r:id="rId22"/>
    <sheet name="土地比较法-住宅、综合" sheetId="39" r:id="rId23"/>
    <sheet name="土地案例" sheetId="80" state="hidden" r:id="rId24"/>
    <sheet name="案例位置" sheetId="81" state="hidden" r:id="rId25"/>
    <sheet name="假设开发法" sheetId="12" r:id="rId26"/>
    <sheet name="比较法-住宅（联排）" sheetId="82" r:id="rId27"/>
    <sheet name="比较法-住宅（高层）" sheetId="21" r:id="rId28"/>
    <sheet name="收益法（商业）" sheetId="78" state="hidden" r:id="rId29"/>
    <sheet name="收益法（地下车库）" sheetId="15" state="hidden"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7" hidden="1">'比较法-住宅（高层）'!$A$1:$L$49</definedName>
    <definedName name="_xlnm._FilterDatabase" localSheetId="26" hidden="1">'比较法-住宅（联排）'!$A$1:$L$49</definedName>
    <definedName name="_xlnm._FilterDatabase" localSheetId="11"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9">'收益法（地下车库）'!$A$1:$AK$69</definedName>
    <definedName name="_xlnm.Print_Area" localSheetId="28">'收益法（商业）'!$A$1:$AK$69</definedName>
    <definedName name="_xlnm.Print_Area" localSheetId="15">'数据-汇总表'!$A$1:$P$32</definedName>
    <definedName name="八级">区片价!$O$1:$O$40</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区片价!$I$1:$I$20</definedName>
    <definedName name="二级分类" localSheetId="12">[1]修正!$C$17:$C$39</definedName>
    <definedName name="二级分类">修正!$C$17:$C$39</definedName>
    <definedName name="法定最高年限" localSheetId="12">[1]定义!$G$2:$G$4</definedName>
    <definedName name="法定最高年限">定义!$G$1:$G$4</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区片价!$P$1:$P$46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区片价!$M$1:$M$49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区片价!$N$1:$N$49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区片价!$J$1:$J$21</definedName>
    <definedName name="商业层高" localSheetId="12">'[1]不动产比较法-商业'!$B$116:$M$116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四级">区片价!$K$1:$K$28</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工程地质条件" localSheetId="12">'[1]比较法-工业'!$B$116:$M$116</definedName>
    <definedName name="套工工程地质条件">'[3]比较法-工业'!$B$116:$M$116</definedName>
    <definedName name="套工交易情况" localSheetId="12">'[1]比较法-住宅、综合'!$A$75:$M$75</definedName>
    <definedName name="套工交易情况">'土地比较法-住宅、综合'!$A$73:$M$73</definedName>
    <definedName name="套工开发程度" localSheetId="12">'[1]比较法-工业'!$B$114:$M$114</definedName>
    <definedName name="套工开发程度">'[3]比较法-工业'!$B$114:$M$114</definedName>
    <definedName name="套工临街等级" localSheetId="12">'[1]比较法-工业'!$B$99:$M$99</definedName>
    <definedName name="套工临街等级">'[3]比较法-工业'!$B$99:$M$99</definedName>
    <definedName name="套工土地级别" localSheetId="12">'[1]比较法-工业'!$B$101:$M$101</definedName>
    <definedName name="套工土地级别">'土地比较法-工业'!$B$99:$M$99</definedName>
    <definedName name="套工用途" localSheetId="12">'[1]比较法-工业'!$B$72:$M$72</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'[1]比较法-工业'!$B$112:$M$112</definedName>
    <definedName name="套工宗地形状">'土地比较法-工业'!$B$110:$M$110</definedName>
    <definedName name="套综道路等级" localSheetId="12">'[1]比较法-住宅、综合'!$B$108:$M$108</definedName>
    <definedName name="套综道路等级">'土地比较法-住宅、综合'!$B$106:$M$106</definedName>
    <definedName name="套综工程地质条件" localSheetId="12">'[1]比较法-住宅、综合'!$B$127:$M$127</definedName>
    <definedName name="套综工程地质条件">'土地比较法-住宅、综合'!$B$125:$M$125</definedName>
    <definedName name="套综交易情况" localSheetId="12">'[1]比较法-住宅、综合'!$A$75:$M$75</definedName>
    <definedName name="套综交易情况">'土地比较法-住宅、综合'!$A$73:$M$73</definedName>
    <definedName name="套综临街宽度及深度" localSheetId="12">'[1]比较法-住宅、综合'!$B$123:$M$123</definedName>
    <definedName name="套综临街宽度及深度">'土地比较法-住宅、综合'!$B$121:$M$121</definedName>
    <definedName name="套综土地级别" localSheetId="12">'[1]比较法-住宅、综合'!$B$110:$M$110</definedName>
    <definedName name="套综土地级别">'土地比较法-住宅、综合'!$B$108:$M$108</definedName>
    <definedName name="套综用途" localSheetId="12">'[1]比较法-住宅、综合'!$B$77:$M$77</definedName>
    <definedName name="套综用途">'土地比较法-住宅、综合'!$B$75:$M$75</definedName>
    <definedName name="套综宗地内开发程度" localSheetId="12">'[1]比较法-住宅、综合'!$B$125:$M$125</definedName>
    <definedName name="套综宗地内开发程度">'土地比较法-住宅、综合'!$B$123:$M$123</definedName>
    <definedName name="套综宗地形状" localSheetId="12">'[1]比较法-住宅、综合'!$B$121:$M$121</definedName>
    <definedName name="套综宗地形状">'土地比较法-住宅、综合'!$B$119:$M$119</definedName>
    <definedName name="土地估价师" localSheetId="12">[1]估价师及机构信息!$D$3:$D$24</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区片价!$L$1:$L$35</definedName>
    <definedName name="项目类型" localSheetId="12">'[1]数据-汇总表'!$C$17:$C$26</definedName>
    <definedName name="项目类型">'数据-汇总表'!$C$17:$C$26</definedName>
    <definedName name="写字楼等级" localSheetId="12">'[1]不动产比较法-办公'!$B$113:$M$113</definedName>
    <definedName name="写字楼等级">'比较法-办公'!$B$113:$M$113</definedName>
    <definedName name="一级">区片价!$H$1:$H$6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[3]定义!$A$1:$A$50</definedName>
    <definedName name="用途明细" localSheetId="12">[2]定义!$A$1:$A$50</definedName>
    <definedName name="用途明细">定义!$A$1:$A$50</definedName>
    <definedName name="有无电梯" localSheetId="12">'[1]不动产比较法-仓储'!$B$84:$M$84</definedName>
    <definedName name="有无电梯">'比较法-仓储'!$B$84:$M$84</definedName>
    <definedName name="主用途" localSheetId="12">[1]定义!$F$1:$F$10</definedName>
    <definedName name="主用途">定义!$F$1:$F$10</definedName>
    <definedName name="住宅朝向" localSheetId="26">'比较法-住宅（联排）'!$B$88:$M$88</definedName>
    <definedName name="住宅朝向" localSheetId="12">'[1]不动产比较法-住宅'!$B$88:$M$88</definedName>
    <definedName name="住宅朝向">'比较法-住宅（高层）'!$B$88:$M$88</definedName>
    <definedName name="住宅房型" localSheetId="26">'比较法-住宅（联排）'!$B$118:$M$118</definedName>
    <definedName name="住宅房型" localSheetId="12">'[1]不动产比较法-住宅'!$B$118:$M$118</definedName>
    <definedName name="住宅房型">'比较法-住宅（高层）'!$B$118:$M$118</definedName>
    <definedName name="住宅公共部分装修" localSheetId="26">'比较法-住宅（联排）'!$B$109:$M$109</definedName>
    <definedName name="住宅公共部分装修" localSheetId="12">'[1]不动产比较法-住宅'!$B$109:$M$109</definedName>
    <definedName name="住宅公共部分装修">'比较法-住宅（高层）'!$B$109:$M$109</definedName>
    <definedName name="住宅基础设施水平" localSheetId="26">'比较法-住宅（联排）'!$B$116:$M$116</definedName>
    <definedName name="住宅基础设施水平" localSheetId="12">'[1]不动产比较法-住宅'!$B$116:$M$116</definedName>
    <definedName name="住宅基础设施水平">'比较法-住宅（高层）'!$B$116:$M$116</definedName>
    <definedName name="住宅建筑结构" localSheetId="26">'比较法-住宅（联排）'!$B$105:$M$105</definedName>
    <definedName name="住宅建筑结构" localSheetId="12">'[1]不动产比较法-住宅'!$B$105:$M$105</definedName>
    <definedName name="住宅建筑结构">'比较法-住宅（高层）'!$B$105:$M$105</definedName>
    <definedName name="住宅建筑类型" localSheetId="26">'比较法-住宅（联排）'!$B$100:$M$100</definedName>
    <definedName name="住宅建筑类型" localSheetId="12">'[1]不动产比较法-住宅'!$B$100:$M$100</definedName>
    <definedName name="住宅建筑类型">'比较法-住宅（高层）'!$B$100:$M$100</definedName>
    <definedName name="住宅建筑品质" localSheetId="26">'比较法-住宅（联排）'!$B$107:$M$107</definedName>
    <definedName name="住宅建筑品质" localSheetId="12">'[1]不动产比较法-住宅'!$B$107:$M$107</definedName>
    <definedName name="住宅建筑品质">'比较法-住宅（高层）'!$B$107:$M$107</definedName>
    <definedName name="住宅交易情况" localSheetId="26">'比较法-住宅（联排）'!$A$61:$M$61</definedName>
    <definedName name="住宅交易情况" localSheetId="12">'[1]不动产比较法-住宅'!$A$61:$M$61</definedName>
    <definedName name="住宅交易情况">'比较法-住宅（高层）'!$A$61:$M$61</definedName>
    <definedName name="住宅楼层" localSheetId="26">'比较法-住宅（联排）'!$B$86:$M$86</definedName>
    <definedName name="住宅楼层" localSheetId="12">'[1]不动产比较法-住宅'!$B$86:$M$86</definedName>
    <definedName name="住宅楼层">'比较法-住宅（高层）'!$B$86:$M$86</definedName>
    <definedName name="住宅内部装修" localSheetId="26">'比较法-住宅（联排）'!$B$122:$M$122</definedName>
    <definedName name="住宅内部装修" localSheetId="12">'[1]不动产比较法-住宅'!$B$122:$M$122</definedName>
    <definedName name="住宅内部装修">'比较法-住宅（高层）'!$B$122:$M$122</definedName>
    <definedName name="住宅物业管理" localSheetId="26">'比较法-住宅（联排）'!$B$114:$M$114</definedName>
    <definedName name="住宅物业管理" localSheetId="12">'[1]不动产比较法-住宅'!$B$114:$M$114</definedName>
    <definedName name="住宅物业管理">'比较法-住宅（高层）'!$B$114:$M$114</definedName>
    <definedName name="住宅用途" localSheetId="26">'比较法-住宅（联排）'!$B$63:$M$63</definedName>
    <definedName name="住宅用途" localSheetId="12">'[1]不动产比较法-住宅'!$B$63:$M$63</definedName>
    <definedName name="住宅用途">'比较法-住宅（高层）'!$B$63:$M$63</definedName>
    <definedName name="住宅主力户型面积" localSheetId="26">'比较法-住宅（联排）'!$B$120:$M$120</definedName>
    <definedName name="住宅主力户型面积">'比较法-住宅（高层）'!$B$120:$M$120</definedName>
    <definedName name="注册房地产估价师" localSheetId="12">[2]估价师及机构信息!$A$3:$A$24</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4" i="9" l="1"/>
  <c r="C19" i="9"/>
  <c r="M6" i="1"/>
  <c r="O6" i="1"/>
  <c r="P6" i="1"/>
  <c r="M7" i="1"/>
  <c r="O7" i="1"/>
  <c r="P7" i="1"/>
  <c r="M14" i="1"/>
  <c r="O14" i="1"/>
  <c r="P14" i="1"/>
  <c r="P16" i="1"/>
  <c r="C11" i="12"/>
  <c r="C12" i="12"/>
  <c r="C13" i="12"/>
  <c r="D14" i="12"/>
  <c r="M16" i="1"/>
  <c r="N16" i="1"/>
  <c r="B24" i="1"/>
  <c r="F11" i="12"/>
  <c r="C14" i="12"/>
  <c r="C15" i="12"/>
  <c r="C16" i="12"/>
  <c r="D17" i="12"/>
  <c r="C17" i="12"/>
  <c r="D19" i="12"/>
  <c r="C19" i="12"/>
  <c r="D20" i="12"/>
  <c r="C20" i="12"/>
  <c r="C18" i="12"/>
  <c r="C21" i="12"/>
  <c r="F22" i="12"/>
  <c r="C22" i="12"/>
  <c r="F23" i="12"/>
  <c r="C23" i="12"/>
  <c r="D6" i="73"/>
  <c r="B22" i="1"/>
  <c r="E1" i="73"/>
  <c r="K1" i="73"/>
  <c r="D5" i="73"/>
  <c r="G1" i="73"/>
  <c r="B40" i="1"/>
  <c r="F25" i="12"/>
  <c r="C27" i="12"/>
  <c r="C25" i="12"/>
  <c r="F28" i="12"/>
  <c r="C30" i="12"/>
  <c r="C28" i="12"/>
  <c r="C26" i="12"/>
  <c r="D25" i="12"/>
  <c r="C29" i="12"/>
  <c r="D28" i="12"/>
  <c r="C32" i="12"/>
  <c r="B2" i="12"/>
  <c r="D19" i="9"/>
  <c r="G19" i="9"/>
  <c r="J20" i="9"/>
  <c r="C40" i="9"/>
  <c r="E40" i="9"/>
  <c r="C38" i="9"/>
  <c r="C88" i="9"/>
  <c r="AE52" i="84"/>
  <c r="AE116" i="84"/>
  <c r="U5" i="84"/>
  <c r="N5" i="84"/>
  <c r="B40" i="9"/>
  <c r="O21" i="84"/>
  <c r="D40" i="9"/>
  <c r="D66" i="21"/>
  <c r="F10" i="21"/>
  <c r="AA10" i="21"/>
  <c r="D69" i="21"/>
  <c r="F11" i="21"/>
  <c r="AA11" i="21"/>
  <c r="R48" i="21"/>
  <c r="H10" i="21"/>
  <c r="AB10" i="21"/>
  <c r="H11" i="21"/>
  <c r="AB11" i="21"/>
  <c r="T48" i="21"/>
  <c r="J10" i="21"/>
  <c r="AC10" i="21"/>
  <c r="J11" i="21"/>
  <c r="AC11" i="21"/>
  <c r="V48" i="21"/>
  <c r="R49" i="21"/>
  <c r="C49" i="21"/>
  <c r="B3" i="21"/>
  <c r="F6" i="12"/>
  <c r="E6" i="12"/>
  <c r="B82" i="39"/>
  <c r="F12" i="39"/>
  <c r="AA12" i="39"/>
  <c r="B84" i="39"/>
  <c r="F13" i="39"/>
  <c r="AA13" i="39"/>
  <c r="B86" i="39"/>
  <c r="F14" i="39"/>
  <c r="AA14"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B71" i="39"/>
  <c r="D71" i="39"/>
  <c r="E71" i="39"/>
  <c r="F71" i="39"/>
  <c r="G71" i="39"/>
  <c r="H71" i="39"/>
  <c r="I71" i="39"/>
  <c r="J71" i="39"/>
  <c r="K71" i="39"/>
  <c r="L71" i="39"/>
  <c r="M71" i="39"/>
  <c r="N71" i="39"/>
  <c r="O71" i="39"/>
  <c r="F7" i="39"/>
  <c r="AA7" i="39"/>
  <c r="F8" i="39"/>
  <c r="AA8" i="39"/>
  <c r="F9" i="39"/>
  <c r="AA9" i="39"/>
  <c r="F11" i="39"/>
  <c r="AA11" i="39"/>
  <c r="D89" i="39"/>
  <c r="E89" i="39"/>
  <c r="F89" i="39"/>
  <c r="F15" i="39"/>
  <c r="AA15" i="39"/>
  <c r="D91" i="39"/>
  <c r="E91" i="39"/>
  <c r="F91" i="39"/>
  <c r="F17" i="39"/>
  <c r="AA17" i="39"/>
  <c r="F19" i="39"/>
  <c r="AA19" i="39"/>
  <c r="D95" i="39"/>
  <c r="E95" i="39"/>
  <c r="F21" i="39"/>
  <c r="AA21" i="39"/>
  <c r="D97" i="39"/>
  <c r="F23" i="39"/>
  <c r="AA23" i="39"/>
  <c r="D99" i="39"/>
  <c r="E99" i="39"/>
  <c r="F25" i="39"/>
  <c r="AA25" i="39"/>
  <c r="D101" i="39"/>
  <c r="E101" i="39"/>
  <c r="F27" i="39"/>
  <c r="AA27" i="39"/>
  <c r="D103" i="39"/>
  <c r="F29" i="39"/>
  <c r="AA29" i="39"/>
  <c r="B104" i="39"/>
  <c r="F31" i="39"/>
  <c r="AA31" i="39"/>
  <c r="F32" i="39"/>
  <c r="AA32" i="39"/>
  <c r="F34" i="39"/>
  <c r="AA34" i="39"/>
  <c r="B110" i="39"/>
  <c r="F35" i="39"/>
  <c r="AA35" i="39"/>
  <c r="B112" i="39"/>
  <c r="F36" i="39"/>
  <c r="AA36" i="39"/>
  <c r="B114" i="39"/>
  <c r="F37" i="39"/>
  <c r="AA37" i="39"/>
  <c r="F38" i="39"/>
  <c r="AA38" i="39"/>
  <c r="D120" i="39"/>
  <c r="F39" i="39"/>
  <c r="AA39" i="39"/>
  <c r="F40" i="39"/>
  <c r="AA40" i="39"/>
  <c r="D124" i="39"/>
  <c r="E124" i="39"/>
  <c r="F124" i="39"/>
  <c r="F41" i="39"/>
  <c r="AA41" i="39"/>
  <c r="F42" i="39"/>
  <c r="AA42" i="39"/>
  <c r="E43" i="39"/>
  <c r="C43" i="39"/>
  <c r="F43" i="39"/>
  <c r="AA43" i="39"/>
  <c r="B129" i="39"/>
  <c r="F44" i="39"/>
  <c r="AA44" i="39"/>
  <c r="B131" i="39"/>
  <c r="F45" i="39"/>
  <c r="AA45" i="39"/>
  <c r="H12" i="39"/>
  <c r="AB12" i="39"/>
  <c r="H13" i="39"/>
  <c r="AB13" i="39"/>
  <c r="H14" i="39"/>
  <c r="AB14" i="39"/>
  <c r="H7" i="39"/>
  <c r="AB7" i="39"/>
  <c r="H8" i="39"/>
  <c r="AB8" i="39"/>
  <c r="H9" i="39"/>
  <c r="AB9" i="39"/>
  <c r="D81" i="39"/>
  <c r="H11" i="39"/>
  <c r="AB11"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H38" i="39"/>
  <c r="AB38" i="39"/>
  <c r="H39" i="39"/>
  <c r="AB39" i="39"/>
  <c r="H40" i="39"/>
  <c r="AB40" i="39"/>
  <c r="H41" i="39"/>
  <c r="AB41" i="39"/>
  <c r="H42" i="39"/>
  <c r="AB42" i="39"/>
  <c r="G43" i="39"/>
  <c r="H43" i="39"/>
  <c r="AB43" i="39"/>
  <c r="H44" i="39"/>
  <c r="AB44" i="39"/>
  <c r="H45" i="39"/>
  <c r="AB45" i="39"/>
  <c r="J12" i="39"/>
  <c r="AC12" i="39"/>
  <c r="J13" i="39"/>
  <c r="AC13" i="39"/>
  <c r="J14" i="39"/>
  <c r="AC14" i="39"/>
  <c r="J7" i="39"/>
  <c r="AC7" i="39"/>
  <c r="J8" i="39"/>
  <c r="AC8" i="39"/>
  <c r="J9" i="39"/>
  <c r="AC9" i="39"/>
  <c r="J11" i="39"/>
  <c r="AC11"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8" i="39"/>
  <c r="AC38" i="39"/>
  <c r="J39" i="39"/>
  <c r="AC39" i="39"/>
  <c r="J40" i="39"/>
  <c r="AC40" i="39"/>
  <c r="J41" i="39"/>
  <c r="AC41" i="39"/>
  <c r="J42" i="39"/>
  <c r="AC42" i="39"/>
  <c r="I43" i="39"/>
  <c r="J43" i="39"/>
  <c r="AC43" i="39"/>
  <c r="J44" i="39"/>
  <c r="AC44" i="39"/>
  <c r="J45" i="39"/>
  <c r="AC45" i="39"/>
  <c r="C57" i="39"/>
  <c r="C58" i="39"/>
  <c r="C59" i="39"/>
  <c r="C60" i="39"/>
  <c r="C61" i="39"/>
  <c r="C62" i="39"/>
  <c r="C63" i="39"/>
  <c r="C64" i="39"/>
  <c r="C65" i="39"/>
  <c r="N8" i="1"/>
  <c r="O8" i="1"/>
  <c r="P8" i="1"/>
  <c r="N9" i="1"/>
  <c r="O9" i="1"/>
  <c r="P9" i="1"/>
  <c r="K10" i="1"/>
  <c r="M10" i="1"/>
  <c r="N10" i="1"/>
  <c r="O10" i="1"/>
  <c r="P10" i="1"/>
  <c r="K11" i="1"/>
  <c r="M11" i="1"/>
  <c r="N11" i="1"/>
  <c r="O11" i="1"/>
  <c r="P11" i="1"/>
  <c r="K12" i="1"/>
  <c r="M12" i="1"/>
  <c r="N12" i="1"/>
  <c r="O12" i="1"/>
  <c r="P12" i="1"/>
  <c r="K13" i="1"/>
  <c r="M13" i="1"/>
  <c r="N13" i="1"/>
  <c r="O13" i="1"/>
  <c r="P13" i="1"/>
  <c r="N14" i="1"/>
  <c r="E17" i="12"/>
  <c r="D6" i="12"/>
  <c r="D8" i="12"/>
  <c r="E8" i="12"/>
  <c r="D58" i="82"/>
  <c r="E58" i="82"/>
  <c r="F58" i="82"/>
  <c r="G58" i="82"/>
  <c r="H58" i="82"/>
  <c r="I58" i="82"/>
  <c r="J58" i="82"/>
  <c r="K58" i="82"/>
  <c r="L58" i="82"/>
  <c r="M58" i="82"/>
  <c r="N58" i="82"/>
  <c r="O58" i="82"/>
  <c r="F7" i="82"/>
  <c r="AA7" i="82"/>
  <c r="F8" i="82"/>
  <c r="AA8" i="82"/>
  <c r="F9" i="82"/>
  <c r="AA9" i="82"/>
  <c r="D66" i="82"/>
  <c r="F10" i="82"/>
  <c r="AA10" i="82"/>
  <c r="D69" i="82"/>
  <c r="E69" i="82"/>
  <c r="F11" i="82"/>
  <c r="AA11" i="82"/>
  <c r="F12" i="82"/>
  <c r="AA12" i="82"/>
  <c r="F13" i="82"/>
  <c r="AA13" i="82"/>
  <c r="F14" i="82"/>
  <c r="AA14" i="82"/>
  <c r="D77" i="82"/>
  <c r="E77" i="82"/>
  <c r="F77" i="82"/>
  <c r="F15" i="82"/>
  <c r="AA15" i="82"/>
  <c r="D79" i="82"/>
  <c r="E79" i="82"/>
  <c r="F17" i="82"/>
  <c r="AA17" i="82"/>
  <c r="D81" i="82"/>
  <c r="E81" i="82"/>
  <c r="F19" i="82"/>
  <c r="AA19" i="82"/>
  <c r="D83" i="82"/>
  <c r="F21" i="82"/>
  <c r="AA21" i="82"/>
  <c r="D85" i="82"/>
  <c r="E85" i="82"/>
  <c r="F23" i="82"/>
  <c r="AA23" i="82"/>
  <c r="F25" i="82"/>
  <c r="AA25" i="82"/>
  <c r="F26" i="82"/>
  <c r="AA26" i="82"/>
  <c r="F27" i="82"/>
  <c r="AA27" i="82"/>
  <c r="F28" i="82"/>
  <c r="AA28" i="82"/>
  <c r="F29" i="82"/>
  <c r="AA29" i="82"/>
  <c r="F30" i="82"/>
  <c r="AA30" i="82"/>
  <c r="F31" i="82"/>
  <c r="AA31" i="82"/>
  <c r="D101" i="82"/>
  <c r="E101" i="82"/>
  <c r="F32" i="82"/>
  <c r="AA32" i="82"/>
  <c r="F33" i="82"/>
  <c r="AA33" i="82"/>
  <c r="F34" i="82"/>
  <c r="AA34" i="82"/>
  <c r="F35" i="82"/>
  <c r="AA35" i="82"/>
  <c r="F36" i="82"/>
  <c r="AA36" i="82"/>
  <c r="D113" i="82"/>
  <c r="E113" i="82"/>
  <c r="F113" i="82"/>
  <c r="G113" i="82"/>
  <c r="F37" i="82"/>
  <c r="AA37" i="82"/>
  <c r="F38" i="82"/>
  <c r="AA38" i="82"/>
  <c r="F39" i="82"/>
  <c r="AA39" i="82"/>
  <c r="F40" i="82"/>
  <c r="AA40" i="82"/>
  <c r="F41" i="82"/>
  <c r="AA41" i="82"/>
  <c r="F42" i="82"/>
  <c r="AA42" i="82"/>
  <c r="D125" i="82"/>
  <c r="F43" i="82"/>
  <c r="AA43" i="82"/>
  <c r="F44" i="82"/>
  <c r="AA44" i="82"/>
  <c r="F45" i="82"/>
  <c r="AA45" i="82"/>
  <c r="F46" i="82"/>
  <c r="AA46" i="82"/>
  <c r="R48" i="82"/>
  <c r="H7" i="82"/>
  <c r="AB7" i="82"/>
  <c r="H8" i="82"/>
  <c r="AB8" i="82"/>
  <c r="H9" i="82"/>
  <c r="AB9" i="82"/>
  <c r="H10" i="82"/>
  <c r="AB10" i="82"/>
  <c r="H11" i="82"/>
  <c r="AB11" i="82"/>
  <c r="H12" i="82"/>
  <c r="AB12" i="82"/>
  <c r="H13" i="82"/>
  <c r="AB13" i="82"/>
  <c r="H14" i="82"/>
  <c r="AB14" i="82"/>
  <c r="H15" i="82"/>
  <c r="AB15" i="82"/>
  <c r="H17" i="82"/>
  <c r="AB17" i="82"/>
  <c r="H19" i="82"/>
  <c r="AB19" i="82"/>
  <c r="H21" i="82"/>
  <c r="AB21" i="82"/>
  <c r="H23" i="82"/>
  <c r="AB23" i="82"/>
  <c r="H25" i="82"/>
  <c r="AB25" i="82"/>
  <c r="H26" i="82"/>
  <c r="AB26" i="82"/>
  <c r="H27" i="82"/>
  <c r="AB27" i="82"/>
  <c r="H28" i="82"/>
  <c r="AB28" i="82"/>
  <c r="H29" i="82"/>
  <c r="AB29" i="82"/>
  <c r="H30" i="82"/>
  <c r="AB30" i="82"/>
  <c r="H31" i="82"/>
  <c r="AB31" i="82"/>
  <c r="F101" i="82"/>
  <c r="H32" i="82"/>
  <c r="AB32" i="82"/>
  <c r="H33" i="82"/>
  <c r="AB33" i="82"/>
  <c r="H34" i="82"/>
  <c r="AB34" i="82"/>
  <c r="H35" i="82"/>
  <c r="AB35" i="82"/>
  <c r="H36" i="82"/>
  <c r="AB36" i="82"/>
  <c r="H37" i="82"/>
  <c r="AB37" i="82"/>
  <c r="H38" i="82"/>
  <c r="AB38" i="82"/>
  <c r="H39" i="82"/>
  <c r="AB39" i="82"/>
  <c r="H40" i="82"/>
  <c r="AB40" i="82"/>
  <c r="H41" i="82"/>
  <c r="AB41" i="82"/>
  <c r="H42" i="82"/>
  <c r="AB42" i="82"/>
  <c r="H43" i="82"/>
  <c r="AB43" i="82"/>
  <c r="H44" i="82"/>
  <c r="AB44" i="82"/>
  <c r="H45" i="82"/>
  <c r="AB45" i="82"/>
  <c r="H46" i="82"/>
  <c r="AB46" i="82"/>
  <c r="T48" i="82"/>
  <c r="J7" i="82"/>
  <c r="AC7" i="82"/>
  <c r="J8" i="82"/>
  <c r="AC8" i="82"/>
  <c r="J9" i="82"/>
  <c r="AC9" i="82"/>
  <c r="J10" i="82"/>
  <c r="AC10" i="82"/>
  <c r="J11" i="82"/>
  <c r="AC11" i="82"/>
  <c r="J12" i="82"/>
  <c r="AC12" i="82"/>
  <c r="J13" i="82"/>
  <c r="AC13" i="82"/>
  <c r="J14" i="82"/>
  <c r="AC14" i="82"/>
  <c r="J15" i="82"/>
  <c r="AC15" i="82"/>
  <c r="J17" i="82"/>
  <c r="AC17" i="82"/>
  <c r="F81" i="82"/>
  <c r="J19" i="82"/>
  <c r="AC19" i="82"/>
  <c r="J21" i="82"/>
  <c r="AC21" i="82"/>
  <c r="J23" i="82"/>
  <c r="AC23" i="82"/>
  <c r="J25" i="82"/>
  <c r="AC25" i="82"/>
  <c r="J26" i="82"/>
  <c r="AC26" i="82"/>
  <c r="J27" i="82"/>
  <c r="AC27" i="82"/>
  <c r="J28" i="82"/>
  <c r="AC28" i="82"/>
  <c r="J29" i="82"/>
  <c r="AC29" i="82"/>
  <c r="J30" i="82"/>
  <c r="AC30" i="82"/>
  <c r="J31" i="82"/>
  <c r="AC31" i="82"/>
  <c r="J32" i="82"/>
  <c r="AC32" i="82"/>
  <c r="J33" i="82"/>
  <c r="AC33" i="82"/>
  <c r="J34" i="82"/>
  <c r="AC34" i="82"/>
  <c r="J35" i="82"/>
  <c r="AC35" i="82"/>
  <c r="J36" i="82"/>
  <c r="AC36" i="82"/>
  <c r="J37" i="82"/>
  <c r="AC37" i="82"/>
  <c r="J38" i="82"/>
  <c r="AC38" i="82"/>
  <c r="J39" i="82"/>
  <c r="AC39" i="82"/>
  <c r="J40" i="82"/>
  <c r="AC40" i="82"/>
  <c r="J41" i="82"/>
  <c r="AC41" i="82"/>
  <c r="J42" i="82"/>
  <c r="AC42" i="82"/>
  <c r="J43" i="82"/>
  <c r="AC43" i="82"/>
  <c r="J44" i="82"/>
  <c r="AC44" i="82"/>
  <c r="J45" i="82"/>
  <c r="AC45" i="82"/>
  <c r="J46" i="82"/>
  <c r="AC46" i="82"/>
  <c r="V48" i="82"/>
  <c r="R49" i="82"/>
  <c r="C49" i="82"/>
  <c r="B3" i="82"/>
  <c r="C6" i="12"/>
  <c r="C8" i="12"/>
  <c r="B2" i="21"/>
  <c r="F8" i="12"/>
  <c r="C4" i="12"/>
  <c r="Q16" i="1"/>
  <c r="C31" i="12"/>
  <c r="C11" i="39"/>
  <c r="C75" i="9"/>
  <c r="C11" i="21"/>
  <c r="C11" i="82"/>
  <c r="K22" i="1"/>
  <c r="AN13" i="3"/>
  <c r="AL13" i="3"/>
  <c r="AF13" i="3"/>
  <c r="AD13" i="3"/>
  <c r="O13" i="3"/>
  <c r="M13" i="3"/>
  <c r="K13" i="3"/>
  <c r="I13" i="3"/>
  <c r="L14" i="85"/>
  <c r="L17" i="85"/>
  <c r="L18" i="85"/>
  <c r="L21" i="85"/>
  <c r="L22" i="85"/>
  <c r="L24" i="85"/>
  <c r="L13" i="85"/>
  <c r="L25" i="85"/>
  <c r="L29" i="85"/>
  <c r="C14" i="85"/>
  <c r="F14" i="85"/>
  <c r="K14" i="85"/>
  <c r="C15" i="85"/>
  <c r="F15" i="85"/>
  <c r="K15" i="85"/>
  <c r="F16" i="85"/>
  <c r="K16" i="85"/>
  <c r="C17" i="85"/>
  <c r="F17" i="85"/>
  <c r="K17" i="85"/>
  <c r="C18" i="85"/>
  <c r="F18" i="85"/>
  <c r="K18" i="85"/>
  <c r="F19" i="85"/>
  <c r="K19" i="85"/>
  <c r="F20" i="85"/>
  <c r="K20" i="85"/>
  <c r="F21" i="85"/>
  <c r="K21" i="85"/>
  <c r="F22" i="85"/>
  <c r="K22" i="85"/>
  <c r="K13" i="85"/>
  <c r="K29" i="85"/>
  <c r="J14" i="85"/>
  <c r="J15" i="85"/>
  <c r="J16" i="85"/>
  <c r="J17" i="85"/>
  <c r="J18" i="85"/>
  <c r="J19" i="85"/>
  <c r="J20" i="85"/>
  <c r="J21" i="85"/>
  <c r="J22" i="85"/>
  <c r="J23" i="85"/>
  <c r="J13" i="85"/>
  <c r="J25" i="85"/>
  <c r="J29" i="85"/>
  <c r="G14" i="85"/>
  <c r="I14" i="85"/>
  <c r="G15" i="85"/>
  <c r="I15" i="85"/>
  <c r="G16" i="85"/>
  <c r="I16" i="85"/>
  <c r="G17" i="85"/>
  <c r="I17" i="85"/>
  <c r="G18" i="85"/>
  <c r="I18" i="85"/>
  <c r="G19" i="85"/>
  <c r="I19" i="85"/>
  <c r="G20" i="85"/>
  <c r="I20" i="85"/>
  <c r="G21" i="85"/>
  <c r="I21" i="85"/>
  <c r="G22" i="85"/>
  <c r="I22" i="85"/>
  <c r="F23" i="85"/>
  <c r="G23" i="85"/>
  <c r="I23" i="85"/>
  <c r="G24" i="85"/>
  <c r="I24" i="85"/>
  <c r="I13" i="85"/>
  <c r="C26" i="85"/>
  <c r="F26" i="85"/>
  <c r="G26" i="85"/>
  <c r="I26" i="85"/>
  <c r="C27" i="85"/>
  <c r="F27" i="85"/>
  <c r="G27" i="85"/>
  <c r="I27" i="85"/>
  <c r="F28" i="85"/>
  <c r="I28" i="85"/>
  <c r="I25" i="85"/>
  <c r="I29" i="85"/>
  <c r="H13" i="85"/>
  <c r="H25" i="85"/>
  <c r="H29" i="85"/>
  <c r="G13" i="85"/>
  <c r="G25" i="85"/>
  <c r="G29" i="85"/>
  <c r="F13" i="85"/>
  <c r="F25" i="85"/>
  <c r="F29" i="85"/>
  <c r="E14" i="85"/>
  <c r="E15" i="85"/>
  <c r="E16" i="85"/>
  <c r="E17" i="85"/>
  <c r="E18" i="85"/>
  <c r="E19" i="85"/>
  <c r="E20" i="85"/>
  <c r="E21" i="85"/>
  <c r="E22" i="85"/>
  <c r="E23" i="85"/>
  <c r="C24" i="85"/>
  <c r="D24" i="85"/>
  <c r="E24" i="85"/>
  <c r="E13" i="85"/>
  <c r="E26" i="85"/>
  <c r="E27" i="85"/>
  <c r="E28" i="85"/>
  <c r="E25" i="85"/>
  <c r="E29" i="85"/>
  <c r="D13" i="85"/>
  <c r="D25" i="85"/>
  <c r="D29" i="85"/>
  <c r="C13" i="85"/>
  <c r="C25" i="85"/>
  <c r="C29" i="85"/>
  <c r="N18" i="85"/>
  <c r="N17" i="85"/>
  <c r="N16" i="85"/>
  <c r="N15" i="85"/>
  <c r="N14" i="85"/>
  <c r="D3" i="85"/>
  <c r="D8" i="85"/>
  <c r="D7" i="85"/>
  <c r="D6" i="85"/>
  <c r="D5" i="85"/>
  <c r="D4" i="85"/>
  <c r="A3" i="3"/>
  <c r="AI52" i="84"/>
  <c r="AI101" i="84"/>
  <c r="AI115" i="84"/>
  <c r="AI116" i="84"/>
  <c r="AH101" i="84"/>
  <c r="AH115" i="84"/>
  <c r="AH116" i="84"/>
  <c r="AG52" i="84"/>
  <c r="AG101" i="84"/>
  <c r="AG115" i="84"/>
  <c r="AG116" i="84"/>
  <c r="AF52" i="84"/>
  <c r="AF101" i="84"/>
  <c r="AF115" i="84"/>
  <c r="AF116" i="84"/>
  <c r="AE101" i="84"/>
  <c r="AE115" i="84"/>
  <c r="AD52" i="84"/>
  <c r="AD101" i="84"/>
  <c r="AD115" i="84"/>
  <c r="AD116" i="84"/>
  <c r="AC52" i="84"/>
  <c r="AC101" i="84"/>
  <c r="AC115" i="84"/>
  <c r="AC116" i="84"/>
  <c r="AB4" i="84"/>
  <c r="AB5" i="84"/>
  <c r="AB6" i="84"/>
  <c r="AB7" i="84"/>
  <c r="AB8" i="84"/>
  <c r="AB9" i="84"/>
  <c r="AB10" i="84"/>
  <c r="AB11" i="84"/>
  <c r="AB12" i="84"/>
  <c r="AB13" i="84"/>
  <c r="AB14" i="84"/>
  <c r="AB15" i="84"/>
  <c r="AB16" i="84"/>
  <c r="AB17" i="84"/>
  <c r="AB18" i="84"/>
  <c r="AB19" i="84"/>
  <c r="AB20" i="84"/>
  <c r="AB21" i="84"/>
  <c r="AB22" i="84"/>
  <c r="AB23" i="84"/>
  <c r="AB24" i="84"/>
  <c r="AB25" i="84"/>
  <c r="AB26" i="84"/>
  <c r="AB27" i="84"/>
  <c r="AB28" i="84"/>
  <c r="AB29" i="84"/>
  <c r="AB30" i="84"/>
  <c r="AB31" i="84"/>
  <c r="AB32" i="84"/>
  <c r="AB33" i="84"/>
  <c r="AB34" i="84"/>
  <c r="AB35" i="84"/>
  <c r="AB36" i="84"/>
  <c r="AB37" i="84"/>
  <c r="AB38" i="84"/>
  <c r="AB39" i="84"/>
  <c r="AB40" i="84"/>
  <c r="AB41" i="84"/>
  <c r="AB42" i="84"/>
  <c r="AB43" i="84"/>
  <c r="AB44" i="84"/>
  <c r="AB45" i="84"/>
  <c r="AB46" i="84"/>
  <c r="AB47" i="84"/>
  <c r="AB48" i="84"/>
  <c r="AB49" i="84"/>
  <c r="AB50" i="84"/>
  <c r="AB51" i="84"/>
  <c r="AB52" i="84"/>
  <c r="AB53" i="84"/>
  <c r="AB54" i="84"/>
  <c r="AB55" i="84"/>
  <c r="AB56" i="84"/>
  <c r="AB57" i="84"/>
  <c r="AB58" i="84"/>
  <c r="AB59" i="84"/>
  <c r="AB60" i="84"/>
  <c r="AB61" i="84"/>
  <c r="AB62" i="84"/>
  <c r="AB63" i="84"/>
  <c r="AB64" i="84"/>
  <c r="AB65" i="84"/>
  <c r="AB66" i="84"/>
  <c r="AB67" i="84"/>
  <c r="AB68" i="84"/>
  <c r="AB69" i="84"/>
  <c r="AB70" i="84"/>
  <c r="AB71" i="84"/>
  <c r="AB72" i="84"/>
  <c r="AB73" i="84"/>
  <c r="AB74" i="84"/>
  <c r="AB75" i="84"/>
  <c r="AB76" i="84"/>
  <c r="AB77" i="84"/>
  <c r="AB78" i="84"/>
  <c r="AB79" i="84"/>
  <c r="AB80" i="84"/>
  <c r="AB81" i="84"/>
  <c r="AB82" i="84"/>
  <c r="AB83" i="84"/>
  <c r="AB84" i="84"/>
  <c r="AB85" i="84"/>
  <c r="AB86" i="84"/>
  <c r="AB87" i="84"/>
  <c r="AB88" i="84"/>
  <c r="AB89" i="84"/>
  <c r="AB90" i="84"/>
  <c r="AB91" i="84"/>
  <c r="AB92" i="84"/>
  <c r="AB93" i="84"/>
  <c r="AB94" i="84"/>
  <c r="AB95" i="84"/>
  <c r="AB96" i="84"/>
  <c r="AB97" i="84"/>
  <c r="AB98" i="84"/>
  <c r="AB99" i="84"/>
  <c r="AB100" i="84"/>
  <c r="AB101" i="84"/>
  <c r="AB102" i="84"/>
  <c r="AB103" i="84"/>
  <c r="AB104" i="84"/>
  <c r="AB105" i="84"/>
  <c r="AB106" i="84"/>
  <c r="AB107" i="84"/>
  <c r="AB108" i="84"/>
  <c r="AB109" i="84"/>
  <c r="AB110" i="84"/>
  <c r="AB111" i="84"/>
  <c r="AB112" i="84"/>
  <c r="AB113" i="84"/>
  <c r="AB114" i="84"/>
  <c r="AB115" i="84"/>
  <c r="AB116" i="84"/>
  <c r="O17" i="84"/>
  <c r="O20" i="84"/>
  <c r="R4" i="84"/>
  <c r="T29" i="84"/>
  <c r="O19" i="84"/>
  <c r="S4" i="84"/>
  <c r="U29" i="84"/>
  <c r="P34" i="84"/>
  <c r="P8" i="84"/>
  <c r="P13" i="84"/>
  <c r="P9" i="84"/>
  <c r="P11" i="84"/>
  <c r="P14" i="84"/>
  <c r="P15" i="84"/>
  <c r="R28" i="84"/>
  <c r="R8" i="84"/>
  <c r="R13" i="84"/>
  <c r="R9" i="84"/>
  <c r="R11" i="84"/>
  <c r="R14" i="84"/>
  <c r="R15" i="84"/>
  <c r="T28" i="84"/>
  <c r="S13" i="84"/>
  <c r="S10" i="84"/>
  <c r="S11" i="84"/>
  <c r="S14" i="84"/>
  <c r="S15" i="84"/>
  <c r="U28" i="84"/>
  <c r="P33" i="84"/>
  <c r="U9" i="84"/>
  <c r="U10" i="84"/>
  <c r="U11" i="84"/>
  <c r="U14" i="84"/>
  <c r="U15" i="84"/>
  <c r="V28" i="84"/>
  <c r="V30" i="84"/>
  <c r="U30" i="84"/>
  <c r="T30" i="84"/>
  <c r="Q13" i="84"/>
  <c r="Q9" i="84"/>
  <c r="Q11" i="84"/>
  <c r="Q14" i="84"/>
  <c r="Q15" i="84"/>
  <c r="S28" i="84"/>
  <c r="S30" i="84"/>
  <c r="R30" i="84"/>
  <c r="Q28" i="84"/>
  <c r="Q29" i="84"/>
  <c r="Q30" i="84"/>
  <c r="P28" i="84"/>
  <c r="P30" i="84"/>
  <c r="O18" i="84"/>
  <c r="N21" i="84"/>
  <c r="M21" i="84"/>
  <c r="O8" i="84"/>
  <c r="S17" i="84"/>
  <c r="V9" i="84"/>
  <c r="O9" i="84"/>
  <c r="S18" i="84"/>
  <c r="V10" i="84"/>
  <c r="O10" i="84"/>
  <c r="S19" i="84"/>
  <c r="U19" i="84"/>
  <c r="U20" i="84"/>
  <c r="W19" i="84"/>
  <c r="R19" i="84"/>
  <c r="R18" i="84"/>
  <c r="R17" i="84"/>
  <c r="W15" i="84"/>
  <c r="V15" i="84"/>
  <c r="T13" i="84"/>
  <c r="T11" i="84"/>
  <c r="T14" i="84"/>
  <c r="T15" i="84"/>
  <c r="O13" i="84"/>
  <c r="O14" i="84"/>
  <c r="O15" i="84"/>
  <c r="H11" i="84"/>
  <c r="H13" i="84"/>
  <c r="V11" i="84"/>
  <c r="O11" i="84"/>
  <c r="N11" i="84"/>
  <c r="Q5" i="84"/>
  <c r="V5" i="84"/>
  <c r="P5" i="84"/>
  <c r="R5" i="84"/>
  <c r="S5" i="84"/>
  <c r="R7" i="84"/>
  <c r="V6" i="84"/>
  <c r="U6" i="84"/>
  <c r="T6" i="84"/>
  <c r="S6" i="84"/>
  <c r="R6" i="84"/>
  <c r="Q6" i="84"/>
  <c r="P6" i="84"/>
  <c r="O4" i="84"/>
  <c r="O5" i="84"/>
  <c r="O6" i="84"/>
  <c r="N4" i="84"/>
  <c r="N6" i="84"/>
  <c r="M6" i="84"/>
  <c r="M5" i="84"/>
  <c r="M4" i="84"/>
  <c r="F19" i="6"/>
  <c r="E19" i="6"/>
  <c r="C7" i="12"/>
  <c r="F20" i="6"/>
  <c r="E20" i="6"/>
  <c r="D7" i="12"/>
  <c r="F21" i="6"/>
  <c r="E21" i="6"/>
  <c r="E7" i="12"/>
  <c r="F22" i="6"/>
  <c r="E22" i="6"/>
  <c r="F7" i="12"/>
  <c r="G23" i="6"/>
  <c r="N7" i="1"/>
  <c r="K29" i="39"/>
  <c r="K27" i="39"/>
  <c r="K23" i="39"/>
  <c r="K21" i="39"/>
  <c r="K17" i="39"/>
  <c r="A6" i="1"/>
  <c r="A7" i="1"/>
  <c r="A8"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30" i="9"/>
  <c r="C38" i="39"/>
  <c r="D13" i="4"/>
  <c r="C11" i="4"/>
  <c r="A9" i="1"/>
  <c r="A10" i="1"/>
  <c r="E23" i="6"/>
  <c r="BB13" i="3"/>
  <c r="BE13" i="3"/>
  <c r="BF13" i="3"/>
  <c r="BM13" i="3"/>
  <c r="BN13" i="3"/>
  <c r="BO13" i="3"/>
  <c r="BP13" i="3"/>
  <c r="BQ13" i="3"/>
  <c r="BR13" i="3"/>
  <c r="BS13" i="3"/>
  <c r="BT13" i="3"/>
  <c r="BL13" i="3"/>
  <c r="BM14" i="3"/>
  <c r="BN14" i="3"/>
  <c r="BO14" i="3"/>
  <c r="BP14" i="3"/>
  <c r="BQ14" i="3"/>
  <c r="BR14" i="3"/>
  <c r="BS14" i="3"/>
  <c r="BT14" i="3"/>
  <c r="BL14" i="3"/>
  <c r="BB14" i="3"/>
  <c r="BC14" i="3"/>
  <c r="BD14" i="3"/>
  <c r="BE14" i="3"/>
  <c r="BF14" i="3"/>
  <c r="BG14" i="3"/>
  <c r="BH14" i="3"/>
  <c r="BI14" i="3"/>
  <c r="BJ14" i="3"/>
  <c r="BK14" i="3"/>
  <c r="BA14" i="3"/>
  <c r="AZ14" i="3"/>
  <c r="BM15" i="3"/>
  <c r="BN15" i="3"/>
  <c r="BO15" i="3"/>
  <c r="BP15" i="3"/>
  <c r="BQ15" i="3"/>
  <c r="BR15" i="3"/>
  <c r="BS15" i="3"/>
  <c r="BT15" i="3"/>
  <c r="BL15" i="3"/>
  <c r="BB15" i="3"/>
  <c r="BC15" i="3"/>
  <c r="BD15" i="3"/>
  <c r="BE15" i="3"/>
  <c r="BF15" i="3"/>
  <c r="BG15" i="3"/>
  <c r="BH15" i="3"/>
  <c r="BI15" i="3"/>
  <c r="BJ15" i="3"/>
  <c r="BK15" i="3"/>
  <c r="BA15" i="3"/>
  <c r="AZ15" i="3"/>
  <c r="BM16" i="3"/>
  <c r="BN16" i="3"/>
  <c r="BO16" i="3"/>
  <c r="BP16" i="3"/>
  <c r="BQ16" i="3"/>
  <c r="BR16" i="3"/>
  <c r="BS16" i="3"/>
  <c r="BT16" i="3"/>
  <c r="BL16" i="3"/>
  <c r="BB16" i="3"/>
  <c r="BC16" i="3"/>
  <c r="BD16" i="3"/>
  <c r="BE16" i="3"/>
  <c r="BF16" i="3"/>
  <c r="BG16" i="3"/>
  <c r="BH16" i="3"/>
  <c r="BI16" i="3"/>
  <c r="BJ16" i="3"/>
  <c r="BK16" i="3"/>
  <c r="BA16" i="3"/>
  <c r="AZ16" i="3"/>
  <c r="BM17" i="3"/>
  <c r="BN17" i="3"/>
  <c r="BO17" i="3"/>
  <c r="BP17" i="3"/>
  <c r="BQ17" i="3"/>
  <c r="BR17" i="3"/>
  <c r="BS17" i="3"/>
  <c r="BT17" i="3"/>
  <c r="BL17" i="3"/>
  <c r="BB17" i="3"/>
  <c r="BC17" i="3"/>
  <c r="BD17" i="3"/>
  <c r="BE17" i="3"/>
  <c r="BF17" i="3"/>
  <c r="BG17" i="3"/>
  <c r="BH17" i="3"/>
  <c r="BI17" i="3"/>
  <c r="BJ17" i="3"/>
  <c r="BK17" i="3"/>
  <c r="BA17" i="3"/>
  <c r="AZ17" i="3"/>
  <c r="BM18" i="3"/>
  <c r="BN18" i="3"/>
  <c r="BO18" i="3"/>
  <c r="BP18" i="3"/>
  <c r="BQ18" i="3"/>
  <c r="BR18" i="3"/>
  <c r="BS18" i="3"/>
  <c r="BT18" i="3"/>
  <c r="BL18" i="3"/>
  <c r="BB18" i="3"/>
  <c r="BC18" i="3"/>
  <c r="BD18" i="3"/>
  <c r="BE18" i="3"/>
  <c r="BF18" i="3"/>
  <c r="BG18" i="3"/>
  <c r="BH18" i="3"/>
  <c r="BI18" i="3"/>
  <c r="BJ18" i="3"/>
  <c r="BK18" i="3"/>
  <c r="BA18" i="3"/>
  <c r="AZ18" i="3"/>
  <c r="BM19" i="3"/>
  <c r="BN19" i="3"/>
  <c r="BO19" i="3"/>
  <c r="BP19" i="3"/>
  <c r="BQ19" i="3"/>
  <c r="BR19" i="3"/>
  <c r="BS19" i="3"/>
  <c r="BT19" i="3"/>
  <c r="BL19" i="3"/>
  <c r="BB19" i="3"/>
  <c r="BC19" i="3"/>
  <c r="BD19" i="3"/>
  <c r="BE19" i="3"/>
  <c r="BF19" i="3"/>
  <c r="BG19" i="3"/>
  <c r="BH19" i="3"/>
  <c r="BI19" i="3"/>
  <c r="BJ19" i="3"/>
  <c r="BK19" i="3"/>
  <c r="BA19" i="3"/>
  <c r="AZ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L22" i="6"/>
  <c r="L19" i="6"/>
  <c r="L21" i="6"/>
  <c r="L23" i="6"/>
  <c r="BB5" i="3"/>
  <c r="BC13" i="3"/>
  <c r="BC5" i="3"/>
  <c r="BD13" i="3"/>
  <c r="BD5" i="3"/>
  <c r="BE5" i="3"/>
  <c r="E8" i="6"/>
  <c r="F27" i="6"/>
  <c r="BA13" i="3"/>
  <c r="BA5" i="3"/>
  <c r="E27" i="6"/>
  <c r="K22" i="6"/>
  <c r="M22" i="6"/>
  <c r="I22" i="6"/>
  <c r="AZ13" i="3"/>
  <c r="AZ5" i="3"/>
  <c r="AY6" i="3"/>
  <c r="D3" i="6"/>
  <c r="E3" i="6"/>
  <c r="H22" i="6"/>
  <c r="D22" i="6"/>
  <c r="R22" i="6"/>
  <c r="R9" i="1"/>
  <c r="D3" i="82"/>
  <c r="R47" i="82"/>
  <c r="D3" i="4"/>
  <c r="B2" i="1"/>
  <c r="C7" i="82"/>
  <c r="C58" i="82"/>
  <c r="C63" i="82"/>
  <c r="B70" i="82"/>
  <c r="B72" i="82"/>
  <c r="B74" i="82"/>
  <c r="B90" i="82"/>
  <c r="B92" i="82"/>
  <c r="B94" i="82"/>
  <c r="B96" i="82"/>
  <c r="B98" i="82"/>
  <c r="B126" i="82"/>
  <c r="B128" i="82"/>
  <c r="B130" i="82"/>
  <c r="T47" i="82"/>
  <c r="G7" i="82"/>
  <c r="V47" i="82"/>
  <c r="I7" i="82"/>
  <c r="B2" i="82"/>
  <c r="R47" i="21"/>
  <c r="C7" i="21"/>
  <c r="C58" i="21"/>
  <c r="D58" i="21"/>
  <c r="E58" i="21"/>
  <c r="F58" i="21"/>
  <c r="G58" i="21"/>
  <c r="H58" i="21"/>
  <c r="I58" i="21"/>
  <c r="J58" i="21"/>
  <c r="K58" i="21"/>
  <c r="L58" i="21"/>
  <c r="M58" i="21"/>
  <c r="N58" i="21"/>
  <c r="O58" i="21"/>
  <c r="F7" i="21"/>
  <c r="AA7" i="21"/>
  <c r="F8" i="21"/>
  <c r="AA8" i="21"/>
  <c r="C63" i="21"/>
  <c r="F9" i="21"/>
  <c r="AA9"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42" i="21"/>
  <c r="AA42" i="21"/>
  <c r="D125" i="21"/>
  <c r="F43" i="21"/>
  <c r="AA43" i="21"/>
  <c r="B126" i="21"/>
  <c r="F44" i="21"/>
  <c r="AA44" i="21"/>
  <c r="B128" i="21"/>
  <c r="F45" i="21"/>
  <c r="AA45" i="21"/>
  <c r="B130" i="21"/>
  <c r="F46" i="21"/>
  <c r="AA46" i="21"/>
  <c r="T47" i="21"/>
  <c r="G7" i="21"/>
  <c r="H7" i="21"/>
  <c r="AB7" i="21"/>
  <c r="H8" i="21"/>
  <c r="AB8" i="21"/>
  <c r="H9" i="21"/>
  <c r="AB9"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I7" i="21"/>
  <c r="J7" i="21"/>
  <c r="AC7" i="21"/>
  <c r="J8" i="21"/>
  <c r="AC8" i="21"/>
  <c r="J9" i="21"/>
  <c r="AC9"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A11" i="1"/>
  <c r="R11" i="1"/>
  <c r="F23" i="15"/>
  <c r="F21" i="15"/>
  <c r="AE11" i="1"/>
  <c r="F10" i="1"/>
  <c r="M47" i="15"/>
  <c r="F23" i="78"/>
  <c r="F21" i="78"/>
  <c r="D15" i="4"/>
  <c r="F9" i="1"/>
  <c r="M47" i="78"/>
  <c r="J140" i="82"/>
  <c r="C145" i="82"/>
  <c r="K139" i="82"/>
  <c r="K145" i="82"/>
  <c r="K144" i="82"/>
  <c r="K143" i="82"/>
  <c r="J142" i="82"/>
  <c r="K141" i="82"/>
  <c r="E125" i="82"/>
  <c r="F125" i="82"/>
  <c r="G125" i="82"/>
  <c r="D123" i="82"/>
  <c r="E123" i="82"/>
  <c r="F123"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H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G101" i="82"/>
  <c r="H101" i="82"/>
  <c r="I101" i="82"/>
  <c r="J101" i="82"/>
  <c r="K101" i="82"/>
  <c r="L101" i="82"/>
  <c r="M101" i="82"/>
  <c r="D89" i="82"/>
  <c r="E89" i="82"/>
  <c r="F89" i="82"/>
  <c r="G89" i="82"/>
  <c r="H89" i="82"/>
  <c r="I89" i="82"/>
  <c r="J89" i="82"/>
  <c r="K89" i="82"/>
  <c r="L89" i="82"/>
  <c r="M89" i="82"/>
  <c r="M87" i="82"/>
  <c r="L87" i="82"/>
  <c r="K87" i="82"/>
  <c r="J87" i="82"/>
  <c r="I87" i="82"/>
  <c r="H87" i="82"/>
  <c r="G87" i="82"/>
  <c r="F87" i="82"/>
  <c r="E87" i="82"/>
  <c r="D87" i="82"/>
  <c r="F85" i="82"/>
  <c r="G85" i="82"/>
  <c r="E83" i="82"/>
  <c r="F83" i="82"/>
  <c r="G83" i="82"/>
  <c r="G81" i="82"/>
  <c r="F79" i="82"/>
  <c r="G79" i="82"/>
  <c r="G77" i="82"/>
  <c r="F69" i="82"/>
  <c r="G69" i="82"/>
  <c r="H69" i="82"/>
  <c r="I69" i="82"/>
  <c r="J69" i="82"/>
  <c r="K69" i="82"/>
  <c r="L69" i="82"/>
  <c r="M69" i="82"/>
  <c r="M67" i="82"/>
  <c r="L67" i="82"/>
  <c r="K67" i="82"/>
  <c r="J67" i="82"/>
  <c r="I67" i="82"/>
  <c r="H67" i="82"/>
  <c r="G67" i="82"/>
  <c r="F67" i="82"/>
  <c r="E67" i="82"/>
  <c r="D67" i="82"/>
  <c r="C67" i="82"/>
  <c r="E66" i="82"/>
  <c r="F66" i="82"/>
  <c r="G66" i="82"/>
  <c r="H66" i="82"/>
  <c r="I66" i="82"/>
  <c r="I54" i="82"/>
  <c r="J54" i="82"/>
  <c r="G54" i="82"/>
  <c r="H54" i="82"/>
  <c r="E54" i="82"/>
  <c r="F54" i="82"/>
  <c r="I48" i="82"/>
  <c r="E48" i="82"/>
  <c r="I53" i="82"/>
  <c r="J53" i="82"/>
  <c r="G48" i="82"/>
  <c r="G53" i="82"/>
  <c r="H53" i="82"/>
  <c r="E53" i="82"/>
  <c r="F53" i="82"/>
  <c r="I52" i="82"/>
  <c r="J52" i="82"/>
  <c r="G52" i="82"/>
  <c r="H52" i="82"/>
  <c r="E52" i="82"/>
  <c r="F52" i="82"/>
  <c r="P49" i="82"/>
  <c r="P48" i="82"/>
  <c r="C48" i="82"/>
  <c r="P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I46" i="39"/>
  <c r="G46" i="39"/>
  <c r="E46" i="39"/>
  <c r="I38" i="39"/>
  <c r="G38" i="39"/>
  <c r="E38" i="39"/>
  <c r="E75" i="39"/>
  <c r="D75" i="39"/>
  <c r="I7" i="39"/>
  <c r="G7" i="39"/>
  <c r="E7" i="39"/>
  <c r="I6" i="39"/>
  <c r="I5" i="39"/>
  <c r="G6" i="39"/>
  <c r="G5" i="39"/>
  <c r="E6" i="39"/>
  <c r="E5" i="39"/>
  <c r="C75" i="39"/>
  <c r="F15" i="78"/>
  <c r="F17" i="78"/>
  <c r="F18" i="78"/>
  <c r="F20" i="78"/>
  <c r="B43" i="1"/>
  <c r="B41" i="1"/>
  <c r="F28" i="78"/>
  <c r="C42" i="1"/>
  <c r="C28" i="78"/>
  <c r="F32" i="78"/>
  <c r="F33" i="78"/>
  <c r="B52" i="1"/>
  <c r="F34" i="78"/>
  <c r="J50" i="78"/>
  <c r="J51" i="78"/>
  <c r="K59" i="78"/>
  <c r="P74" i="78"/>
  <c r="Q72" i="78"/>
  <c r="F60" i="78"/>
  <c r="F61" i="78"/>
  <c r="F62" i="78"/>
  <c r="P61" i="78"/>
  <c r="Q59" i="78"/>
  <c r="F59" i="78"/>
  <c r="Q58" i="78"/>
  <c r="Q51" i="78"/>
  <c r="D46" i="78"/>
  <c r="F31" i="78"/>
  <c r="M18" i="78"/>
  <c r="M19" i="78"/>
  <c r="M20" i="78"/>
  <c r="D24" i="78"/>
  <c r="D23" i="78"/>
  <c r="D22" i="78"/>
  <c r="M17" i="78"/>
  <c r="B7" i="4"/>
  <c r="B5" i="4"/>
  <c r="AH5" i="71"/>
  <c r="AG5" i="71"/>
  <c r="AE5" i="71"/>
  <c r="AF5" i="71"/>
  <c r="AD5" i="71"/>
  <c r="Q5" i="71"/>
  <c r="Q6" i="71"/>
  <c r="Q7" i="71"/>
  <c r="P5" i="71"/>
  <c r="P6" i="71"/>
  <c r="P7" i="71"/>
  <c r="O5" i="71"/>
  <c r="O6" i="71"/>
  <c r="O7" i="71"/>
  <c r="N5" i="71"/>
  <c r="N6" i="71"/>
  <c r="N7" i="71"/>
  <c r="N8" i="71"/>
  <c r="N9" i="71"/>
  <c r="N10" i="71"/>
  <c r="N11" i="71"/>
  <c r="N12" i="71"/>
  <c r="N13" i="71"/>
  <c r="N14" i="71"/>
  <c r="N15" i="71"/>
  <c r="N16" i="71"/>
  <c r="N17" i="71"/>
  <c r="N18" i="71"/>
  <c r="N19" i="71"/>
  <c r="N20" i="71"/>
  <c r="N21" i="71"/>
  <c r="N22" i="71"/>
  <c r="N23" i="71"/>
  <c r="N24" i="71"/>
  <c r="N25" i="71"/>
  <c r="N26" i="71"/>
  <c r="N27" i="71"/>
  <c r="X5" i="71"/>
  <c r="Q12" i="71"/>
  <c r="F12" i="71"/>
  <c r="Q11" i="71"/>
  <c r="F11" i="71"/>
  <c r="Q10" i="71"/>
  <c r="F10" i="71"/>
  <c r="Q9" i="71"/>
  <c r="F9" i="71"/>
  <c r="Q8" i="71"/>
  <c r="F8" i="71"/>
  <c r="F7" i="71"/>
  <c r="F6" i="71"/>
  <c r="F5" i="71"/>
  <c r="P12" i="71"/>
  <c r="E12" i="71"/>
  <c r="P11" i="71"/>
  <c r="E11" i="71"/>
  <c r="P10" i="71"/>
  <c r="E10" i="71"/>
  <c r="P9" i="71"/>
  <c r="E9" i="71"/>
  <c r="P8" i="71"/>
  <c r="E8" i="71"/>
  <c r="E7" i="71"/>
  <c r="E6" i="71"/>
  <c r="E5" i="71"/>
  <c r="O12" i="71"/>
  <c r="C12" i="71"/>
  <c r="O11" i="71"/>
  <c r="C11" i="71"/>
  <c r="O10" i="71"/>
  <c r="C10" i="71"/>
  <c r="O9" i="71"/>
  <c r="C9" i="71"/>
  <c r="O8" i="71"/>
  <c r="C8" i="71"/>
  <c r="C7" i="71"/>
  <c r="C6" i="71"/>
  <c r="C5" i="71"/>
  <c r="D5" i="71"/>
  <c r="B12" i="71"/>
  <c r="B11" i="71"/>
  <c r="B10" i="71"/>
  <c r="B9" i="71"/>
  <c r="B8" i="71"/>
  <c r="B7" i="71"/>
  <c r="B6" i="71"/>
  <c r="B5" i="71"/>
  <c r="F6" i="1"/>
  <c r="D6" i="1"/>
  <c r="G6" i="1"/>
  <c r="F11" i="1"/>
  <c r="J50" i="67"/>
  <c r="J51" i="67"/>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Q13" i="71"/>
  <c r="Q14" i="71"/>
  <c r="Q15" i="71"/>
  <c r="Q16" i="71"/>
  <c r="Q17" i="71"/>
  <c r="Q18" i="71"/>
  <c r="Q19" i="71"/>
  <c r="Q20" i="71"/>
  <c r="Q21" i="71"/>
  <c r="Q22" i="71"/>
  <c r="Q23" i="71"/>
  <c r="Q24" i="71"/>
  <c r="Q25" i="71"/>
  <c r="Q26" i="71"/>
  <c r="Q27" i="71"/>
  <c r="AB6" i="71"/>
  <c r="P13" i="71"/>
  <c r="P14" i="71"/>
  <c r="P15" i="71"/>
  <c r="P16" i="71"/>
  <c r="P17" i="71"/>
  <c r="P18" i="71"/>
  <c r="P19" i="71"/>
  <c r="P20" i="71"/>
  <c r="P21" i="71"/>
  <c r="P22" i="71"/>
  <c r="P23" i="71"/>
  <c r="P24" i="71"/>
  <c r="P25" i="71"/>
  <c r="P26" i="71"/>
  <c r="P27" i="71"/>
  <c r="AA6" i="71"/>
  <c r="O13" i="71"/>
  <c r="O14" i="71"/>
  <c r="O15" i="71"/>
  <c r="O16" i="71"/>
  <c r="O17" i="71"/>
  <c r="O18" i="71"/>
  <c r="O19" i="71"/>
  <c r="O20" i="71"/>
  <c r="O21" i="71"/>
  <c r="O22" i="71"/>
  <c r="O23" i="71"/>
  <c r="O24" i="71"/>
  <c r="O25" i="71"/>
  <c r="O26" i="71"/>
  <c r="O27"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G13" i="3"/>
  <c r="BH13" i="3"/>
  <c r="BI13" i="3"/>
  <c r="BJ13" i="3"/>
  <c r="BK13" i="3"/>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K9" i="1"/>
  <c r="AP9" i="1"/>
  <c r="AP10" i="1"/>
  <c r="AP11" i="1"/>
  <c r="AP12" i="1"/>
  <c r="AP13" i="1"/>
  <c r="L24" i="6"/>
  <c r="L25" i="6"/>
  <c r="L26" i="6"/>
  <c r="P27" i="6"/>
  <c r="A7" i="70"/>
  <c r="A8" i="70"/>
  <c r="E8" i="70"/>
  <c r="A9" i="70"/>
  <c r="A10" i="70"/>
  <c r="A11" i="70"/>
  <c r="E11" i="70"/>
  <c r="A12" i="70"/>
  <c r="E12" i="70"/>
  <c r="A13" i="70"/>
  <c r="E13" i="70"/>
  <c r="A6" i="70"/>
  <c r="Q25" i="40"/>
  <c r="Z25" i="40"/>
  <c r="D94" i="40"/>
  <c r="E94" i="40"/>
  <c r="F25" i="40"/>
  <c r="AA25" i="40"/>
  <c r="Q29" i="39"/>
  <c r="Z29" i="39"/>
  <c r="E103" i="39"/>
  <c r="F103" i="39"/>
  <c r="G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F81" i="21"/>
  <c r="G20" i="20"/>
  <c r="B86" i="43"/>
  <c r="C22" i="20"/>
  <c r="B75" i="43"/>
  <c r="B55" i="43"/>
  <c r="B66" i="43"/>
  <c r="C25" i="40"/>
  <c r="C29" i="39"/>
  <c r="S25" i="40"/>
  <c r="S18" i="36"/>
  <c r="U18" i="36"/>
  <c r="S21" i="34"/>
  <c r="F94" i="40"/>
  <c r="H25" i="40"/>
  <c r="G94" i="40"/>
  <c r="J25" i="40"/>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E10" i="68"/>
  <c r="E9" i="68"/>
  <c r="W21" i="21"/>
  <c r="C40" i="68"/>
  <c r="Q72" i="67"/>
  <c r="Q59" i="67"/>
  <c r="Q58" i="67"/>
  <c r="Q51" i="67"/>
  <c r="M47" i="67"/>
  <c r="D46" i="67"/>
  <c r="F33" i="67"/>
  <c r="F61" i="67"/>
  <c r="F23" i="67"/>
  <c r="D24" i="67"/>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2" i="1"/>
  <c r="F13" i="1"/>
  <c r="D9" i="1"/>
  <c r="D10" i="1"/>
  <c r="D11" i="1"/>
  <c r="D12" i="1"/>
  <c r="D13" i="1"/>
  <c r="D7" i="1"/>
  <c r="D8" i="1"/>
  <c r="B8" i="1"/>
  <c r="E8" i="1"/>
  <c r="A12" i="1"/>
  <c r="A13" i="1"/>
  <c r="B11" i="1"/>
  <c r="E11" i="1"/>
  <c r="B7" i="1"/>
  <c r="E7" i="1"/>
  <c r="B13" i="1"/>
  <c r="E13" i="1"/>
  <c r="G79" i="36"/>
  <c r="G85" i="35"/>
  <c r="G97" i="37"/>
  <c r="G110" i="34"/>
  <c r="G111" i="21"/>
  <c r="G109" i="33"/>
  <c r="D23" i="31"/>
  <c r="L2" i="31"/>
  <c r="K2" i="31"/>
  <c r="J2" i="31"/>
  <c r="I2" i="31"/>
  <c r="H2" i="31"/>
  <c r="G2" i="31"/>
  <c r="F2" i="31"/>
  <c r="E2" i="31"/>
  <c r="D2" i="31"/>
  <c r="C2" i="31"/>
  <c r="D46" i="15"/>
  <c r="BP112" i="3"/>
  <c r="BO112" i="3"/>
  <c r="BN112" i="3"/>
  <c r="BM112" i="3"/>
  <c r="BL112" i="3"/>
  <c r="BK112" i="3"/>
  <c r="BJ112" i="3"/>
  <c r="BI112" i="3"/>
  <c r="BH112" i="3"/>
  <c r="BG112" i="3"/>
  <c r="BF112" i="3"/>
  <c r="BE112" i="3"/>
  <c r="BD112" i="3"/>
  <c r="BC112" i="3"/>
  <c r="BA112" i="3"/>
  <c r="AZ112" i="3"/>
  <c r="AX112" i="3"/>
  <c r="AW112" i="3"/>
  <c r="AV112" i="3"/>
  <c r="BP111" i="3"/>
  <c r="BO111" i="3"/>
  <c r="BN111" i="3"/>
  <c r="BM111" i="3"/>
  <c r="BL111" i="3"/>
  <c r="BK111" i="3"/>
  <c r="BJ111" i="3"/>
  <c r="BI111" i="3"/>
  <c r="BH111" i="3"/>
  <c r="BG111" i="3"/>
  <c r="BF111" i="3"/>
  <c r="BE111" i="3"/>
  <c r="BD111" i="3"/>
  <c r="BC111" i="3"/>
  <c r="BA111" i="3"/>
  <c r="AX111" i="3"/>
  <c r="AW111" i="3"/>
  <c r="AV111" i="3"/>
  <c r="BP110" i="3"/>
  <c r="BO110" i="3"/>
  <c r="BN110" i="3"/>
  <c r="BM110" i="3"/>
  <c r="BL110" i="3"/>
  <c r="BK110" i="3"/>
  <c r="BJ110" i="3"/>
  <c r="BI110" i="3"/>
  <c r="BH110" i="3"/>
  <c r="BG110" i="3"/>
  <c r="BF110" i="3"/>
  <c r="BE110" i="3"/>
  <c r="BD110" i="3"/>
  <c r="BC110" i="3"/>
  <c r="BA110" i="3"/>
  <c r="AX110" i="3"/>
  <c r="AW110" i="3"/>
  <c r="AV110" i="3"/>
  <c r="BP109" i="3"/>
  <c r="BO109" i="3"/>
  <c r="BN109" i="3"/>
  <c r="BM109" i="3"/>
  <c r="BL109" i="3"/>
  <c r="BK109" i="3"/>
  <c r="BJ109" i="3"/>
  <c r="BI109" i="3"/>
  <c r="BH109" i="3"/>
  <c r="BG109" i="3"/>
  <c r="BF109" i="3"/>
  <c r="BE109" i="3"/>
  <c r="BD109" i="3"/>
  <c r="BC109" i="3"/>
  <c r="BA109" i="3"/>
  <c r="AX109" i="3"/>
  <c r="AW109" i="3"/>
  <c r="AV109" i="3"/>
  <c r="BP108" i="3"/>
  <c r="BO108" i="3"/>
  <c r="BN108" i="3"/>
  <c r="BM108" i="3"/>
  <c r="BL108" i="3"/>
  <c r="BK108" i="3"/>
  <c r="BJ108" i="3"/>
  <c r="BI108" i="3"/>
  <c r="BH108" i="3"/>
  <c r="BG108" i="3"/>
  <c r="BF108" i="3"/>
  <c r="BE108" i="3"/>
  <c r="BD108" i="3"/>
  <c r="BC108" i="3"/>
  <c r="BA108" i="3"/>
  <c r="AZ108" i="3"/>
  <c r="AX108" i="3"/>
  <c r="AW108" i="3"/>
  <c r="AV108" i="3"/>
  <c r="BP107" i="3"/>
  <c r="BO107" i="3"/>
  <c r="BN107" i="3"/>
  <c r="BM107" i="3"/>
  <c r="BL107" i="3"/>
  <c r="BK107" i="3"/>
  <c r="BJ107" i="3"/>
  <c r="BI107" i="3"/>
  <c r="BH107" i="3"/>
  <c r="BG107" i="3"/>
  <c r="BF107" i="3"/>
  <c r="BE107" i="3"/>
  <c r="BD107" i="3"/>
  <c r="BC107" i="3"/>
  <c r="BA107" i="3"/>
  <c r="AX107" i="3"/>
  <c r="AW107" i="3"/>
  <c r="AV107" i="3"/>
  <c r="BP106" i="3"/>
  <c r="BO106" i="3"/>
  <c r="BN106" i="3"/>
  <c r="BM106" i="3"/>
  <c r="BL106" i="3"/>
  <c r="BK106" i="3"/>
  <c r="BJ106" i="3"/>
  <c r="BI106" i="3"/>
  <c r="BH106" i="3"/>
  <c r="BG106" i="3"/>
  <c r="BF106" i="3"/>
  <c r="BE106" i="3"/>
  <c r="BD106" i="3"/>
  <c r="BC106" i="3"/>
  <c r="BA106" i="3"/>
  <c r="AZ106" i="3"/>
  <c r="AX106" i="3"/>
  <c r="AW106" i="3"/>
  <c r="AV106" i="3"/>
  <c r="BP105" i="3"/>
  <c r="BO105" i="3"/>
  <c r="BN105" i="3"/>
  <c r="BM105" i="3"/>
  <c r="BL105" i="3"/>
  <c r="BK105" i="3"/>
  <c r="BJ105" i="3"/>
  <c r="BI105" i="3"/>
  <c r="BH105" i="3"/>
  <c r="BG105" i="3"/>
  <c r="BF105" i="3"/>
  <c r="BE105" i="3"/>
  <c r="BD105" i="3"/>
  <c r="BC105" i="3"/>
  <c r="BA105" i="3"/>
  <c r="AX105" i="3"/>
  <c r="AW105" i="3"/>
  <c r="AV105" i="3"/>
  <c r="BP104" i="3"/>
  <c r="BO104" i="3"/>
  <c r="BN104" i="3"/>
  <c r="BM104" i="3"/>
  <c r="BL104" i="3"/>
  <c r="BK104" i="3"/>
  <c r="BJ104" i="3"/>
  <c r="BI104" i="3"/>
  <c r="BH104" i="3"/>
  <c r="BG104" i="3"/>
  <c r="BF104" i="3"/>
  <c r="BE104" i="3"/>
  <c r="BD104" i="3"/>
  <c r="BC104" i="3"/>
  <c r="BA104" i="3"/>
  <c r="AZ104" i="3"/>
  <c r="AX104" i="3"/>
  <c r="AW104" i="3"/>
  <c r="AV104" i="3"/>
  <c r="BP103" i="3"/>
  <c r="BO103" i="3"/>
  <c r="BN103" i="3"/>
  <c r="BM103" i="3"/>
  <c r="BL103" i="3"/>
  <c r="BK103" i="3"/>
  <c r="BJ103" i="3"/>
  <c r="BI103" i="3"/>
  <c r="BH103" i="3"/>
  <c r="BG103" i="3"/>
  <c r="BF103" i="3"/>
  <c r="BE103" i="3"/>
  <c r="BD103" i="3"/>
  <c r="BC103" i="3"/>
  <c r="BA103" i="3"/>
  <c r="AZ103" i="3"/>
  <c r="AX103" i="3"/>
  <c r="AW103" i="3"/>
  <c r="AV103" i="3"/>
  <c r="BP102" i="3"/>
  <c r="BO102" i="3"/>
  <c r="BN102" i="3"/>
  <c r="BM102" i="3"/>
  <c r="BL102" i="3"/>
  <c r="BK102" i="3"/>
  <c r="BJ102" i="3"/>
  <c r="BI102" i="3"/>
  <c r="BH102" i="3"/>
  <c r="BG102" i="3"/>
  <c r="BF102" i="3"/>
  <c r="BE102" i="3"/>
  <c r="BD102" i="3"/>
  <c r="BC102" i="3"/>
  <c r="BA102" i="3"/>
  <c r="AX102" i="3"/>
  <c r="AW102" i="3"/>
  <c r="AV102" i="3"/>
  <c r="BP101" i="3"/>
  <c r="BO101" i="3"/>
  <c r="BN101" i="3"/>
  <c r="BM101" i="3"/>
  <c r="BL101" i="3"/>
  <c r="BK101" i="3"/>
  <c r="BJ101" i="3"/>
  <c r="BI101" i="3"/>
  <c r="BH101" i="3"/>
  <c r="BG101" i="3"/>
  <c r="BF101" i="3"/>
  <c r="BE101" i="3"/>
  <c r="BD101" i="3"/>
  <c r="BC101" i="3"/>
  <c r="BA101" i="3"/>
  <c r="AX101" i="3"/>
  <c r="AW101" i="3"/>
  <c r="AV101" i="3"/>
  <c r="BP100" i="3"/>
  <c r="BO100" i="3"/>
  <c r="BN100" i="3"/>
  <c r="BM100" i="3"/>
  <c r="BL100" i="3"/>
  <c r="BK100" i="3"/>
  <c r="BJ100" i="3"/>
  <c r="BI100" i="3"/>
  <c r="BH100" i="3"/>
  <c r="BG100" i="3"/>
  <c r="BF100" i="3"/>
  <c r="BE100" i="3"/>
  <c r="BD100" i="3"/>
  <c r="BC100" i="3"/>
  <c r="BA100" i="3"/>
  <c r="AZ100" i="3"/>
  <c r="AX100" i="3"/>
  <c r="AW100" i="3"/>
  <c r="AV100" i="3"/>
  <c r="BP99" i="3"/>
  <c r="BO99" i="3"/>
  <c r="BN99" i="3"/>
  <c r="BM99" i="3"/>
  <c r="BL99" i="3"/>
  <c r="BK99" i="3"/>
  <c r="BJ99" i="3"/>
  <c r="BI99" i="3"/>
  <c r="BH99" i="3"/>
  <c r="BG99" i="3"/>
  <c r="BF99" i="3"/>
  <c r="BE99" i="3"/>
  <c r="BD99" i="3"/>
  <c r="BC99" i="3"/>
  <c r="BA99" i="3"/>
  <c r="AZ99" i="3"/>
  <c r="AX99" i="3"/>
  <c r="AW99" i="3"/>
  <c r="AV99" i="3"/>
  <c r="BP98" i="3"/>
  <c r="BO98" i="3"/>
  <c r="BN98" i="3"/>
  <c r="BM98" i="3"/>
  <c r="BL98" i="3"/>
  <c r="BK98" i="3"/>
  <c r="BJ98" i="3"/>
  <c r="BI98" i="3"/>
  <c r="BH98" i="3"/>
  <c r="BG98" i="3"/>
  <c r="BF98" i="3"/>
  <c r="BE98" i="3"/>
  <c r="BD98" i="3"/>
  <c r="BC98" i="3"/>
  <c r="BA98" i="3"/>
  <c r="AZ98" i="3"/>
  <c r="AX98" i="3"/>
  <c r="AW98" i="3"/>
  <c r="AV98" i="3"/>
  <c r="BP97" i="3"/>
  <c r="BO97" i="3"/>
  <c r="BN97" i="3"/>
  <c r="BM97" i="3"/>
  <c r="BL97" i="3"/>
  <c r="BK97" i="3"/>
  <c r="BJ97" i="3"/>
  <c r="BI97" i="3"/>
  <c r="BH97" i="3"/>
  <c r="BG97" i="3"/>
  <c r="BF97" i="3"/>
  <c r="BE97" i="3"/>
  <c r="BD97" i="3"/>
  <c r="BC97" i="3"/>
  <c r="BA97" i="3"/>
  <c r="AX97" i="3"/>
  <c r="AW97" i="3"/>
  <c r="AV97" i="3"/>
  <c r="BP96" i="3"/>
  <c r="BO96" i="3"/>
  <c r="BN96" i="3"/>
  <c r="BM96" i="3"/>
  <c r="BL96" i="3"/>
  <c r="BK96" i="3"/>
  <c r="BJ96" i="3"/>
  <c r="BI96" i="3"/>
  <c r="BH96" i="3"/>
  <c r="BG96" i="3"/>
  <c r="BF96" i="3"/>
  <c r="BE96" i="3"/>
  <c r="BD96" i="3"/>
  <c r="BC96" i="3"/>
  <c r="BA96" i="3"/>
  <c r="AZ96" i="3"/>
  <c r="AX96" i="3"/>
  <c r="AW96" i="3"/>
  <c r="AV96" i="3"/>
  <c r="BP95" i="3"/>
  <c r="BO95" i="3"/>
  <c r="BN95" i="3"/>
  <c r="BM95" i="3"/>
  <c r="BL95" i="3"/>
  <c r="BK95" i="3"/>
  <c r="BJ95" i="3"/>
  <c r="BI95" i="3"/>
  <c r="BH95" i="3"/>
  <c r="BG95" i="3"/>
  <c r="BF95" i="3"/>
  <c r="BE95" i="3"/>
  <c r="BD95" i="3"/>
  <c r="BC95" i="3"/>
  <c r="BA95" i="3"/>
  <c r="AZ95" i="3"/>
  <c r="AX95" i="3"/>
  <c r="AW95" i="3"/>
  <c r="AV95" i="3"/>
  <c r="BP94" i="3"/>
  <c r="BO94" i="3"/>
  <c r="BN94" i="3"/>
  <c r="BM94" i="3"/>
  <c r="BL94" i="3"/>
  <c r="BK94" i="3"/>
  <c r="BJ94" i="3"/>
  <c r="BI94" i="3"/>
  <c r="BH94" i="3"/>
  <c r="BG94" i="3"/>
  <c r="BF94" i="3"/>
  <c r="BE94" i="3"/>
  <c r="BD94" i="3"/>
  <c r="BC94" i="3"/>
  <c r="BA94" i="3"/>
  <c r="AX94" i="3"/>
  <c r="AW94" i="3"/>
  <c r="AV94" i="3"/>
  <c r="BP93" i="3"/>
  <c r="BO93" i="3"/>
  <c r="BN93" i="3"/>
  <c r="BM93" i="3"/>
  <c r="BL93" i="3"/>
  <c r="BK93" i="3"/>
  <c r="BJ93" i="3"/>
  <c r="BI93" i="3"/>
  <c r="BH93" i="3"/>
  <c r="BG93" i="3"/>
  <c r="BF93" i="3"/>
  <c r="BE93" i="3"/>
  <c r="BD93" i="3"/>
  <c r="BC93" i="3"/>
  <c r="BA93" i="3"/>
  <c r="AX93" i="3"/>
  <c r="AW93" i="3"/>
  <c r="AV93" i="3"/>
  <c r="BP92" i="3"/>
  <c r="BO92" i="3"/>
  <c r="BN92" i="3"/>
  <c r="BM92" i="3"/>
  <c r="BL92" i="3"/>
  <c r="BK92" i="3"/>
  <c r="BJ92" i="3"/>
  <c r="BI92" i="3"/>
  <c r="BH92" i="3"/>
  <c r="BG92" i="3"/>
  <c r="BF92" i="3"/>
  <c r="BE92" i="3"/>
  <c r="BD92" i="3"/>
  <c r="BC92" i="3"/>
  <c r="BA92" i="3"/>
  <c r="AZ92" i="3"/>
  <c r="AX92" i="3"/>
  <c r="AW92" i="3"/>
  <c r="AV92" i="3"/>
  <c r="BP91" i="3"/>
  <c r="BO91" i="3"/>
  <c r="BN91" i="3"/>
  <c r="BM91" i="3"/>
  <c r="BL91" i="3"/>
  <c r="BK91" i="3"/>
  <c r="BJ91" i="3"/>
  <c r="BI91" i="3"/>
  <c r="BH91" i="3"/>
  <c r="BG91" i="3"/>
  <c r="BF91" i="3"/>
  <c r="BE91" i="3"/>
  <c r="BD91" i="3"/>
  <c r="BC91" i="3"/>
  <c r="BA91" i="3"/>
  <c r="AZ91" i="3"/>
  <c r="AX91" i="3"/>
  <c r="AW91" i="3"/>
  <c r="AV91" i="3"/>
  <c r="BP90" i="3"/>
  <c r="BO90" i="3"/>
  <c r="BN90" i="3"/>
  <c r="BM90" i="3"/>
  <c r="BL90" i="3"/>
  <c r="BK90" i="3"/>
  <c r="BJ90" i="3"/>
  <c r="BI90" i="3"/>
  <c r="BH90" i="3"/>
  <c r="BG90" i="3"/>
  <c r="BF90" i="3"/>
  <c r="BE90" i="3"/>
  <c r="BD90" i="3"/>
  <c r="BC90" i="3"/>
  <c r="BA90" i="3"/>
  <c r="AZ90" i="3"/>
  <c r="AX90" i="3"/>
  <c r="AW90" i="3"/>
  <c r="AV90" i="3"/>
  <c r="BP89" i="3"/>
  <c r="BO89" i="3"/>
  <c r="BN89" i="3"/>
  <c r="BM89" i="3"/>
  <c r="BL89" i="3"/>
  <c r="BK89" i="3"/>
  <c r="BJ89" i="3"/>
  <c r="BI89" i="3"/>
  <c r="BH89" i="3"/>
  <c r="BG89" i="3"/>
  <c r="BF89" i="3"/>
  <c r="BE89" i="3"/>
  <c r="BD89" i="3"/>
  <c r="BC89" i="3"/>
  <c r="BA89" i="3"/>
  <c r="AX89" i="3"/>
  <c r="AW89" i="3"/>
  <c r="AV89" i="3"/>
  <c r="BP88" i="3"/>
  <c r="BO88" i="3"/>
  <c r="BN88" i="3"/>
  <c r="BM88" i="3"/>
  <c r="BL88" i="3"/>
  <c r="BK88" i="3"/>
  <c r="BJ88" i="3"/>
  <c r="BI88" i="3"/>
  <c r="BH88" i="3"/>
  <c r="BG88" i="3"/>
  <c r="BF88" i="3"/>
  <c r="BE88" i="3"/>
  <c r="BD88" i="3"/>
  <c r="BC88" i="3"/>
  <c r="BA88" i="3"/>
  <c r="AX88" i="3"/>
  <c r="AW88" i="3"/>
  <c r="AV88" i="3"/>
  <c r="BP87" i="3"/>
  <c r="BO87" i="3"/>
  <c r="BN87" i="3"/>
  <c r="BM87" i="3"/>
  <c r="BL87" i="3"/>
  <c r="BK87" i="3"/>
  <c r="BJ87" i="3"/>
  <c r="BI87" i="3"/>
  <c r="BH87" i="3"/>
  <c r="BG87" i="3"/>
  <c r="BF87" i="3"/>
  <c r="BE87" i="3"/>
  <c r="BD87" i="3"/>
  <c r="BC87" i="3"/>
  <c r="BA87" i="3"/>
  <c r="AZ87" i="3"/>
  <c r="AX87" i="3"/>
  <c r="AW87" i="3"/>
  <c r="AV87" i="3"/>
  <c r="BP86" i="3"/>
  <c r="BO86" i="3"/>
  <c r="BN86" i="3"/>
  <c r="BM86" i="3"/>
  <c r="BL86" i="3"/>
  <c r="BK86" i="3"/>
  <c r="BJ86" i="3"/>
  <c r="BI86" i="3"/>
  <c r="BH86" i="3"/>
  <c r="BG86" i="3"/>
  <c r="BF86" i="3"/>
  <c r="BE86" i="3"/>
  <c r="BD86" i="3"/>
  <c r="BC86" i="3"/>
  <c r="BA86" i="3"/>
  <c r="AX86" i="3"/>
  <c r="AW86" i="3"/>
  <c r="AV86" i="3"/>
  <c r="BP85" i="3"/>
  <c r="BO85" i="3"/>
  <c r="BN85" i="3"/>
  <c r="BM85" i="3"/>
  <c r="BL85" i="3"/>
  <c r="BK85" i="3"/>
  <c r="BJ85" i="3"/>
  <c r="BI85" i="3"/>
  <c r="BH85" i="3"/>
  <c r="BG85" i="3"/>
  <c r="BF85" i="3"/>
  <c r="BE85" i="3"/>
  <c r="BD85" i="3"/>
  <c r="BC85" i="3"/>
  <c r="BA85" i="3"/>
  <c r="AX85" i="3"/>
  <c r="AW85" i="3"/>
  <c r="AV85" i="3"/>
  <c r="BP84" i="3"/>
  <c r="BO84" i="3"/>
  <c r="BN84" i="3"/>
  <c r="BM84" i="3"/>
  <c r="BL84" i="3"/>
  <c r="BK84" i="3"/>
  <c r="BJ84" i="3"/>
  <c r="BI84" i="3"/>
  <c r="BH84" i="3"/>
  <c r="BG84" i="3"/>
  <c r="BF84" i="3"/>
  <c r="BE84" i="3"/>
  <c r="BD84" i="3"/>
  <c r="BC84" i="3"/>
  <c r="BA84" i="3"/>
  <c r="AX84" i="3"/>
  <c r="AW84" i="3"/>
  <c r="AV84" i="3"/>
  <c r="BP83" i="3"/>
  <c r="BO83" i="3"/>
  <c r="BN83" i="3"/>
  <c r="BM83" i="3"/>
  <c r="BL83" i="3"/>
  <c r="BK83" i="3"/>
  <c r="BJ83" i="3"/>
  <c r="BI83" i="3"/>
  <c r="BH83" i="3"/>
  <c r="BG83" i="3"/>
  <c r="BF83" i="3"/>
  <c r="BE83" i="3"/>
  <c r="BD83" i="3"/>
  <c r="BC83" i="3"/>
  <c r="BA83" i="3"/>
  <c r="AX83" i="3"/>
  <c r="AW83" i="3"/>
  <c r="AV83" i="3"/>
  <c r="BP82" i="3"/>
  <c r="BO82" i="3"/>
  <c r="BN82" i="3"/>
  <c r="BM82" i="3"/>
  <c r="BL82" i="3"/>
  <c r="BK82" i="3"/>
  <c r="BJ82" i="3"/>
  <c r="BI82" i="3"/>
  <c r="BH82" i="3"/>
  <c r="BG82" i="3"/>
  <c r="BF82" i="3"/>
  <c r="BE82" i="3"/>
  <c r="BD82" i="3"/>
  <c r="BC82" i="3"/>
  <c r="BA82" i="3"/>
  <c r="AX82" i="3"/>
  <c r="AW82" i="3"/>
  <c r="AV82" i="3"/>
  <c r="BP81" i="3"/>
  <c r="BO81" i="3"/>
  <c r="BN81" i="3"/>
  <c r="BM81" i="3"/>
  <c r="BL81" i="3"/>
  <c r="BK81" i="3"/>
  <c r="BJ81" i="3"/>
  <c r="BI81" i="3"/>
  <c r="BH81" i="3"/>
  <c r="BG81" i="3"/>
  <c r="BF81" i="3"/>
  <c r="BE81" i="3"/>
  <c r="BD81" i="3"/>
  <c r="BC81" i="3"/>
  <c r="BA81" i="3"/>
  <c r="AZ81" i="3"/>
  <c r="AX81" i="3"/>
  <c r="AW81" i="3"/>
  <c r="AV81" i="3"/>
  <c r="BP80" i="3"/>
  <c r="BO80" i="3"/>
  <c r="BN80" i="3"/>
  <c r="BM80" i="3"/>
  <c r="BL80" i="3"/>
  <c r="BK80" i="3"/>
  <c r="BJ80" i="3"/>
  <c r="BI80" i="3"/>
  <c r="BH80" i="3"/>
  <c r="BG80" i="3"/>
  <c r="BF80" i="3"/>
  <c r="BE80" i="3"/>
  <c r="BD80" i="3"/>
  <c r="BC80" i="3"/>
  <c r="BA80" i="3"/>
  <c r="AX80" i="3"/>
  <c r="AW80" i="3"/>
  <c r="AV80" i="3"/>
  <c r="BP79" i="3"/>
  <c r="BO79" i="3"/>
  <c r="BN79" i="3"/>
  <c r="BM79" i="3"/>
  <c r="BL79" i="3"/>
  <c r="BK79" i="3"/>
  <c r="BJ79" i="3"/>
  <c r="BI79" i="3"/>
  <c r="BH79" i="3"/>
  <c r="BG79" i="3"/>
  <c r="BF79" i="3"/>
  <c r="BE79" i="3"/>
  <c r="BD79" i="3"/>
  <c r="BC79" i="3"/>
  <c r="BA79" i="3"/>
  <c r="AX79" i="3"/>
  <c r="AW79" i="3"/>
  <c r="AV79" i="3"/>
  <c r="BP78" i="3"/>
  <c r="BO78" i="3"/>
  <c r="BN78" i="3"/>
  <c r="BM78" i="3"/>
  <c r="BL78" i="3"/>
  <c r="BK78" i="3"/>
  <c r="BJ78" i="3"/>
  <c r="BI78" i="3"/>
  <c r="BH78" i="3"/>
  <c r="BG78" i="3"/>
  <c r="BF78" i="3"/>
  <c r="BE78" i="3"/>
  <c r="BD78" i="3"/>
  <c r="BC78" i="3"/>
  <c r="BA78" i="3"/>
  <c r="AZ78" i="3"/>
  <c r="AX78" i="3"/>
  <c r="AW78" i="3"/>
  <c r="AV78" i="3"/>
  <c r="BP77" i="3"/>
  <c r="BO77" i="3"/>
  <c r="BN77" i="3"/>
  <c r="BM77" i="3"/>
  <c r="BL77" i="3"/>
  <c r="BK77" i="3"/>
  <c r="BJ77" i="3"/>
  <c r="BI77" i="3"/>
  <c r="BH77" i="3"/>
  <c r="BG77" i="3"/>
  <c r="BF77" i="3"/>
  <c r="BE77" i="3"/>
  <c r="BD77" i="3"/>
  <c r="BC77" i="3"/>
  <c r="BA77" i="3"/>
  <c r="AX77" i="3"/>
  <c r="AW77" i="3"/>
  <c r="AV77" i="3"/>
  <c r="BP76" i="3"/>
  <c r="BO76" i="3"/>
  <c r="BN76" i="3"/>
  <c r="BM76" i="3"/>
  <c r="BL76" i="3"/>
  <c r="BK76" i="3"/>
  <c r="BJ76" i="3"/>
  <c r="BI76" i="3"/>
  <c r="BH76" i="3"/>
  <c r="BG76" i="3"/>
  <c r="BF76" i="3"/>
  <c r="BE76" i="3"/>
  <c r="BD76" i="3"/>
  <c r="BC76" i="3"/>
  <c r="BA76" i="3"/>
  <c r="AZ76" i="3"/>
  <c r="AX76" i="3"/>
  <c r="AW76" i="3"/>
  <c r="AV76" i="3"/>
  <c r="BP75" i="3"/>
  <c r="BO75" i="3"/>
  <c r="BN75" i="3"/>
  <c r="BM75" i="3"/>
  <c r="BL75" i="3"/>
  <c r="BK75" i="3"/>
  <c r="BJ75" i="3"/>
  <c r="BI75" i="3"/>
  <c r="BH75" i="3"/>
  <c r="BG75" i="3"/>
  <c r="BF75" i="3"/>
  <c r="BE75" i="3"/>
  <c r="BD75" i="3"/>
  <c r="BC75" i="3"/>
  <c r="BA75" i="3"/>
  <c r="AX75" i="3"/>
  <c r="AW75" i="3"/>
  <c r="AV75" i="3"/>
  <c r="BP74" i="3"/>
  <c r="BO74" i="3"/>
  <c r="BN74" i="3"/>
  <c r="BM74" i="3"/>
  <c r="BL74" i="3"/>
  <c r="BK74" i="3"/>
  <c r="BJ74" i="3"/>
  <c r="BI74" i="3"/>
  <c r="BH74" i="3"/>
  <c r="BG74" i="3"/>
  <c r="BF74" i="3"/>
  <c r="BE74" i="3"/>
  <c r="BD74" i="3"/>
  <c r="BC74" i="3"/>
  <c r="BA74" i="3"/>
  <c r="AX74" i="3"/>
  <c r="AW74" i="3"/>
  <c r="AV74" i="3"/>
  <c r="BP73" i="3"/>
  <c r="BO73" i="3"/>
  <c r="BN73" i="3"/>
  <c r="BM73" i="3"/>
  <c r="BL73" i="3"/>
  <c r="BK73" i="3"/>
  <c r="BJ73" i="3"/>
  <c r="BI73" i="3"/>
  <c r="BH73" i="3"/>
  <c r="BG73" i="3"/>
  <c r="BF73" i="3"/>
  <c r="BE73" i="3"/>
  <c r="BD73" i="3"/>
  <c r="BC73" i="3"/>
  <c r="BA73" i="3"/>
  <c r="AZ73" i="3"/>
  <c r="AX73" i="3"/>
  <c r="AW73" i="3"/>
  <c r="AV73" i="3"/>
  <c r="BP72" i="3"/>
  <c r="BO72" i="3"/>
  <c r="BN72" i="3"/>
  <c r="BM72" i="3"/>
  <c r="BL72" i="3"/>
  <c r="BK72" i="3"/>
  <c r="BJ72" i="3"/>
  <c r="BI72" i="3"/>
  <c r="BH72" i="3"/>
  <c r="BG72" i="3"/>
  <c r="BF72" i="3"/>
  <c r="BE72" i="3"/>
  <c r="BD72" i="3"/>
  <c r="BC72" i="3"/>
  <c r="BA72" i="3"/>
  <c r="AX72" i="3"/>
  <c r="AW72" i="3"/>
  <c r="AV72" i="3"/>
  <c r="BP71" i="3"/>
  <c r="BO71" i="3"/>
  <c r="BN71" i="3"/>
  <c r="BM71" i="3"/>
  <c r="BL71" i="3"/>
  <c r="BK71" i="3"/>
  <c r="BJ71" i="3"/>
  <c r="BI71" i="3"/>
  <c r="BH71" i="3"/>
  <c r="BG71" i="3"/>
  <c r="BF71" i="3"/>
  <c r="BE71" i="3"/>
  <c r="BD71" i="3"/>
  <c r="BC71" i="3"/>
  <c r="BA71" i="3"/>
  <c r="AX71" i="3"/>
  <c r="AW71" i="3"/>
  <c r="AV71" i="3"/>
  <c r="BP70" i="3"/>
  <c r="BO70" i="3"/>
  <c r="BN70" i="3"/>
  <c r="BM70" i="3"/>
  <c r="BL70" i="3"/>
  <c r="BK70" i="3"/>
  <c r="BJ70" i="3"/>
  <c r="BI70" i="3"/>
  <c r="BH70" i="3"/>
  <c r="BG70" i="3"/>
  <c r="BF70" i="3"/>
  <c r="BE70" i="3"/>
  <c r="BD70" i="3"/>
  <c r="BC70" i="3"/>
  <c r="BA70" i="3"/>
  <c r="AZ70" i="3"/>
  <c r="AX70" i="3"/>
  <c r="AW70" i="3"/>
  <c r="AV70" i="3"/>
  <c r="BP69" i="3"/>
  <c r="BO69" i="3"/>
  <c r="BN69" i="3"/>
  <c r="BM69" i="3"/>
  <c r="BL69" i="3"/>
  <c r="BK69" i="3"/>
  <c r="BJ69" i="3"/>
  <c r="BI69" i="3"/>
  <c r="BH69" i="3"/>
  <c r="BG69" i="3"/>
  <c r="BF69" i="3"/>
  <c r="BE69" i="3"/>
  <c r="BD69" i="3"/>
  <c r="BC69" i="3"/>
  <c r="BA69" i="3"/>
  <c r="AX69" i="3"/>
  <c r="AW69" i="3"/>
  <c r="AV69" i="3"/>
  <c r="BP68" i="3"/>
  <c r="BO68" i="3"/>
  <c r="BN68" i="3"/>
  <c r="BM68" i="3"/>
  <c r="BL68" i="3"/>
  <c r="BK68" i="3"/>
  <c r="BJ68" i="3"/>
  <c r="BI68" i="3"/>
  <c r="BH68" i="3"/>
  <c r="BG68" i="3"/>
  <c r="BF68" i="3"/>
  <c r="BE68" i="3"/>
  <c r="BD68" i="3"/>
  <c r="BC68" i="3"/>
  <c r="BA68" i="3"/>
  <c r="AZ68" i="3"/>
  <c r="AX68" i="3"/>
  <c r="AW68" i="3"/>
  <c r="AV68" i="3"/>
  <c r="BP67" i="3"/>
  <c r="BO67" i="3"/>
  <c r="BN67" i="3"/>
  <c r="BM67" i="3"/>
  <c r="BL67" i="3"/>
  <c r="BK67" i="3"/>
  <c r="BJ67" i="3"/>
  <c r="BI67" i="3"/>
  <c r="BH67" i="3"/>
  <c r="BG67" i="3"/>
  <c r="BF67" i="3"/>
  <c r="BE67" i="3"/>
  <c r="BD67" i="3"/>
  <c r="BC67" i="3"/>
  <c r="BA67" i="3"/>
  <c r="AX67" i="3"/>
  <c r="AW67" i="3"/>
  <c r="AV67" i="3"/>
  <c r="BP66" i="3"/>
  <c r="BO66" i="3"/>
  <c r="BN66" i="3"/>
  <c r="BM66" i="3"/>
  <c r="BL66" i="3"/>
  <c r="BK66" i="3"/>
  <c r="BJ66" i="3"/>
  <c r="BI66" i="3"/>
  <c r="BH66" i="3"/>
  <c r="BG66" i="3"/>
  <c r="BF66" i="3"/>
  <c r="BE66" i="3"/>
  <c r="BD66" i="3"/>
  <c r="BC66" i="3"/>
  <c r="BA66" i="3"/>
  <c r="AX66" i="3"/>
  <c r="AW66" i="3"/>
  <c r="AV66" i="3"/>
  <c r="BP65" i="3"/>
  <c r="BO65" i="3"/>
  <c r="BN65" i="3"/>
  <c r="BM65" i="3"/>
  <c r="BL65" i="3"/>
  <c r="BK65" i="3"/>
  <c r="BJ65" i="3"/>
  <c r="BI65" i="3"/>
  <c r="BH65" i="3"/>
  <c r="BG65" i="3"/>
  <c r="BF65" i="3"/>
  <c r="BE65" i="3"/>
  <c r="BD65" i="3"/>
  <c r="BC65" i="3"/>
  <c r="BA65" i="3"/>
  <c r="AZ65" i="3"/>
  <c r="AX65" i="3"/>
  <c r="AW65" i="3"/>
  <c r="AV65" i="3"/>
  <c r="BP64" i="3"/>
  <c r="BO64" i="3"/>
  <c r="BN64" i="3"/>
  <c r="BM64" i="3"/>
  <c r="BL64" i="3"/>
  <c r="BK64" i="3"/>
  <c r="BJ64" i="3"/>
  <c r="BI64" i="3"/>
  <c r="BH64" i="3"/>
  <c r="BG64" i="3"/>
  <c r="BF64" i="3"/>
  <c r="BE64" i="3"/>
  <c r="BD64" i="3"/>
  <c r="BC64" i="3"/>
  <c r="BA64" i="3"/>
  <c r="AZ64" i="3"/>
  <c r="AX64" i="3"/>
  <c r="AW64" i="3"/>
  <c r="AV64" i="3"/>
  <c r="BP63" i="3"/>
  <c r="BO63" i="3"/>
  <c r="BN63" i="3"/>
  <c r="BM63" i="3"/>
  <c r="BL63" i="3"/>
  <c r="BK63" i="3"/>
  <c r="BJ63" i="3"/>
  <c r="BI63" i="3"/>
  <c r="BH63" i="3"/>
  <c r="BG63" i="3"/>
  <c r="BF63" i="3"/>
  <c r="BE63" i="3"/>
  <c r="BD63" i="3"/>
  <c r="BC63" i="3"/>
  <c r="BA63" i="3"/>
  <c r="AX63" i="3"/>
  <c r="AW63" i="3"/>
  <c r="AV63" i="3"/>
  <c r="BP62" i="3"/>
  <c r="BO62" i="3"/>
  <c r="BN62" i="3"/>
  <c r="BM62" i="3"/>
  <c r="BL62" i="3"/>
  <c r="BK62" i="3"/>
  <c r="BJ62" i="3"/>
  <c r="BI62" i="3"/>
  <c r="BH62" i="3"/>
  <c r="BG62" i="3"/>
  <c r="BF62" i="3"/>
  <c r="BE62" i="3"/>
  <c r="BD62" i="3"/>
  <c r="BC62" i="3"/>
  <c r="BA62" i="3"/>
  <c r="AZ62" i="3"/>
  <c r="AX62" i="3"/>
  <c r="AW62" i="3"/>
  <c r="AV62" i="3"/>
  <c r="BP61" i="3"/>
  <c r="BO61" i="3"/>
  <c r="BN61" i="3"/>
  <c r="BM61" i="3"/>
  <c r="BL61" i="3"/>
  <c r="BK61" i="3"/>
  <c r="BJ61" i="3"/>
  <c r="BI61" i="3"/>
  <c r="BH61" i="3"/>
  <c r="BG61" i="3"/>
  <c r="BF61" i="3"/>
  <c r="BE61" i="3"/>
  <c r="BD61" i="3"/>
  <c r="BC61" i="3"/>
  <c r="BA61" i="3"/>
  <c r="AX61" i="3"/>
  <c r="AW61" i="3"/>
  <c r="AV61" i="3"/>
  <c r="BP60" i="3"/>
  <c r="BO60" i="3"/>
  <c r="BN60" i="3"/>
  <c r="BM60" i="3"/>
  <c r="BL60" i="3"/>
  <c r="BK60" i="3"/>
  <c r="BJ60" i="3"/>
  <c r="BI60" i="3"/>
  <c r="BH60" i="3"/>
  <c r="BG60" i="3"/>
  <c r="BF60" i="3"/>
  <c r="BE60" i="3"/>
  <c r="BD60" i="3"/>
  <c r="BC60" i="3"/>
  <c r="BA60" i="3"/>
  <c r="AZ60" i="3"/>
  <c r="AX60" i="3"/>
  <c r="AW60" i="3"/>
  <c r="AV60" i="3"/>
  <c r="BP59" i="3"/>
  <c r="BO59" i="3"/>
  <c r="BN59" i="3"/>
  <c r="BM59" i="3"/>
  <c r="BL59" i="3"/>
  <c r="BK59" i="3"/>
  <c r="BJ59" i="3"/>
  <c r="BI59" i="3"/>
  <c r="BH59" i="3"/>
  <c r="BG59" i="3"/>
  <c r="BF59" i="3"/>
  <c r="BE59" i="3"/>
  <c r="BD59" i="3"/>
  <c r="BC59" i="3"/>
  <c r="BA59" i="3"/>
  <c r="AX59" i="3"/>
  <c r="AW59" i="3"/>
  <c r="AV59" i="3"/>
  <c r="BP58" i="3"/>
  <c r="BO58" i="3"/>
  <c r="BN58" i="3"/>
  <c r="BM58" i="3"/>
  <c r="BL58" i="3"/>
  <c r="BK58" i="3"/>
  <c r="BJ58" i="3"/>
  <c r="BI58" i="3"/>
  <c r="BH58" i="3"/>
  <c r="BG58" i="3"/>
  <c r="BF58" i="3"/>
  <c r="BE58" i="3"/>
  <c r="BD58" i="3"/>
  <c r="BC58" i="3"/>
  <c r="BA58" i="3"/>
  <c r="AX58" i="3"/>
  <c r="AW58" i="3"/>
  <c r="AV58" i="3"/>
  <c r="BP57" i="3"/>
  <c r="BO57" i="3"/>
  <c r="BN57" i="3"/>
  <c r="BM57" i="3"/>
  <c r="BL57" i="3"/>
  <c r="BK57" i="3"/>
  <c r="BJ57" i="3"/>
  <c r="BI57" i="3"/>
  <c r="BH57" i="3"/>
  <c r="BG57" i="3"/>
  <c r="BF57" i="3"/>
  <c r="BE57" i="3"/>
  <c r="BD57" i="3"/>
  <c r="BC57" i="3"/>
  <c r="BA57" i="3"/>
  <c r="AZ57" i="3"/>
  <c r="AX57" i="3"/>
  <c r="AW57" i="3"/>
  <c r="AV57" i="3"/>
  <c r="BP56" i="3"/>
  <c r="BO56" i="3"/>
  <c r="BN56" i="3"/>
  <c r="BM56" i="3"/>
  <c r="BL56" i="3"/>
  <c r="BK56" i="3"/>
  <c r="BJ56" i="3"/>
  <c r="BI56" i="3"/>
  <c r="BH56" i="3"/>
  <c r="BG56" i="3"/>
  <c r="BF56" i="3"/>
  <c r="BE56" i="3"/>
  <c r="BD56" i="3"/>
  <c r="BC56" i="3"/>
  <c r="BA56" i="3"/>
  <c r="AZ56" i="3"/>
  <c r="AX56" i="3"/>
  <c r="AW56" i="3"/>
  <c r="AV56" i="3"/>
  <c r="BP55" i="3"/>
  <c r="BO55" i="3"/>
  <c r="BN55" i="3"/>
  <c r="BM55" i="3"/>
  <c r="BL55" i="3"/>
  <c r="BK55" i="3"/>
  <c r="BJ55" i="3"/>
  <c r="BI55" i="3"/>
  <c r="BH55" i="3"/>
  <c r="BG55" i="3"/>
  <c r="BF55" i="3"/>
  <c r="BE55" i="3"/>
  <c r="BD55" i="3"/>
  <c r="BC55" i="3"/>
  <c r="BA55" i="3"/>
  <c r="AX55" i="3"/>
  <c r="AW55" i="3"/>
  <c r="AV55" i="3"/>
  <c r="BP54" i="3"/>
  <c r="BO54" i="3"/>
  <c r="BN54" i="3"/>
  <c r="BM54" i="3"/>
  <c r="BL54" i="3"/>
  <c r="BK54" i="3"/>
  <c r="BJ54" i="3"/>
  <c r="BI54" i="3"/>
  <c r="BH54" i="3"/>
  <c r="BG54" i="3"/>
  <c r="BF54" i="3"/>
  <c r="BE54" i="3"/>
  <c r="BD54" i="3"/>
  <c r="BC54" i="3"/>
  <c r="BA54" i="3"/>
  <c r="AZ54" i="3"/>
  <c r="AX54" i="3"/>
  <c r="AW54" i="3"/>
  <c r="AV54" i="3"/>
  <c r="BP53" i="3"/>
  <c r="BO53" i="3"/>
  <c r="BN53" i="3"/>
  <c r="BM53" i="3"/>
  <c r="BL53" i="3"/>
  <c r="BK53" i="3"/>
  <c r="BJ53" i="3"/>
  <c r="BI53" i="3"/>
  <c r="BH53" i="3"/>
  <c r="BG53" i="3"/>
  <c r="BF53" i="3"/>
  <c r="BE53" i="3"/>
  <c r="BD53" i="3"/>
  <c r="BC53" i="3"/>
  <c r="BA53" i="3"/>
  <c r="AX53" i="3"/>
  <c r="AW53" i="3"/>
  <c r="AV53" i="3"/>
  <c r="BP52" i="3"/>
  <c r="BO52" i="3"/>
  <c r="BN52" i="3"/>
  <c r="BM52" i="3"/>
  <c r="BL52" i="3"/>
  <c r="BK52" i="3"/>
  <c r="BJ52" i="3"/>
  <c r="BI52" i="3"/>
  <c r="BH52" i="3"/>
  <c r="BG52" i="3"/>
  <c r="BF52" i="3"/>
  <c r="BE52" i="3"/>
  <c r="BD52" i="3"/>
  <c r="BC52" i="3"/>
  <c r="BA52" i="3"/>
  <c r="AZ52" i="3"/>
  <c r="AX52" i="3"/>
  <c r="AW52" i="3"/>
  <c r="AV52" i="3"/>
  <c r="BP51" i="3"/>
  <c r="BO51" i="3"/>
  <c r="BN51" i="3"/>
  <c r="BM51" i="3"/>
  <c r="BL51" i="3"/>
  <c r="BK51" i="3"/>
  <c r="BJ51" i="3"/>
  <c r="BI51" i="3"/>
  <c r="BH51" i="3"/>
  <c r="BG51" i="3"/>
  <c r="BF51" i="3"/>
  <c r="BE51" i="3"/>
  <c r="BD51" i="3"/>
  <c r="BC51" i="3"/>
  <c r="BA51" i="3"/>
  <c r="AX51" i="3"/>
  <c r="AW51" i="3"/>
  <c r="AV51" i="3"/>
  <c r="BP50" i="3"/>
  <c r="BO50" i="3"/>
  <c r="BN50" i="3"/>
  <c r="BM50" i="3"/>
  <c r="BL50" i="3"/>
  <c r="BK50" i="3"/>
  <c r="BJ50" i="3"/>
  <c r="BI50" i="3"/>
  <c r="BH50" i="3"/>
  <c r="BG50" i="3"/>
  <c r="BF50" i="3"/>
  <c r="BE50" i="3"/>
  <c r="BD50" i="3"/>
  <c r="BC50" i="3"/>
  <c r="BA50" i="3"/>
  <c r="AX50" i="3"/>
  <c r="AW50" i="3"/>
  <c r="AV50" i="3"/>
  <c r="BP49" i="3"/>
  <c r="BO49" i="3"/>
  <c r="BN49" i="3"/>
  <c r="BM49" i="3"/>
  <c r="BL49" i="3"/>
  <c r="BK49" i="3"/>
  <c r="BJ49" i="3"/>
  <c r="BI49" i="3"/>
  <c r="BH49" i="3"/>
  <c r="BG49" i="3"/>
  <c r="BF49" i="3"/>
  <c r="BE49" i="3"/>
  <c r="BD49" i="3"/>
  <c r="BC49" i="3"/>
  <c r="BA49" i="3"/>
  <c r="AZ49" i="3"/>
  <c r="AX49" i="3"/>
  <c r="AW49" i="3"/>
  <c r="AV49" i="3"/>
  <c r="BP48" i="3"/>
  <c r="BO48" i="3"/>
  <c r="BN48" i="3"/>
  <c r="BM48" i="3"/>
  <c r="BL48" i="3"/>
  <c r="BK48" i="3"/>
  <c r="BJ48" i="3"/>
  <c r="BI48" i="3"/>
  <c r="BH48" i="3"/>
  <c r="BG48" i="3"/>
  <c r="BF48" i="3"/>
  <c r="BE48" i="3"/>
  <c r="BD48" i="3"/>
  <c r="BC48" i="3"/>
  <c r="BA48" i="3"/>
  <c r="AZ48" i="3"/>
  <c r="AX48" i="3"/>
  <c r="AW48" i="3"/>
  <c r="AV48" i="3"/>
  <c r="BP47" i="3"/>
  <c r="BO47" i="3"/>
  <c r="BN47" i="3"/>
  <c r="BM47" i="3"/>
  <c r="BL47" i="3"/>
  <c r="BK47" i="3"/>
  <c r="BJ47" i="3"/>
  <c r="BI47" i="3"/>
  <c r="BH47" i="3"/>
  <c r="BG47" i="3"/>
  <c r="BF47" i="3"/>
  <c r="BE47" i="3"/>
  <c r="BD47" i="3"/>
  <c r="BC47" i="3"/>
  <c r="BA47" i="3"/>
  <c r="AX47" i="3"/>
  <c r="AW47" i="3"/>
  <c r="AV47" i="3"/>
  <c r="BP46" i="3"/>
  <c r="BO46" i="3"/>
  <c r="BN46" i="3"/>
  <c r="BM46" i="3"/>
  <c r="BL46" i="3"/>
  <c r="BK46" i="3"/>
  <c r="BJ46" i="3"/>
  <c r="BI46" i="3"/>
  <c r="BH46" i="3"/>
  <c r="BG46" i="3"/>
  <c r="BF46" i="3"/>
  <c r="BE46" i="3"/>
  <c r="BD46" i="3"/>
  <c r="BC46" i="3"/>
  <c r="BA46" i="3"/>
  <c r="AZ46" i="3"/>
  <c r="AX46" i="3"/>
  <c r="AW46" i="3"/>
  <c r="AV46" i="3"/>
  <c r="BP45" i="3"/>
  <c r="BO45" i="3"/>
  <c r="BN45" i="3"/>
  <c r="BM45" i="3"/>
  <c r="BL45" i="3"/>
  <c r="BK45" i="3"/>
  <c r="BJ45" i="3"/>
  <c r="BI45" i="3"/>
  <c r="BH45" i="3"/>
  <c r="BG45" i="3"/>
  <c r="BF45" i="3"/>
  <c r="BE45" i="3"/>
  <c r="BD45" i="3"/>
  <c r="BC45" i="3"/>
  <c r="BA45" i="3"/>
  <c r="AX45" i="3"/>
  <c r="AW45" i="3"/>
  <c r="AV45" i="3"/>
  <c r="BP44" i="3"/>
  <c r="BO44" i="3"/>
  <c r="BN44" i="3"/>
  <c r="BM44" i="3"/>
  <c r="BL44" i="3"/>
  <c r="BK44" i="3"/>
  <c r="BJ44" i="3"/>
  <c r="BI44" i="3"/>
  <c r="BH44" i="3"/>
  <c r="BG44" i="3"/>
  <c r="BF44" i="3"/>
  <c r="BE44" i="3"/>
  <c r="BD44" i="3"/>
  <c r="BC44" i="3"/>
  <c r="BA44" i="3"/>
  <c r="AZ44" i="3"/>
  <c r="AX44" i="3"/>
  <c r="AW44" i="3"/>
  <c r="AV44" i="3"/>
  <c r="BP43" i="3"/>
  <c r="BO43" i="3"/>
  <c r="BN43" i="3"/>
  <c r="BM43" i="3"/>
  <c r="BL43" i="3"/>
  <c r="BK43" i="3"/>
  <c r="BJ43" i="3"/>
  <c r="BI43" i="3"/>
  <c r="BH43" i="3"/>
  <c r="BG43" i="3"/>
  <c r="BF43" i="3"/>
  <c r="BE43" i="3"/>
  <c r="BD43" i="3"/>
  <c r="BC43" i="3"/>
  <c r="BA43" i="3"/>
  <c r="AX43" i="3"/>
  <c r="AW43" i="3"/>
  <c r="AV43" i="3"/>
  <c r="BP42" i="3"/>
  <c r="BO42" i="3"/>
  <c r="BN42" i="3"/>
  <c r="BM42" i="3"/>
  <c r="BL42" i="3"/>
  <c r="BK42" i="3"/>
  <c r="BJ42" i="3"/>
  <c r="BI42" i="3"/>
  <c r="BH42" i="3"/>
  <c r="BG42" i="3"/>
  <c r="BF42" i="3"/>
  <c r="BE42" i="3"/>
  <c r="BD42" i="3"/>
  <c r="BC42" i="3"/>
  <c r="BA42" i="3"/>
  <c r="AX42" i="3"/>
  <c r="AW42" i="3"/>
  <c r="AV42" i="3"/>
  <c r="BP41" i="3"/>
  <c r="BO41" i="3"/>
  <c r="BN41" i="3"/>
  <c r="BM41" i="3"/>
  <c r="BL41" i="3"/>
  <c r="BK41" i="3"/>
  <c r="BJ41" i="3"/>
  <c r="BI41" i="3"/>
  <c r="BH41" i="3"/>
  <c r="BG41" i="3"/>
  <c r="BF41" i="3"/>
  <c r="BE41" i="3"/>
  <c r="BD41" i="3"/>
  <c r="BC41" i="3"/>
  <c r="BA41" i="3"/>
  <c r="AX41" i="3"/>
  <c r="AW41" i="3"/>
  <c r="AV41" i="3"/>
  <c r="BP40" i="3"/>
  <c r="BO40" i="3"/>
  <c r="BN40" i="3"/>
  <c r="BM40" i="3"/>
  <c r="BL40" i="3"/>
  <c r="BK40" i="3"/>
  <c r="BJ40" i="3"/>
  <c r="BI40" i="3"/>
  <c r="BH40" i="3"/>
  <c r="BG40" i="3"/>
  <c r="BF40" i="3"/>
  <c r="BE40" i="3"/>
  <c r="BD40" i="3"/>
  <c r="BC40" i="3"/>
  <c r="BA40" i="3"/>
  <c r="AZ40" i="3"/>
  <c r="AX40" i="3"/>
  <c r="AW40" i="3"/>
  <c r="AV40" i="3"/>
  <c r="BP39" i="3"/>
  <c r="BO39" i="3"/>
  <c r="BN39" i="3"/>
  <c r="BM39" i="3"/>
  <c r="BL39" i="3"/>
  <c r="BK39" i="3"/>
  <c r="BJ39" i="3"/>
  <c r="BI39" i="3"/>
  <c r="BH39" i="3"/>
  <c r="BG39" i="3"/>
  <c r="BF39" i="3"/>
  <c r="BE39" i="3"/>
  <c r="BD39" i="3"/>
  <c r="BC39" i="3"/>
  <c r="BA39" i="3"/>
  <c r="AX39" i="3"/>
  <c r="AW39" i="3"/>
  <c r="AV39" i="3"/>
  <c r="BP38" i="3"/>
  <c r="BO38" i="3"/>
  <c r="BN38" i="3"/>
  <c r="BM38" i="3"/>
  <c r="BL38" i="3"/>
  <c r="BK38" i="3"/>
  <c r="BJ38" i="3"/>
  <c r="BI38" i="3"/>
  <c r="BH38" i="3"/>
  <c r="BG38" i="3"/>
  <c r="BF38" i="3"/>
  <c r="BE38" i="3"/>
  <c r="BD38" i="3"/>
  <c r="BC38" i="3"/>
  <c r="BA38" i="3"/>
  <c r="AZ38" i="3"/>
  <c r="AX38" i="3"/>
  <c r="AW38" i="3"/>
  <c r="AV38" i="3"/>
  <c r="BP37" i="3"/>
  <c r="BO37" i="3"/>
  <c r="BN37" i="3"/>
  <c r="BM37" i="3"/>
  <c r="BL37" i="3"/>
  <c r="BK37" i="3"/>
  <c r="BJ37" i="3"/>
  <c r="BI37" i="3"/>
  <c r="BH37" i="3"/>
  <c r="BG37" i="3"/>
  <c r="BF37" i="3"/>
  <c r="BE37" i="3"/>
  <c r="BD37" i="3"/>
  <c r="BC37" i="3"/>
  <c r="BA37" i="3"/>
  <c r="AX37" i="3"/>
  <c r="AW37" i="3"/>
  <c r="AV37" i="3"/>
  <c r="BP36" i="3"/>
  <c r="BO36" i="3"/>
  <c r="BN36" i="3"/>
  <c r="BM36" i="3"/>
  <c r="BL36" i="3"/>
  <c r="BK36" i="3"/>
  <c r="BJ36" i="3"/>
  <c r="BI36" i="3"/>
  <c r="BH36" i="3"/>
  <c r="BG36" i="3"/>
  <c r="BF36" i="3"/>
  <c r="BE36" i="3"/>
  <c r="BD36" i="3"/>
  <c r="BC36" i="3"/>
  <c r="BA36" i="3"/>
  <c r="AZ36" i="3"/>
  <c r="AX36" i="3"/>
  <c r="AW36" i="3"/>
  <c r="AV36" i="3"/>
  <c r="BP35" i="3"/>
  <c r="BO35" i="3"/>
  <c r="BN35" i="3"/>
  <c r="BM35" i="3"/>
  <c r="BL35" i="3"/>
  <c r="BK35" i="3"/>
  <c r="BJ35" i="3"/>
  <c r="BI35" i="3"/>
  <c r="BH35" i="3"/>
  <c r="BG35" i="3"/>
  <c r="BF35" i="3"/>
  <c r="BE35" i="3"/>
  <c r="BD35" i="3"/>
  <c r="BC35" i="3"/>
  <c r="BA35" i="3"/>
  <c r="AX35" i="3"/>
  <c r="AW35" i="3"/>
  <c r="AV35" i="3"/>
  <c r="BP34" i="3"/>
  <c r="BO34" i="3"/>
  <c r="BN34" i="3"/>
  <c r="BM34" i="3"/>
  <c r="BL34" i="3"/>
  <c r="BK34" i="3"/>
  <c r="BJ34" i="3"/>
  <c r="BI34" i="3"/>
  <c r="BH34" i="3"/>
  <c r="BG34" i="3"/>
  <c r="BF34" i="3"/>
  <c r="BE34" i="3"/>
  <c r="BD34" i="3"/>
  <c r="BC34" i="3"/>
  <c r="BA34" i="3"/>
  <c r="AZ34" i="3"/>
  <c r="AX34" i="3"/>
  <c r="AW34" i="3"/>
  <c r="AV34" i="3"/>
  <c r="BP33" i="3"/>
  <c r="BO33" i="3"/>
  <c r="BN33" i="3"/>
  <c r="BM33" i="3"/>
  <c r="BL33" i="3"/>
  <c r="BK33" i="3"/>
  <c r="BJ33" i="3"/>
  <c r="BI33" i="3"/>
  <c r="BH33" i="3"/>
  <c r="BG33" i="3"/>
  <c r="BF33" i="3"/>
  <c r="BE33" i="3"/>
  <c r="BD33" i="3"/>
  <c r="BC33" i="3"/>
  <c r="BA33" i="3"/>
  <c r="AX33" i="3"/>
  <c r="AW33" i="3"/>
  <c r="AV33" i="3"/>
  <c r="BP32" i="3"/>
  <c r="BO32" i="3"/>
  <c r="BN32" i="3"/>
  <c r="BM32" i="3"/>
  <c r="BL32" i="3"/>
  <c r="BK32" i="3"/>
  <c r="BJ32" i="3"/>
  <c r="BI32" i="3"/>
  <c r="BH32" i="3"/>
  <c r="BG32" i="3"/>
  <c r="BF32" i="3"/>
  <c r="BE32" i="3"/>
  <c r="BD32" i="3"/>
  <c r="BC32" i="3"/>
  <c r="BA32" i="3"/>
  <c r="AX32" i="3"/>
  <c r="AW32" i="3"/>
  <c r="AV32" i="3"/>
  <c r="BP31" i="3"/>
  <c r="BO31" i="3"/>
  <c r="BN31" i="3"/>
  <c r="BM31" i="3"/>
  <c r="BL31" i="3"/>
  <c r="BK31" i="3"/>
  <c r="BJ31" i="3"/>
  <c r="BI31" i="3"/>
  <c r="BH31" i="3"/>
  <c r="BG31" i="3"/>
  <c r="BF31" i="3"/>
  <c r="BE31" i="3"/>
  <c r="BD31" i="3"/>
  <c r="BC31" i="3"/>
  <c r="BA31" i="3"/>
  <c r="AX31" i="3"/>
  <c r="AW31" i="3"/>
  <c r="AV31" i="3"/>
  <c r="BP30" i="3"/>
  <c r="BO30" i="3"/>
  <c r="BN30" i="3"/>
  <c r="BM30" i="3"/>
  <c r="BL30" i="3"/>
  <c r="BK30" i="3"/>
  <c r="BJ30" i="3"/>
  <c r="BI30" i="3"/>
  <c r="BH30" i="3"/>
  <c r="BG30" i="3"/>
  <c r="BF30" i="3"/>
  <c r="BE30" i="3"/>
  <c r="BD30" i="3"/>
  <c r="BC30" i="3"/>
  <c r="BA30" i="3"/>
  <c r="AZ30" i="3"/>
  <c r="AX30" i="3"/>
  <c r="AW30" i="3"/>
  <c r="AV30" i="3"/>
  <c r="BP29" i="3"/>
  <c r="BO29" i="3"/>
  <c r="BN29" i="3"/>
  <c r="BM29" i="3"/>
  <c r="BL29" i="3"/>
  <c r="BK29" i="3"/>
  <c r="BJ29" i="3"/>
  <c r="BI29" i="3"/>
  <c r="BH29" i="3"/>
  <c r="BG29" i="3"/>
  <c r="BF29" i="3"/>
  <c r="BE29" i="3"/>
  <c r="BD29" i="3"/>
  <c r="BC29" i="3"/>
  <c r="BA29" i="3"/>
  <c r="AX29" i="3"/>
  <c r="AW29" i="3"/>
  <c r="AV29" i="3"/>
  <c r="BP28" i="3"/>
  <c r="BO28" i="3"/>
  <c r="BN28" i="3"/>
  <c r="BM28" i="3"/>
  <c r="BL28" i="3"/>
  <c r="BK28" i="3"/>
  <c r="BJ28" i="3"/>
  <c r="BI28" i="3"/>
  <c r="BH28" i="3"/>
  <c r="BG28" i="3"/>
  <c r="BF28" i="3"/>
  <c r="BE28" i="3"/>
  <c r="BD28" i="3"/>
  <c r="BC28" i="3"/>
  <c r="BA28" i="3"/>
  <c r="AX28" i="3"/>
  <c r="AW28" i="3"/>
  <c r="AV28" i="3"/>
  <c r="BP27" i="3"/>
  <c r="BO27" i="3"/>
  <c r="BN27" i="3"/>
  <c r="BM27" i="3"/>
  <c r="BL27" i="3"/>
  <c r="BK27" i="3"/>
  <c r="BJ27" i="3"/>
  <c r="BI27" i="3"/>
  <c r="BH27" i="3"/>
  <c r="BG27" i="3"/>
  <c r="BF27" i="3"/>
  <c r="BE27" i="3"/>
  <c r="BD27" i="3"/>
  <c r="BC27" i="3"/>
  <c r="BA27" i="3"/>
  <c r="AZ27" i="3"/>
  <c r="AX27" i="3"/>
  <c r="AW27" i="3"/>
  <c r="AV27" i="3"/>
  <c r="BP26" i="3"/>
  <c r="BO26" i="3"/>
  <c r="BN26" i="3"/>
  <c r="BM26" i="3"/>
  <c r="BL26" i="3"/>
  <c r="BK26" i="3"/>
  <c r="BJ26" i="3"/>
  <c r="BI26" i="3"/>
  <c r="BH26" i="3"/>
  <c r="BG26" i="3"/>
  <c r="BF26" i="3"/>
  <c r="BE26" i="3"/>
  <c r="BD26" i="3"/>
  <c r="BC26" i="3"/>
  <c r="BA26" i="3"/>
  <c r="AX26" i="3"/>
  <c r="AW26" i="3"/>
  <c r="AV26" i="3"/>
  <c r="BP25" i="3"/>
  <c r="BO25" i="3"/>
  <c r="BN25" i="3"/>
  <c r="BM25" i="3"/>
  <c r="BL25" i="3"/>
  <c r="BK25" i="3"/>
  <c r="BJ25" i="3"/>
  <c r="BI25" i="3"/>
  <c r="BH25" i="3"/>
  <c r="BG25" i="3"/>
  <c r="BF25" i="3"/>
  <c r="BE25" i="3"/>
  <c r="BD25" i="3"/>
  <c r="BC25" i="3"/>
  <c r="BA25" i="3"/>
  <c r="AZ25" i="3"/>
  <c r="AX25" i="3"/>
  <c r="AW25" i="3"/>
  <c r="AV25" i="3"/>
  <c r="BP24" i="3"/>
  <c r="BO24" i="3"/>
  <c r="BN24" i="3"/>
  <c r="BM24" i="3"/>
  <c r="BL24" i="3"/>
  <c r="BK24" i="3"/>
  <c r="BJ24" i="3"/>
  <c r="BI24" i="3"/>
  <c r="BH24" i="3"/>
  <c r="BG24" i="3"/>
  <c r="BF24" i="3"/>
  <c r="BE24" i="3"/>
  <c r="BD24" i="3"/>
  <c r="BC24" i="3"/>
  <c r="BA24" i="3"/>
  <c r="AX24" i="3"/>
  <c r="AW24" i="3"/>
  <c r="AV24" i="3"/>
  <c r="BP23" i="3"/>
  <c r="BO23" i="3"/>
  <c r="BN23" i="3"/>
  <c r="BM23" i="3"/>
  <c r="BL23" i="3"/>
  <c r="BK23" i="3"/>
  <c r="BJ23" i="3"/>
  <c r="BI23" i="3"/>
  <c r="BH23" i="3"/>
  <c r="BG23" i="3"/>
  <c r="BF23" i="3"/>
  <c r="BE23" i="3"/>
  <c r="BD23" i="3"/>
  <c r="BC23" i="3"/>
  <c r="BA23" i="3"/>
  <c r="AZ23" i="3"/>
  <c r="AX23" i="3"/>
  <c r="AW23" i="3"/>
  <c r="AV23" i="3"/>
  <c r="BP22" i="3"/>
  <c r="BO22" i="3"/>
  <c r="BN22" i="3"/>
  <c r="BM22" i="3"/>
  <c r="BL22" i="3"/>
  <c r="BK22" i="3"/>
  <c r="BJ22" i="3"/>
  <c r="BI22" i="3"/>
  <c r="BH22" i="3"/>
  <c r="BG22" i="3"/>
  <c r="BF22" i="3"/>
  <c r="BE22" i="3"/>
  <c r="BD22" i="3"/>
  <c r="BC22" i="3"/>
  <c r="BA22" i="3"/>
  <c r="AZ22" i="3"/>
  <c r="AX22" i="3"/>
  <c r="AW22" i="3"/>
  <c r="AV22" i="3"/>
  <c r="BP21" i="3"/>
  <c r="BO21" i="3"/>
  <c r="BN21" i="3"/>
  <c r="BM21" i="3"/>
  <c r="BL21" i="3"/>
  <c r="BK21" i="3"/>
  <c r="BJ21" i="3"/>
  <c r="BI21" i="3"/>
  <c r="BH21" i="3"/>
  <c r="BG21" i="3"/>
  <c r="BF21" i="3"/>
  <c r="BE21" i="3"/>
  <c r="BD21" i="3"/>
  <c r="BC21" i="3"/>
  <c r="BA21" i="3"/>
  <c r="AX21" i="3"/>
  <c r="AW21" i="3"/>
  <c r="AV21" i="3"/>
  <c r="BP20" i="3"/>
  <c r="BO20" i="3"/>
  <c r="BN20" i="3"/>
  <c r="BM20" i="3"/>
  <c r="BL20" i="3"/>
  <c r="BK20" i="3"/>
  <c r="BJ20" i="3"/>
  <c r="BI20" i="3"/>
  <c r="BH20" i="3"/>
  <c r="BG20" i="3"/>
  <c r="BF20" i="3"/>
  <c r="BE20" i="3"/>
  <c r="BD20" i="3"/>
  <c r="BC20" i="3"/>
  <c r="BA20" i="3"/>
  <c r="AX20" i="3"/>
  <c r="AW20" i="3"/>
  <c r="AV20" i="3"/>
  <c r="AX19" i="3"/>
  <c r="AW19" i="3"/>
  <c r="AV19" i="3"/>
  <c r="AX18" i="3"/>
  <c r="AW18" i="3"/>
  <c r="AV18" i="3"/>
  <c r="BP207" i="3"/>
  <c r="BO207" i="3"/>
  <c r="BN207" i="3"/>
  <c r="BM207" i="3"/>
  <c r="BL207" i="3"/>
  <c r="BK207" i="3"/>
  <c r="BJ207" i="3"/>
  <c r="BI207" i="3"/>
  <c r="BH207" i="3"/>
  <c r="BG207" i="3"/>
  <c r="BF207" i="3"/>
  <c r="BE207" i="3"/>
  <c r="BD207" i="3"/>
  <c r="BC207" i="3"/>
  <c r="BA207" i="3"/>
  <c r="AZ207" i="3"/>
  <c r="AX207" i="3"/>
  <c r="AW207" i="3"/>
  <c r="AV207" i="3"/>
  <c r="BP206" i="3"/>
  <c r="BO206" i="3"/>
  <c r="BN206" i="3"/>
  <c r="BM206" i="3"/>
  <c r="BL206" i="3"/>
  <c r="BK206" i="3"/>
  <c r="BJ206" i="3"/>
  <c r="BI206" i="3"/>
  <c r="BH206" i="3"/>
  <c r="BG206" i="3"/>
  <c r="BF206" i="3"/>
  <c r="BE206" i="3"/>
  <c r="BD206" i="3"/>
  <c r="BC206" i="3"/>
  <c r="BA206" i="3"/>
  <c r="AX206" i="3"/>
  <c r="AW206" i="3"/>
  <c r="AV206" i="3"/>
  <c r="BP205" i="3"/>
  <c r="BO205" i="3"/>
  <c r="BN205" i="3"/>
  <c r="BM205" i="3"/>
  <c r="BL205" i="3"/>
  <c r="BK205" i="3"/>
  <c r="BJ205" i="3"/>
  <c r="BI205" i="3"/>
  <c r="BH205" i="3"/>
  <c r="BG205" i="3"/>
  <c r="BF205" i="3"/>
  <c r="BE205" i="3"/>
  <c r="BD205" i="3"/>
  <c r="BC205" i="3"/>
  <c r="BA205" i="3"/>
  <c r="AZ205" i="3"/>
  <c r="AX205" i="3"/>
  <c r="AW205" i="3"/>
  <c r="AV205" i="3"/>
  <c r="BP204" i="3"/>
  <c r="BO204" i="3"/>
  <c r="BN204" i="3"/>
  <c r="BM204" i="3"/>
  <c r="BK204" i="3"/>
  <c r="BJ204" i="3"/>
  <c r="BI204" i="3"/>
  <c r="BH204" i="3"/>
  <c r="BG204" i="3"/>
  <c r="BF204" i="3"/>
  <c r="BE204" i="3"/>
  <c r="BD204" i="3"/>
  <c r="BC204" i="3"/>
  <c r="BA204" i="3"/>
  <c r="AX204" i="3"/>
  <c r="AW204" i="3"/>
  <c r="AV204" i="3"/>
  <c r="BP203" i="3"/>
  <c r="BO203" i="3"/>
  <c r="BN203" i="3"/>
  <c r="BM203" i="3"/>
  <c r="BL203" i="3"/>
  <c r="BK203" i="3"/>
  <c r="BJ203" i="3"/>
  <c r="BI203" i="3"/>
  <c r="BH203" i="3"/>
  <c r="BG203" i="3"/>
  <c r="BF203" i="3"/>
  <c r="BE203" i="3"/>
  <c r="BD203" i="3"/>
  <c r="BC203" i="3"/>
  <c r="AX203" i="3"/>
  <c r="AW203" i="3"/>
  <c r="AV203" i="3"/>
  <c r="BP202" i="3"/>
  <c r="BO202" i="3"/>
  <c r="BN202" i="3"/>
  <c r="BM202" i="3"/>
  <c r="BL202" i="3"/>
  <c r="BK202" i="3"/>
  <c r="BJ202" i="3"/>
  <c r="BI202" i="3"/>
  <c r="BH202" i="3"/>
  <c r="BG202" i="3"/>
  <c r="BF202" i="3"/>
  <c r="BE202" i="3"/>
  <c r="BD202" i="3"/>
  <c r="BC202" i="3"/>
  <c r="BA202" i="3"/>
  <c r="AX202" i="3"/>
  <c r="AW202" i="3"/>
  <c r="AV202" i="3"/>
  <c r="BP201" i="3"/>
  <c r="BO201" i="3"/>
  <c r="BN201" i="3"/>
  <c r="BM201" i="3"/>
  <c r="BL201" i="3"/>
  <c r="BK201" i="3"/>
  <c r="BJ201" i="3"/>
  <c r="BI201" i="3"/>
  <c r="BH201" i="3"/>
  <c r="BG201" i="3"/>
  <c r="BF201" i="3"/>
  <c r="BE201" i="3"/>
  <c r="BD201" i="3"/>
  <c r="BC201" i="3"/>
  <c r="BA201" i="3"/>
  <c r="AZ201" i="3"/>
  <c r="AX201" i="3"/>
  <c r="AW201" i="3"/>
  <c r="AV201" i="3"/>
  <c r="BP200" i="3"/>
  <c r="BO200" i="3"/>
  <c r="BN200" i="3"/>
  <c r="BM200" i="3"/>
  <c r="BK200" i="3"/>
  <c r="BJ200" i="3"/>
  <c r="BI200" i="3"/>
  <c r="BH200" i="3"/>
  <c r="BG200" i="3"/>
  <c r="BF200" i="3"/>
  <c r="BE200" i="3"/>
  <c r="BD200" i="3"/>
  <c r="BC200" i="3"/>
  <c r="BA200" i="3"/>
  <c r="AX200" i="3"/>
  <c r="AW200" i="3"/>
  <c r="AV200" i="3"/>
  <c r="BP199" i="3"/>
  <c r="BO199" i="3"/>
  <c r="BN199" i="3"/>
  <c r="BM199" i="3"/>
  <c r="BL199" i="3"/>
  <c r="BK199" i="3"/>
  <c r="BJ199" i="3"/>
  <c r="BI199" i="3"/>
  <c r="BH199" i="3"/>
  <c r="BG199" i="3"/>
  <c r="BF199" i="3"/>
  <c r="BE199" i="3"/>
  <c r="BD199" i="3"/>
  <c r="BC199" i="3"/>
  <c r="AX199" i="3"/>
  <c r="AW199" i="3"/>
  <c r="AV199" i="3"/>
  <c r="BP198" i="3"/>
  <c r="BO198" i="3"/>
  <c r="BN198" i="3"/>
  <c r="BM198" i="3"/>
  <c r="BL198" i="3"/>
  <c r="BK198" i="3"/>
  <c r="BJ198" i="3"/>
  <c r="BI198" i="3"/>
  <c r="BH198" i="3"/>
  <c r="BG198" i="3"/>
  <c r="BF198" i="3"/>
  <c r="BE198" i="3"/>
  <c r="BD198" i="3"/>
  <c r="BC198" i="3"/>
  <c r="BA198" i="3"/>
  <c r="AX198" i="3"/>
  <c r="AW198" i="3"/>
  <c r="AV198" i="3"/>
  <c r="BP197" i="3"/>
  <c r="BO197" i="3"/>
  <c r="BN197" i="3"/>
  <c r="BM197" i="3"/>
  <c r="BL197" i="3"/>
  <c r="BK197" i="3"/>
  <c r="BJ197" i="3"/>
  <c r="BI197" i="3"/>
  <c r="BH197" i="3"/>
  <c r="BG197" i="3"/>
  <c r="BF197" i="3"/>
  <c r="BE197" i="3"/>
  <c r="BD197" i="3"/>
  <c r="BC197" i="3"/>
  <c r="BA197" i="3"/>
  <c r="AX197" i="3"/>
  <c r="AW197" i="3"/>
  <c r="AV197" i="3"/>
  <c r="BP196" i="3"/>
  <c r="BO196" i="3"/>
  <c r="BN196" i="3"/>
  <c r="BM196" i="3"/>
  <c r="BK196" i="3"/>
  <c r="BJ196" i="3"/>
  <c r="BI196" i="3"/>
  <c r="BH196" i="3"/>
  <c r="BG196" i="3"/>
  <c r="BF196" i="3"/>
  <c r="BE196" i="3"/>
  <c r="BD196" i="3"/>
  <c r="BC196" i="3"/>
  <c r="BA196" i="3"/>
  <c r="AX196" i="3"/>
  <c r="AW196" i="3"/>
  <c r="AV196" i="3"/>
  <c r="BP195" i="3"/>
  <c r="BO195" i="3"/>
  <c r="BN195" i="3"/>
  <c r="BM195" i="3"/>
  <c r="BL195" i="3"/>
  <c r="BK195" i="3"/>
  <c r="BJ195" i="3"/>
  <c r="BI195" i="3"/>
  <c r="BH195" i="3"/>
  <c r="BG195" i="3"/>
  <c r="BF195" i="3"/>
  <c r="BE195" i="3"/>
  <c r="BD195" i="3"/>
  <c r="BC195" i="3"/>
  <c r="AX195" i="3"/>
  <c r="AW195" i="3"/>
  <c r="AV195" i="3"/>
  <c r="BP194" i="3"/>
  <c r="BO194" i="3"/>
  <c r="BN194" i="3"/>
  <c r="BM194" i="3"/>
  <c r="BL194" i="3"/>
  <c r="BK194" i="3"/>
  <c r="BJ194" i="3"/>
  <c r="BI194" i="3"/>
  <c r="BH194" i="3"/>
  <c r="BG194" i="3"/>
  <c r="BF194" i="3"/>
  <c r="BE194" i="3"/>
  <c r="BD194" i="3"/>
  <c r="BC194" i="3"/>
  <c r="BA194" i="3"/>
  <c r="AX194" i="3"/>
  <c r="AW194" i="3"/>
  <c r="AV194" i="3"/>
  <c r="BP193" i="3"/>
  <c r="BO193" i="3"/>
  <c r="BN193" i="3"/>
  <c r="BM193" i="3"/>
  <c r="BL193" i="3"/>
  <c r="BK193" i="3"/>
  <c r="BJ193" i="3"/>
  <c r="BI193" i="3"/>
  <c r="BH193" i="3"/>
  <c r="BG193" i="3"/>
  <c r="BF193" i="3"/>
  <c r="BE193" i="3"/>
  <c r="BD193" i="3"/>
  <c r="BC193" i="3"/>
  <c r="BA193" i="3"/>
  <c r="AZ193" i="3"/>
  <c r="AX193" i="3"/>
  <c r="AW193" i="3"/>
  <c r="AV193" i="3"/>
  <c r="BP192" i="3"/>
  <c r="BO192" i="3"/>
  <c r="BN192" i="3"/>
  <c r="BM192" i="3"/>
  <c r="BK192" i="3"/>
  <c r="BJ192" i="3"/>
  <c r="BI192" i="3"/>
  <c r="BH192" i="3"/>
  <c r="BG192" i="3"/>
  <c r="BF192" i="3"/>
  <c r="BE192" i="3"/>
  <c r="BD192" i="3"/>
  <c r="BC192" i="3"/>
  <c r="BA192" i="3"/>
  <c r="AX192" i="3"/>
  <c r="AW192" i="3"/>
  <c r="AV192" i="3"/>
  <c r="BP191" i="3"/>
  <c r="BO191" i="3"/>
  <c r="BN191" i="3"/>
  <c r="BM191" i="3"/>
  <c r="BL191" i="3"/>
  <c r="BK191" i="3"/>
  <c r="BJ191" i="3"/>
  <c r="BI191" i="3"/>
  <c r="BH191" i="3"/>
  <c r="BG191" i="3"/>
  <c r="BF191" i="3"/>
  <c r="BE191" i="3"/>
  <c r="BD191" i="3"/>
  <c r="BC191" i="3"/>
  <c r="AX191" i="3"/>
  <c r="AW191" i="3"/>
  <c r="AV191" i="3"/>
  <c r="BP190" i="3"/>
  <c r="BO190" i="3"/>
  <c r="BN190" i="3"/>
  <c r="BM190" i="3"/>
  <c r="BL190" i="3"/>
  <c r="BK190" i="3"/>
  <c r="BJ190" i="3"/>
  <c r="BI190" i="3"/>
  <c r="BH190" i="3"/>
  <c r="BG190" i="3"/>
  <c r="BF190" i="3"/>
  <c r="BE190" i="3"/>
  <c r="BD190" i="3"/>
  <c r="BC190" i="3"/>
  <c r="BA190" i="3"/>
  <c r="AX190" i="3"/>
  <c r="AW190" i="3"/>
  <c r="AV190" i="3"/>
  <c r="BP189" i="3"/>
  <c r="BO189" i="3"/>
  <c r="BN189" i="3"/>
  <c r="BM189" i="3"/>
  <c r="BL189" i="3"/>
  <c r="BK189" i="3"/>
  <c r="BJ189" i="3"/>
  <c r="BI189" i="3"/>
  <c r="BH189" i="3"/>
  <c r="BG189" i="3"/>
  <c r="BF189" i="3"/>
  <c r="BE189" i="3"/>
  <c r="BD189" i="3"/>
  <c r="BC189" i="3"/>
  <c r="BA189" i="3"/>
  <c r="AX189" i="3"/>
  <c r="AW189" i="3"/>
  <c r="AV189" i="3"/>
  <c r="BP188" i="3"/>
  <c r="BO188" i="3"/>
  <c r="BN188" i="3"/>
  <c r="BM188" i="3"/>
  <c r="BK188" i="3"/>
  <c r="BJ188" i="3"/>
  <c r="BI188" i="3"/>
  <c r="BH188" i="3"/>
  <c r="BG188" i="3"/>
  <c r="BF188" i="3"/>
  <c r="BE188" i="3"/>
  <c r="BD188" i="3"/>
  <c r="BC188" i="3"/>
  <c r="BA188" i="3"/>
  <c r="AX188" i="3"/>
  <c r="AW188" i="3"/>
  <c r="AV188" i="3"/>
  <c r="BP187" i="3"/>
  <c r="BO187" i="3"/>
  <c r="BN187" i="3"/>
  <c r="BM187" i="3"/>
  <c r="BL187" i="3"/>
  <c r="BK187" i="3"/>
  <c r="BJ187" i="3"/>
  <c r="BI187" i="3"/>
  <c r="BH187" i="3"/>
  <c r="BG187" i="3"/>
  <c r="BF187" i="3"/>
  <c r="BE187" i="3"/>
  <c r="BD187" i="3"/>
  <c r="BC187" i="3"/>
  <c r="AX187" i="3"/>
  <c r="AW187" i="3"/>
  <c r="AV187" i="3"/>
  <c r="BP186" i="3"/>
  <c r="BO186" i="3"/>
  <c r="BN186" i="3"/>
  <c r="BM186" i="3"/>
  <c r="BL186" i="3"/>
  <c r="BK186" i="3"/>
  <c r="BJ186" i="3"/>
  <c r="BI186" i="3"/>
  <c r="BH186" i="3"/>
  <c r="BG186" i="3"/>
  <c r="BF186" i="3"/>
  <c r="BE186" i="3"/>
  <c r="BD186" i="3"/>
  <c r="BC186" i="3"/>
  <c r="BA186" i="3"/>
  <c r="AX186" i="3"/>
  <c r="AW186" i="3"/>
  <c r="AV186" i="3"/>
  <c r="BP185" i="3"/>
  <c r="BO185" i="3"/>
  <c r="BN185" i="3"/>
  <c r="BM185" i="3"/>
  <c r="BL185" i="3"/>
  <c r="BK185" i="3"/>
  <c r="BJ185" i="3"/>
  <c r="BI185" i="3"/>
  <c r="BH185" i="3"/>
  <c r="BG185" i="3"/>
  <c r="BF185" i="3"/>
  <c r="BE185" i="3"/>
  <c r="BD185" i="3"/>
  <c r="BC185" i="3"/>
  <c r="BA185" i="3"/>
  <c r="AZ185" i="3"/>
  <c r="AX185" i="3"/>
  <c r="AW185" i="3"/>
  <c r="AV185" i="3"/>
  <c r="BP184" i="3"/>
  <c r="BO184" i="3"/>
  <c r="BN184" i="3"/>
  <c r="BM184" i="3"/>
  <c r="BK184" i="3"/>
  <c r="BJ184" i="3"/>
  <c r="BI184" i="3"/>
  <c r="BH184" i="3"/>
  <c r="BG184" i="3"/>
  <c r="BF184" i="3"/>
  <c r="BE184" i="3"/>
  <c r="BD184" i="3"/>
  <c r="BC184" i="3"/>
  <c r="BA184" i="3"/>
  <c r="AX184" i="3"/>
  <c r="AW184" i="3"/>
  <c r="AV184" i="3"/>
  <c r="BP183" i="3"/>
  <c r="BO183" i="3"/>
  <c r="BN183" i="3"/>
  <c r="BM183" i="3"/>
  <c r="BL183" i="3"/>
  <c r="BK183" i="3"/>
  <c r="BJ183" i="3"/>
  <c r="BI183" i="3"/>
  <c r="BH183" i="3"/>
  <c r="BG183" i="3"/>
  <c r="BF183" i="3"/>
  <c r="BE183" i="3"/>
  <c r="BD183" i="3"/>
  <c r="BC183" i="3"/>
  <c r="AX183" i="3"/>
  <c r="AW183" i="3"/>
  <c r="AV183" i="3"/>
  <c r="BP182" i="3"/>
  <c r="BO182" i="3"/>
  <c r="BN182" i="3"/>
  <c r="BM182" i="3"/>
  <c r="BL182" i="3"/>
  <c r="BK182" i="3"/>
  <c r="BJ182" i="3"/>
  <c r="BI182" i="3"/>
  <c r="BH182" i="3"/>
  <c r="BG182" i="3"/>
  <c r="BF182" i="3"/>
  <c r="BE182" i="3"/>
  <c r="BD182" i="3"/>
  <c r="BC182" i="3"/>
  <c r="BA182" i="3"/>
  <c r="AX182" i="3"/>
  <c r="AW182" i="3"/>
  <c r="AV182" i="3"/>
  <c r="BP181" i="3"/>
  <c r="BO181" i="3"/>
  <c r="BN181" i="3"/>
  <c r="BM181" i="3"/>
  <c r="BL181" i="3"/>
  <c r="BK181" i="3"/>
  <c r="BJ181" i="3"/>
  <c r="BI181" i="3"/>
  <c r="BH181" i="3"/>
  <c r="BG181" i="3"/>
  <c r="BF181" i="3"/>
  <c r="BE181" i="3"/>
  <c r="BD181" i="3"/>
  <c r="BC181" i="3"/>
  <c r="BA181" i="3"/>
  <c r="AX181" i="3"/>
  <c r="AW181" i="3"/>
  <c r="AV181" i="3"/>
  <c r="BP180" i="3"/>
  <c r="BO180" i="3"/>
  <c r="BN180" i="3"/>
  <c r="BM180" i="3"/>
  <c r="BK180" i="3"/>
  <c r="BJ180" i="3"/>
  <c r="BI180" i="3"/>
  <c r="BH180" i="3"/>
  <c r="BG180" i="3"/>
  <c r="BF180" i="3"/>
  <c r="BE180" i="3"/>
  <c r="BD180" i="3"/>
  <c r="BC180" i="3"/>
  <c r="BA180" i="3"/>
  <c r="AX180" i="3"/>
  <c r="AW180" i="3"/>
  <c r="AV180" i="3"/>
  <c r="BP179" i="3"/>
  <c r="BO179" i="3"/>
  <c r="BN179" i="3"/>
  <c r="BM179" i="3"/>
  <c r="BL179" i="3"/>
  <c r="BK179" i="3"/>
  <c r="BJ179" i="3"/>
  <c r="BI179" i="3"/>
  <c r="BH179" i="3"/>
  <c r="BG179" i="3"/>
  <c r="BF179" i="3"/>
  <c r="BE179" i="3"/>
  <c r="BD179" i="3"/>
  <c r="BC179" i="3"/>
  <c r="AX179" i="3"/>
  <c r="AW179" i="3"/>
  <c r="AV179" i="3"/>
  <c r="BP178" i="3"/>
  <c r="BO178" i="3"/>
  <c r="BN178" i="3"/>
  <c r="BM178" i="3"/>
  <c r="BL178" i="3"/>
  <c r="BK178" i="3"/>
  <c r="BJ178" i="3"/>
  <c r="BI178" i="3"/>
  <c r="BH178" i="3"/>
  <c r="BG178" i="3"/>
  <c r="BF178" i="3"/>
  <c r="BE178" i="3"/>
  <c r="BD178" i="3"/>
  <c r="BC178" i="3"/>
  <c r="BA178" i="3"/>
  <c r="AX178" i="3"/>
  <c r="AW178" i="3"/>
  <c r="AV178" i="3"/>
  <c r="BP177" i="3"/>
  <c r="BO177" i="3"/>
  <c r="BN177" i="3"/>
  <c r="BM177" i="3"/>
  <c r="BL177" i="3"/>
  <c r="BK177" i="3"/>
  <c r="BJ177" i="3"/>
  <c r="BI177" i="3"/>
  <c r="BH177" i="3"/>
  <c r="BG177" i="3"/>
  <c r="BF177" i="3"/>
  <c r="BE177" i="3"/>
  <c r="BD177" i="3"/>
  <c r="BC177" i="3"/>
  <c r="BA177" i="3"/>
  <c r="AZ177" i="3"/>
  <c r="AX177" i="3"/>
  <c r="AW177" i="3"/>
  <c r="AV177" i="3"/>
  <c r="BP176" i="3"/>
  <c r="BO176" i="3"/>
  <c r="BN176" i="3"/>
  <c r="BM176" i="3"/>
  <c r="BK176" i="3"/>
  <c r="BJ176" i="3"/>
  <c r="BI176" i="3"/>
  <c r="BH176" i="3"/>
  <c r="BG176" i="3"/>
  <c r="BF176" i="3"/>
  <c r="BE176" i="3"/>
  <c r="BD176" i="3"/>
  <c r="BC176" i="3"/>
  <c r="BA176" i="3"/>
  <c r="AX176" i="3"/>
  <c r="AW176" i="3"/>
  <c r="AV176" i="3"/>
  <c r="BP175" i="3"/>
  <c r="BO175" i="3"/>
  <c r="BN175" i="3"/>
  <c r="BM175" i="3"/>
  <c r="BL175" i="3"/>
  <c r="BK175" i="3"/>
  <c r="BJ175" i="3"/>
  <c r="BI175" i="3"/>
  <c r="BH175" i="3"/>
  <c r="BG175" i="3"/>
  <c r="BF175" i="3"/>
  <c r="BE175" i="3"/>
  <c r="BD175" i="3"/>
  <c r="BC175" i="3"/>
  <c r="AX175" i="3"/>
  <c r="AW175" i="3"/>
  <c r="AV175" i="3"/>
  <c r="BP174" i="3"/>
  <c r="BO174" i="3"/>
  <c r="BN174" i="3"/>
  <c r="BM174" i="3"/>
  <c r="BL174" i="3"/>
  <c r="BK174" i="3"/>
  <c r="BJ174" i="3"/>
  <c r="BI174" i="3"/>
  <c r="BH174" i="3"/>
  <c r="BG174" i="3"/>
  <c r="BF174" i="3"/>
  <c r="BE174" i="3"/>
  <c r="BD174" i="3"/>
  <c r="BC174" i="3"/>
  <c r="BA174" i="3"/>
  <c r="AX174" i="3"/>
  <c r="AW174" i="3"/>
  <c r="AV174" i="3"/>
  <c r="BP173" i="3"/>
  <c r="BO173" i="3"/>
  <c r="BN173" i="3"/>
  <c r="BM173" i="3"/>
  <c r="BL173" i="3"/>
  <c r="BK173" i="3"/>
  <c r="BJ173" i="3"/>
  <c r="BI173" i="3"/>
  <c r="BH173" i="3"/>
  <c r="BG173" i="3"/>
  <c r="BF173" i="3"/>
  <c r="BE173" i="3"/>
  <c r="BD173" i="3"/>
  <c r="BC173" i="3"/>
  <c r="BA173" i="3"/>
  <c r="AX173" i="3"/>
  <c r="AW173" i="3"/>
  <c r="AV173" i="3"/>
  <c r="BP172" i="3"/>
  <c r="BO172" i="3"/>
  <c r="BN172" i="3"/>
  <c r="BM172" i="3"/>
  <c r="BK172" i="3"/>
  <c r="BJ172" i="3"/>
  <c r="BI172" i="3"/>
  <c r="BH172" i="3"/>
  <c r="BG172" i="3"/>
  <c r="BF172" i="3"/>
  <c r="BE172" i="3"/>
  <c r="BD172" i="3"/>
  <c r="BC172" i="3"/>
  <c r="BA172" i="3"/>
  <c r="AX172" i="3"/>
  <c r="AW172" i="3"/>
  <c r="AV172" i="3"/>
  <c r="BP171" i="3"/>
  <c r="BO171" i="3"/>
  <c r="BN171" i="3"/>
  <c r="BM171" i="3"/>
  <c r="BL171" i="3"/>
  <c r="BK171" i="3"/>
  <c r="BJ171" i="3"/>
  <c r="BI171" i="3"/>
  <c r="BH171" i="3"/>
  <c r="BG171" i="3"/>
  <c r="BF171" i="3"/>
  <c r="BE171" i="3"/>
  <c r="BD171" i="3"/>
  <c r="BC171" i="3"/>
  <c r="AX171" i="3"/>
  <c r="AW171" i="3"/>
  <c r="AV171" i="3"/>
  <c r="BP170" i="3"/>
  <c r="BO170" i="3"/>
  <c r="BN170" i="3"/>
  <c r="BM170" i="3"/>
  <c r="BL170" i="3"/>
  <c r="BK170" i="3"/>
  <c r="BJ170" i="3"/>
  <c r="BI170" i="3"/>
  <c r="BH170" i="3"/>
  <c r="BG170" i="3"/>
  <c r="BF170" i="3"/>
  <c r="BE170" i="3"/>
  <c r="BD170" i="3"/>
  <c r="BC170" i="3"/>
  <c r="BA170" i="3"/>
  <c r="AX170" i="3"/>
  <c r="AW170" i="3"/>
  <c r="AV170" i="3"/>
  <c r="BP169" i="3"/>
  <c r="BO169" i="3"/>
  <c r="BN169" i="3"/>
  <c r="BM169" i="3"/>
  <c r="BL169" i="3"/>
  <c r="BK169" i="3"/>
  <c r="BJ169" i="3"/>
  <c r="BI169" i="3"/>
  <c r="BH169" i="3"/>
  <c r="BG169" i="3"/>
  <c r="BF169" i="3"/>
  <c r="BE169" i="3"/>
  <c r="BD169" i="3"/>
  <c r="BC169" i="3"/>
  <c r="BA169" i="3"/>
  <c r="AZ169" i="3"/>
  <c r="AX169" i="3"/>
  <c r="AW169" i="3"/>
  <c r="AV169" i="3"/>
  <c r="BP168" i="3"/>
  <c r="BO168" i="3"/>
  <c r="BN168" i="3"/>
  <c r="BM168" i="3"/>
  <c r="BK168" i="3"/>
  <c r="BJ168" i="3"/>
  <c r="BI168" i="3"/>
  <c r="BH168" i="3"/>
  <c r="BG168" i="3"/>
  <c r="BF168" i="3"/>
  <c r="BE168" i="3"/>
  <c r="BD168" i="3"/>
  <c r="BC168" i="3"/>
  <c r="BA168" i="3"/>
  <c r="AX168" i="3"/>
  <c r="AW168" i="3"/>
  <c r="AV168" i="3"/>
  <c r="BP167" i="3"/>
  <c r="BO167" i="3"/>
  <c r="BN167" i="3"/>
  <c r="BM167" i="3"/>
  <c r="BL167" i="3"/>
  <c r="BK167" i="3"/>
  <c r="BJ167" i="3"/>
  <c r="BI167" i="3"/>
  <c r="BH167" i="3"/>
  <c r="BG167" i="3"/>
  <c r="BF167" i="3"/>
  <c r="BE167" i="3"/>
  <c r="BD167" i="3"/>
  <c r="BC167" i="3"/>
  <c r="AX167" i="3"/>
  <c r="AW167" i="3"/>
  <c r="AV167" i="3"/>
  <c r="BP166" i="3"/>
  <c r="BO166" i="3"/>
  <c r="BN166" i="3"/>
  <c r="BM166" i="3"/>
  <c r="BL166" i="3"/>
  <c r="BK166" i="3"/>
  <c r="BJ166" i="3"/>
  <c r="BI166" i="3"/>
  <c r="BH166" i="3"/>
  <c r="BG166" i="3"/>
  <c r="BF166" i="3"/>
  <c r="BE166" i="3"/>
  <c r="BD166" i="3"/>
  <c r="BC166" i="3"/>
  <c r="BA166" i="3"/>
  <c r="AX166" i="3"/>
  <c r="AW166" i="3"/>
  <c r="AV166" i="3"/>
  <c r="BP165" i="3"/>
  <c r="BO165" i="3"/>
  <c r="BN165" i="3"/>
  <c r="BM165" i="3"/>
  <c r="BL165" i="3"/>
  <c r="BK165" i="3"/>
  <c r="BJ165" i="3"/>
  <c r="BI165" i="3"/>
  <c r="BH165" i="3"/>
  <c r="BG165" i="3"/>
  <c r="BF165" i="3"/>
  <c r="BE165" i="3"/>
  <c r="BD165" i="3"/>
  <c r="BC165" i="3"/>
  <c r="BA165" i="3"/>
  <c r="AX165" i="3"/>
  <c r="AW165" i="3"/>
  <c r="AV165" i="3"/>
  <c r="BP164" i="3"/>
  <c r="BO164" i="3"/>
  <c r="BN164" i="3"/>
  <c r="BM164" i="3"/>
  <c r="BK164" i="3"/>
  <c r="BJ164" i="3"/>
  <c r="BI164" i="3"/>
  <c r="BH164" i="3"/>
  <c r="BG164" i="3"/>
  <c r="BF164" i="3"/>
  <c r="BE164" i="3"/>
  <c r="BD164" i="3"/>
  <c r="BC164" i="3"/>
  <c r="BA164" i="3"/>
  <c r="AX164" i="3"/>
  <c r="AW164" i="3"/>
  <c r="AV164" i="3"/>
  <c r="BP163" i="3"/>
  <c r="BO163" i="3"/>
  <c r="BN163" i="3"/>
  <c r="BM163" i="3"/>
  <c r="BL163" i="3"/>
  <c r="BK163" i="3"/>
  <c r="BJ163" i="3"/>
  <c r="BI163" i="3"/>
  <c r="BH163" i="3"/>
  <c r="BG163" i="3"/>
  <c r="BF163" i="3"/>
  <c r="BE163" i="3"/>
  <c r="BD163" i="3"/>
  <c r="BC163" i="3"/>
  <c r="AX163" i="3"/>
  <c r="AW163" i="3"/>
  <c r="AV163" i="3"/>
  <c r="BP162" i="3"/>
  <c r="BO162" i="3"/>
  <c r="BN162" i="3"/>
  <c r="BM162" i="3"/>
  <c r="BL162" i="3"/>
  <c r="BK162" i="3"/>
  <c r="BJ162" i="3"/>
  <c r="BI162" i="3"/>
  <c r="BH162" i="3"/>
  <c r="BG162" i="3"/>
  <c r="BF162" i="3"/>
  <c r="BE162" i="3"/>
  <c r="BD162" i="3"/>
  <c r="BC162" i="3"/>
  <c r="BA162" i="3"/>
  <c r="AX162" i="3"/>
  <c r="AW162" i="3"/>
  <c r="AV162" i="3"/>
  <c r="BP161" i="3"/>
  <c r="BO161" i="3"/>
  <c r="BN161" i="3"/>
  <c r="BM161" i="3"/>
  <c r="BL161" i="3"/>
  <c r="BK161" i="3"/>
  <c r="BJ161" i="3"/>
  <c r="BI161" i="3"/>
  <c r="BH161" i="3"/>
  <c r="BG161" i="3"/>
  <c r="BF161" i="3"/>
  <c r="BE161" i="3"/>
  <c r="BD161" i="3"/>
  <c r="BC161" i="3"/>
  <c r="BA161" i="3"/>
  <c r="AZ161" i="3"/>
  <c r="AX161" i="3"/>
  <c r="AW161" i="3"/>
  <c r="AV161" i="3"/>
  <c r="BP160" i="3"/>
  <c r="BO160" i="3"/>
  <c r="BN160" i="3"/>
  <c r="BM160" i="3"/>
  <c r="BK160" i="3"/>
  <c r="BJ160" i="3"/>
  <c r="BI160" i="3"/>
  <c r="BH160" i="3"/>
  <c r="BG160" i="3"/>
  <c r="BF160" i="3"/>
  <c r="BE160" i="3"/>
  <c r="BD160" i="3"/>
  <c r="BC160" i="3"/>
  <c r="BA160" i="3"/>
  <c r="AX160" i="3"/>
  <c r="AW160" i="3"/>
  <c r="AV160" i="3"/>
  <c r="BP159" i="3"/>
  <c r="BO159" i="3"/>
  <c r="BN159" i="3"/>
  <c r="BM159" i="3"/>
  <c r="BL159" i="3"/>
  <c r="BK159" i="3"/>
  <c r="BJ159" i="3"/>
  <c r="BI159" i="3"/>
  <c r="BH159" i="3"/>
  <c r="BG159" i="3"/>
  <c r="BF159" i="3"/>
  <c r="BE159" i="3"/>
  <c r="BD159" i="3"/>
  <c r="BC159" i="3"/>
  <c r="AX159" i="3"/>
  <c r="AW159" i="3"/>
  <c r="AV159" i="3"/>
  <c r="BP158" i="3"/>
  <c r="BO158" i="3"/>
  <c r="BN158" i="3"/>
  <c r="BM158" i="3"/>
  <c r="BL158" i="3"/>
  <c r="BK158" i="3"/>
  <c r="BJ158" i="3"/>
  <c r="BI158" i="3"/>
  <c r="BH158" i="3"/>
  <c r="BG158" i="3"/>
  <c r="BF158" i="3"/>
  <c r="BE158" i="3"/>
  <c r="BD158" i="3"/>
  <c r="BC158" i="3"/>
  <c r="BA158" i="3"/>
  <c r="AX158" i="3"/>
  <c r="AW158" i="3"/>
  <c r="AV158" i="3"/>
  <c r="BP157" i="3"/>
  <c r="BO157" i="3"/>
  <c r="BN157" i="3"/>
  <c r="BM157" i="3"/>
  <c r="BL157" i="3"/>
  <c r="BK157" i="3"/>
  <c r="BJ157" i="3"/>
  <c r="BI157" i="3"/>
  <c r="BH157" i="3"/>
  <c r="BG157" i="3"/>
  <c r="BF157" i="3"/>
  <c r="BE157" i="3"/>
  <c r="BD157" i="3"/>
  <c r="BC157" i="3"/>
  <c r="BA157" i="3"/>
  <c r="AX157" i="3"/>
  <c r="AW157" i="3"/>
  <c r="AV157" i="3"/>
  <c r="BP156" i="3"/>
  <c r="BO156" i="3"/>
  <c r="BN156" i="3"/>
  <c r="BM156" i="3"/>
  <c r="BK156" i="3"/>
  <c r="BJ156" i="3"/>
  <c r="BI156" i="3"/>
  <c r="BH156" i="3"/>
  <c r="BG156" i="3"/>
  <c r="BF156" i="3"/>
  <c r="BE156" i="3"/>
  <c r="BD156" i="3"/>
  <c r="BC156" i="3"/>
  <c r="BA156" i="3"/>
  <c r="AX156" i="3"/>
  <c r="AW156" i="3"/>
  <c r="AV156" i="3"/>
  <c r="BP155" i="3"/>
  <c r="BO155" i="3"/>
  <c r="BN155" i="3"/>
  <c r="BM155" i="3"/>
  <c r="BL155" i="3"/>
  <c r="BK155" i="3"/>
  <c r="BJ155" i="3"/>
  <c r="BI155" i="3"/>
  <c r="BH155" i="3"/>
  <c r="BG155" i="3"/>
  <c r="BF155" i="3"/>
  <c r="BE155" i="3"/>
  <c r="BD155" i="3"/>
  <c r="BC155" i="3"/>
  <c r="AX155" i="3"/>
  <c r="AW155" i="3"/>
  <c r="AV155" i="3"/>
  <c r="BP154" i="3"/>
  <c r="BO154" i="3"/>
  <c r="BN154" i="3"/>
  <c r="BM154" i="3"/>
  <c r="BL154" i="3"/>
  <c r="BK154" i="3"/>
  <c r="BJ154" i="3"/>
  <c r="BI154" i="3"/>
  <c r="BH154" i="3"/>
  <c r="BG154" i="3"/>
  <c r="BF154" i="3"/>
  <c r="BE154" i="3"/>
  <c r="BD154" i="3"/>
  <c r="BC154" i="3"/>
  <c r="BA154" i="3"/>
  <c r="AX154" i="3"/>
  <c r="AW154" i="3"/>
  <c r="AV154" i="3"/>
  <c r="BP153" i="3"/>
  <c r="BO153" i="3"/>
  <c r="BN153" i="3"/>
  <c r="BM153" i="3"/>
  <c r="BL153" i="3"/>
  <c r="BK153" i="3"/>
  <c r="BJ153" i="3"/>
  <c r="BI153" i="3"/>
  <c r="BH153" i="3"/>
  <c r="BG153" i="3"/>
  <c r="BF153" i="3"/>
  <c r="BE153" i="3"/>
  <c r="BD153" i="3"/>
  <c r="BC153" i="3"/>
  <c r="BA153" i="3"/>
  <c r="AZ153" i="3"/>
  <c r="AX153" i="3"/>
  <c r="AW153" i="3"/>
  <c r="AV153" i="3"/>
  <c r="BP152" i="3"/>
  <c r="BO152" i="3"/>
  <c r="BN152" i="3"/>
  <c r="BM152" i="3"/>
  <c r="BK152" i="3"/>
  <c r="BJ152" i="3"/>
  <c r="BI152" i="3"/>
  <c r="BH152" i="3"/>
  <c r="BG152" i="3"/>
  <c r="BF152" i="3"/>
  <c r="BE152" i="3"/>
  <c r="BD152" i="3"/>
  <c r="BC152" i="3"/>
  <c r="BA152" i="3"/>
  <c r="AX152" i="3"/>
  <c r="AW152" i="3"/>
  <c r="AV152" i="3"/>
  <c r="BP151" i="3"/>
  <c r="BO151" i="3"/>
  <c r="BN151" i="3"/>
  <c r="BM151" i="3"/>
  <c r="BL151" i="3"/>
  <c r="BK151" i="3"/>
  <c r="BJ151" i="3"/>
  <c r="BI151" i="3"/>
  <c r="BH151" i="3"/>
  <c r="BG151" i="3"/>
  <c r="BF151" i="3"/>
  <c r="BE151" i="3"/>
  <c r="BD151" i="3"/>
  <c r="BC151" i="3"/>
  <c r="AX151" i="3"/>
  <c r="AW151" i="3"/>
  <c r="AV151" i="3"/>
  <c r="BP150" i="3"/>
  <c r="BO150" i="3"/>
  <c r="BN150" i="3"/>
  <c r="BM150" i="3"/>
  <c r="BL150" i="3"/>
  <c r="BK150" i="3"/>
  <c r="BJ150" i="3"/>
  <c r="BI150" i="3"/>
  <c r="BH150" i="3"/>
  <c r="BG150" i="3"/>
  <c r="BF150" i="3"/>
  <c r="BE150" i="3"/>
  <c r="BD150" i="3"/>
  <c r="BC150" i="3"/>
  <c r="BA150" i="3"/>
  <c r="AX150" i="3"/>
  <c r="AW150" i="3"/>
  <c r="AV150" i="3"/>
  <c r="BP149" i="3"/>
  <c r="BO149" i="3"/>
  <c r="BN149" i="3"/>
  <c r="BM149" i="3"/>
  <c r="BL149" i="3"/>
  <c r="BK149" i="3"/>
  <c r="BJ149" i="3"/>
  <c r="BI149" i="3"/>
  <c r="BH149" i="3"/>
  <c r="BG149" i="3"/>
  <c r="BF149" i="3"/>
  <c r="BE149" i="3"/>
  <c r="BD149" i="3"/>
  <c r="BC149" i="3"/>
  <c r="BA149" i="3"/>
  <c r="AX149" i="3"/>
  <c r="AW149" i="3"/>
  <c r="AV149" i="3"/>
  <c r="BP148" i="3"/>
  <c r="BO148" i="3"/>
  <c r="BN148" i="3"/>
  <c r="BM148" i="3"/>
  <c r="BK148" i="3"/>
  <c r="BJ148" i="3"/>
  <c r="BI148" i="3"/>
  <c r="BH148" i="3"/>
  <c r="BG148" i="3"/>
  <c r="BF148" i="3"/>
  <c r="BE148" i="3"/>
  <c r="BD148" i="3"/>
  <c r="BC148" i="3"/>
  <c r="BA148" i="3"/>
  <c r="AX148" i="3"/>
  <c r="AW148" i="3"/>
  <c r="AV148" i="3"/>
  <c r="BP147" i="3"/>
  <c r="BO147" i="3"/>
  <c r="BN147" i="3"/>
  <c r="BM147" i="3"/>
  <c r="BL147" i="3"/>
  <c r="BK147" i="3"/>
  <c r="BJ147" i="3"/>
  <c r="BI147" i="3"/>
  <c r="BH147" i="3"/>
  <c r="BG147" i="3"/>
  <c r="BF147" i="3"/>
  <c r="BE147" i="3"/>
  <c r="BD147" i="3"/>
  <c r="BC147" i="3"/>
  <c r="AX147" i="3"/>
  <c r="AW147" i="3"/>
  <c r="AV147" i="3"/>
  <c r="BP146" i="3"/>
  <c r="BO146" i="3"/>
  <c r="BN146" i="3"/>
  <c r="BM146" i="3"/>
  <c r="BL146" i="3"/>
  <c r="BK146" i="3"/>
  <c r="BJ146" i="3"/>
  <c r="BI146" i="3"/>
  <c r="BH146" i="3"/>
  <c r="BG146" i="3"/>
  <c r="BF146" i="3"/>
  <c r="BE146" i="3"/>
  <c r="BD146" i="3"/>
  <c r="BC146" i="3"/>
  <c r="BA146" i="3"/>
  <c r="AX146" i="3"/>
  <c r="AW146" i="3"/>
  <c r="AV146" i="3"/>
  <c r="BP145" i="3"/>
  <c r="BO145" i="3"/>
  <c r="BN145" i="3"/>
  <c r="BM145" i="3"/>
  <c r="BL145" i="3"/>
  <c r="BK145" i="3"/>
  <c r="BJ145" i="3"/>
  <c r="BI145" i="3"/>
  <c r="BH145" i="3"/>
  <c r="BG145" i="3"/>
  <c r="BF145" i="3"/>
  <c r="BE145" i="3"/>
  <c r="BD145" i="3"/>
  <c r="BC145" i="3"/>
  <c r="BA145" i="3"/>
  <c r="AZ145" i="3"/>
  <c r="AX145" i="3"/>
  <c r="AW145" i="3"/>
  <c r="AV145" i="3"/>
  <c r="BP144" i="3"/>
  <c r="BO144" i="3"/>
  <c r="BN144" i="3"/>
  <c r="BM144" i="3"/>
  <c r="BK144" i="3"/>
  <c r="BJ144" i="3"/>
  <c r="BI144" i="3"/>
  <c r="BH144" i="3"/>
  <c r="BG144" i="3"/>
  <c r="BF144" i="3"/>
  <c r="BE144" i="3"/>
  <c r="BD144" i="3"/>
  <c r="BC144" i="3"/>
  <c r="BA144" i="3"/>
  <c r="AX144" i="3"/>
  <c r="AW144" i="3"/>
  <c r="AV144" i="3"/>
  <c r="BP143" i="3"/>
  <c r="BO143" i="3"/>
  <c r="BN143" i="3"/>
  <c r="BM143" i="3"/>
  <c r="BL143" i="3"/>
  <c r="BK143" i="3"/>
  <c r="BJ143" i="3"/>
  <c r="BI143" i="3"/>
  <c r="BH143" i="3"/>
  <c r="BG143" i="3"/>
  <c r="BF143" i="3"/>
  <c r="BE143" i="3"/>
  <c r="BD143" i="3"/>
  <c r="BC143" i="3"/>
  <c r="AX143" i="3"/>
  <c r="AW143" i="3"/>
  <c r="AV143" i="3"/>
  <c r="BP142" i="3"/>
  <c r="BO142" i="3"/>
  <c r="BN142" i="3"/>
  <c r="BM142" i="3"/>
  <c r="BL142" i="3"/>
  <c r="BK142" i="3"/>
  <c r="BJ142" i="3"/>
  <c r="BI142" i="3"/>
  <c r="BH142" i="3"/>
  <c r="BG142" i="3"/>
  <c r="BF142" i="3"/>
  <c r="BE142" i="3"/>
  <c r="BD142" i="3"/>
  <c r="BC142" i="3"/>
  <c r="BA142" i="3"/>
  <c r="AX142" i="3"/>
  <c r="AW142" i="3"/>
  <c r="AV142" i="3"/>
  <c r="BP141" i="3"/>
  <c r="BO141" i="3"/>
  <c r="BN141" i="3"/>
  <c r="BM141" i="3"/>
  <c r="BL141" i="3"/>
  <c r="BK141" i="3"/>
  <c r="BJ141" i="3"/>
  <c r="BI141" i="3"/>
  <c r="BH141" i="3"/>
  <c r="BG141" i="3"/>
  <c r="BF141" i="3"/>
  <c r="BE141" i="3"/>
  <c r="BD141" i="3"/>
  <c r="BC141" i="3"/>
  <c r="BA141" i="3"/>
  <c r="AZ141" i="3"/>
  <c r="AX141" i="3"/>
  <c r="AW141" i="3"/>
  <c r="AV141" i="3"/>
  <c r="BP140" i="3"/>
  <c r="BO140" i="3"/>
  <c r="BN140" i="3"/>
  <c r="BM140" i="3"/>
  <c r="BK140" i="3"/>
  <c r="BJ140" i="3"/>
  <c r="BI140" i="3"/>
  <c r="BH140" i="3"/>
  <c r="BG140" i="3"/>
  <c r="BF140" i="3"/>
  <c r="BE140" i="3"/>
  <c r="BD140" i="3"/>
  <c r="BC140" i="3"/>
  <c r="BA140" i="3"/>
  <c r="AX140" i="3"/>
  <c r="AW140" i="3"/>
  <c r="AV140" i="3"/>
  <c r="BP139" i="3"/>
  <c r="BO139" i="3"/>
  <c r="BN139" i="3"/>
  <c r="BM139" i="3"/>
  <c r="BL139" i="3"/>
  <c r="BK139" i="3"/>
  <c r="BJ139" i="3"/>
  <c r="BI139" i="3"/>
  <c r="BH139" i="3"/>
  <c r="BG139" i="3"/>
  <c r="BF139" i="3"/>
  <c r="BE139" i="3"/>
  <c r="BD139" i="3"/>
  <c r="BC139" i="3"/>
  <c r="AX139" i="3"/>
  <c r="AW139" i="3"/>
  <c r="AV139" i="3"/>
  <c r="BP138" i="3"/>
  <c r="BO138" i="3"/>
  <c r="BN138" i="3"/>
  <c r="BM138" i="3"/>
  <c r="BL138" i="3"/>
  <c r="BK138" i="3"/>
  <c r="BJ138" i="3"/>
  <c r="BI138" i="3"/>
  <c r="BH138" i="3"/>
  <c r="BG138" i="3"/>
  <c r="BF138" i="3"/>
  <c r="BE138" i="3"/>
  <c r="BD138" i="3"/>
  <c r="BC138" i="3"/>
  <c r="BA138" i="3"/>
  <c r="AX138" i="3"/>
  <c r="AW138" i="3"/>
  <c r="AV138" i="3"/>
  <c r="BP137" i="3"/>
  <c r="BO137" i="3"/>
  <c r="BN137" i="3"/>
  <c r="BM137" i="3"/>
  <c r="BL137" i="3"/>
  <c r="BK137" i="3"/>
  <c r="BJ137" i="3"/>
  <c r="BI137" i="3"/>
  <c r="BH137" i="3"/>
  <c r="BG137" i="3"/>
  <c r="BF137" i="3"/>
  <c r="BE137" i="3"/>
  <c r="BD137" i="3"/>
  <c r="BC137" i="3"/>
  <c r="BA137" i="3"/>
  <c r="AZ137" i="3"/>
  <c r="AX137" i="3"/>
  <c r="AW137" i="3"/>
  <c r="AV137" i="3"/>
  <c r="BP136" i="3"/>
  <c r="BO136" i="3"/>
  <c r="BN136" i="3"/>
  <c r="BM136" i="3"/>
  <c r="BK136" i="3"/>
  <c r="BJ136" i="3"/>
  <c r="BI136" i="3"/>
  <c r="BH136" i="3"/>
  <c r="BG136" i="3"/>
  <c r="BF136" i="3"/>
  <c r="BE136" i="3"/>
  <c r="BD136" i="3"/>
  <c r="BC136" i="3"/>
  <c r="BA136" i="3"/>
  <c r="AX136" i="3"/>
  <c r="AW136" i="3"/>
  <c r="AV136" i="3"/>
  <c r="BP135" i="3"/>
  <c r="BO135" i="3"/>
  <c r="BN135" i="3"/>
  <c r="BM135" i="3"/>
  <c r="BL135" i="3"/>
  <c r="BK135" i="3"/>
  <c r="BJ135" i="3"/>
  <c r="BI135" i="3"/>
  <c r="BH135" i="3"/>
  <c r="BG135" i="3"/>
  <c r="BF135" i="3"/>
  <c r="BE135" i="3"/>
  <c r="BD135" i="3"/>
  <c r="BC135" i="3"/>
  <c r="AX135" i="3"/>
  <c r="AW135" i="3"/>
  <c r="AV135" i="3"/>
  <c r="BP134" i="3"/>
  <c r="BO134" i="3"/>
  <c r="BN134" i="3"/>
  <c r="BM134" i="3"/>
  <c r="BL134" i="3"/>
  <c r="BK134" i="3"/>
  <c r="BJ134" i="3"/>
  <c r="BI134" i="3"/>
  <c r="BH134" i="3"/>
  <c r="BG134" i="3"/>
  <c r="BF134" i="3"/>
  <c r="BE134" i="3"/>
  <c r="BD134" i="3"/>
  <c r="BC134" i="3"/>
  <c r="BA134" i="3"/>
  <c r="AZ134" i="3"/>
  <c r="AX134" i="3"/>
  <c r="AW134" i="3"/>
  <c r="AV134" i="3"/>
  <c r="BP133" i="3"/>
  <c r="BO133" i="3"/>
  <c r="BN133" i="3"/>
  <c r="BM133" i="3"/>
  <c r="BL133" i="3"/>
  <c r="BK133" i="3"/>
  <c r="BJ133" i="3"/>
  <c r="BI133" i="3"/>
  <c r="BH133" i="3"/>
  <c r="BG133" i="3"/>
  <c r="BF133" i="3"/>
  <c r="BE133" i="3"/>
  <c r="BD133" i="3"/>
  <c r="BC133" i="3"/>
  <c r="BA133" i="3"/>
  <c r="AX133" i="3"/>
  <c r="AW133" i="3"/>
  <c r="AV133" i="3"/>
  <c r="BP132" i="3"/>
  <c r="BO132" i="3"/>
  <c r="BN132" i="3"/>
  <c r="BM132" i="3"/>
  <c r="BK132" i="3"/>
  <c r="BJ132" i="3"/>
  <c r="BI132" i="3"/>
  <c r="BH132" i="3"/>
  <c r="BG132" i="3"/>
  <c r="BF132" i="3"/>
  <c r="BE132" i="3"/>
  <c r="BD132" i="3"/>
  <c r="BC132" i="3"/>
  <c r="BA132" i="3"/>
  <c r="AX132" i="3"/>
  <c r="AW132" i="3"/>
  <c r="AV132" i="3"/>
  <c r="BP131" i="3"/>
  <c r="BO131" i="3"/>
  <c r="BN131" i="3"/>
  <c r="BM131" i="3"/>
  <c r="BL131" i="3"/>
  <c r="BK131" i="3"/>
  <c r="BJ131" i="3"/>
  <c r="BI131" i="3"/>
  <c r="BH131" i="3"/>
  <c r="BG131" i="3"/>
  <c r="BF131" i="3"/>
  <c r="BE131" i="3"/>
  <c r="BD131" i="3"/>
  <c r="BC131" i="3"/>
  <c r="AX131" i="3"/>
  <c r="AW131" i="3"/>
  <c r="AV131" i="3"/>
  <c r="BP130" i="3"/>
  <c r="BO130" i="3"/>
  <c r="BN130" i="3"/>
  <c r="BM130" i="3"/>
  <c r="BL130" i="3"/>
  <c r="BK130" i="3"/>
  <c r="BJ130" i="3"/>
  <c r="BI130" i="3"/>
  <c r="BH130" i="3"/>
  <c r="BG130" i="3"/>
  <c r="BF130" i="3"/>
  <c r="BE130" i="3"/>
  <c r="BD130" i="3"/>
  <c r="BC130" i="3"/>
  <c r="BA130" i="3"/>
  <c r="AX130" i="3"/>
  <c r="AW130" i="3"/>
  <c r="AV130" i="3"/>
  <c r="BP129" i="3"/>
  <c r="BO129" i="3"/>
  <c r="BN129" i="3"/>
  <c r="BM129" i="3"/>
  <c r="BL129" i="3"/>
  <c r="BK129" i="3"/>
  <c r="BJ129" i="3"/>
  <c r="BI129" i="3"/>
  <c r="BH129" i="3"/>
  <c r="BG129" i="3"/>
  <c r="BF129" i="3"/>
  <c r="BE129" i="3"/>
  <c r="BD129" i="3"/>
  <c r="BC129" i="3"/>
  <c r="BA129" i="3"/>
  <c r="AZ129" i="3"/>
  <c r="AX129" i="3"/>
  <c r="AW129" i="3"/>
  <c r="AV129" i="3"/>
  <c r="BP128" i="3"/>
  <c r="BO128" i="3"/>
  <c r="BN128" i="3"/>
  <c r="BM128" i="3"/>
  <c r="BK128" i="3"/>
  <c r="BJ128" i="3"/>
  <c r="BI128" i="3"/>
  <c r="BH128" i="3"/>
  <c r="BG128" i="3"/>
  <c r="BF128" i="3"/>
  <c r="BE128" i="3"/>
  <c r="BD128" i="3"/>
  <c r="BC128" i="3"/>
  <c r="BA128" i="3"/>
  <c r="AX128" i="3"/>
  <c r="AW128" i="3"/>
  <c r="AV128" i="3"/>
  <c r="BP127" i="3"/>
  <c r="BO127" i="3"/>
  <c r="BN127" i="3"/>
  <c r="BM127" i="3"/>
  <c r="BL127" i="3"/>
  <c r="BK127" i="3"/>
  <c r="BJ127" i="3"/>
  <c r="BI127" i="3"/>
  <c r="BH127" i="3"/>
  <c r="BG127" i="3"/>
  <c r="BF127" i="3"/>
  <c r="BE127" i="3"/>
  <c r="BD127" i="3"/>
  <c r="BC127" i="3"/>
  <c r="AX127" i="3"/>
  <c r="AW127" i="3"/>
  <c r="AV127" i="3"/>
  <c r="BP126" i="3"/>
  <c r="BO126" i="3"/>
  <c r="BN126" i="3"/>
  <c r="BM126" i="3"/>
  <c r="BL126" i="3"/>
  <c r="BK126" i="3"/>
  <c r="BJ126" i="3"/>
  <c r="BI126" i="3"/>
  <c r="BH126" i="3"/>
  <c r="BG126" i="3"/>
  <c r="BF126" i="3"/>
  <c r="BE126" i="3"/>
  <c r="BD126" i="3"/>
  <c r="BC126" i="3"/>
  <c r="BA126" i="3"/>
  <c r="AZ126" i="3"/>
  <c r="AX126" i="3"/>
  <c r="AW126" i="3"/>
  <c r="AV126" i="3"/>
  <c r="BP125" i="3"/>
  <c r="BO125" i="3"/>
  <c r="BN125" i="3"/>
  <c r="BM125" i="3"/>
  <c r="BL125" i="3"/>
  <c r="BK125" i="3"/>
  <c r="BJ125" i="3"/>
  <c r="BI125" i="3"/>
  <c r="BH125" i="3"/>
  <c r="BG125" i="3"/>
  <c r="BF125" i="3"/>
  <c r="BE125" i="3"/>
  <c r="BD125" i="3"/>
  <c r="BC125" i="3"/>
  <c r="BA125" i="3"/>
  <c r="AZ125" i="3"/>
  <c r="AX125" i="3"/>
  <c r="AW125" i="3"/>
  <c r="AV125" i="3"/>
  <c r="BP124" i="3"/>
  <c r="BO124" i="3"/>
  <c r="BN124" i="3"/>
  <c r="BM124" i="3"/>
  <c r="BK124" i="3"/>
  <c r="BJ124" i="3"/>
  <c r="BI124" i="3"/>
  <c r="BH124" i="3"/>
  <c r="BG124" i="3"/>
  <c r="BF124" i="3"/>
  <c r="BE124" i="3"/>
  <c r="BD124" i="3"/>
  <c r="BC124" i="3"/>
  <c r="BA124" i="3"/>
  <c r="AX124" i="3"/>
  <c r="AW124" i="3"/>
  <c r="AV124" i="3"/>
  <c r="BP123" i="3"/>
  <c r="BO123" i="3"/>
  <c r="BN123" i="3"/>
  <c r="BM123" i="3"/>
  <c r="BL123" i="3"/>
  <c r="BK123" i="3"/>
  <c r="BJ123" i="3"/>
  <c r="BI123" i="3"/>
  <c r="BH123" i="3"/>
  <c r="BG123" i="3"/>
  <c r="BF123" i="3"/>
  <c r="BE123" i="3"/>
  <c r="BD123" i="3"/>
  <c r="BC123" i="3"/>
  <c r="AX123" i="3"/>
  <c r="AW123" i="3"/>
  <c r="AV123" i="3"/>
  <c r="BP122" i="3"/>
  <c r="BO122" i="3"/>
  <c r="BN122" i="3"/>
  <c r="BM122" i="3"/>
  <c r="BL122" i="3"/>
  <c r="BK122" i="3"/>
  <c r="BJ122" i="3"/>
  <c r="BI122" i="3"/>
  <c r="BH122" i="3"/>
  <c r="BG122" i="3"/>
  <c r="BF122" i="3"/>
  <c r="BE122" i="3"/>
  <c r="BD122" i="3"/>
  <c r="BC122" i="3"/>
  <c r="BA122" i="3"/>
  <c r="AZ122" i="3"/>
  <c r="AX122" i="3"/>
  <c r="AW122" i="3"/>
  <c r="AV122" i="3"/>
  <c r="BP121" i="3"/>
  <c r="BO121" i="3"/>
  <c r="BN121" i="3"/>
  <c r="BM121" i="3"/>
  <c r="BL121" i="3"/>
  <c r="BK121" i="3"/>
  <c r="BJ121" i="3"/>
  <c r="BI121" i="3"/>
  <c r="BH121" i="3"/>
  <c r="BG121" i="3"/>
  <c r="BF121" i="3"/>
  <c r="BE121" i="3"/>
  <c r="BD121" i="3"/>
  <c r="BC121" i="3"/>
  <c r="BA121" i="3"/>
  <c r="AZ121" i="3"/>
  <c r="AX121" i="3"/>
  <c r="AW121" i="3"/>
  <c r="AV121" i="3"/>
  <c r="BP120" i="3"/>
  <c r="BO120" i="3"/>
  <c r="BN120" i="3"/>
  <c r="BM120" i="3"/>
  <c r="BK120" i="3"/>
  <c r="BJ120" i="3"/>
  <c r="BI120" i="3"/>
  <c r="BH120" i="3"/>
  <c r="BG120" i="3"/>
  <c r="BF120" i="3"/>
  <c r="BE120" i="3"/>
  <c r="BD120" i="3"/>
  <c r="BC120" i="3"/>
  <c r="BA120" i="3"/>
  <c r="AX120" i="3"/>
  <c r="AW120" i="3"/>
  <c r="AV120" i="3"/>
  <c r="BP119" i="3"/>
  <c r="BO119" i="3"/>
  <c r="BN119" i="3"/>
  <c r="BM119" i="3"/>
  <c r="BL119" i="3"/>
  <c r="BK119" i="3"/>
  <c r="BJ119" i="3"/>
  <c r="BI119" i="3"/>
  <c r="BH119" i="3"/>
  <c r="BG119" i="3"/>
  <c r="BF119" i="3"/>
  <c r="BE119" i="3"/>
  <c r="BD119" i="3"/>
  <c r="BC119" i="3"/>
  <c r="AX119" i="3"/>
  <c r="AW119" i="3"/>
  <c r="AV119" i="3"/>
  <c r="BP118" i="3"/>
  <c r="BO118" i="3"/>
  <c r="BN118" i="3"/>
  <c r="BM118" i="3"/>
  <c r="BL118" i="3"/>
  <c r="BK118" i="3"/>
  <c r="BJ118" i="3"/>
  <c r="BI118" i="3"/>
  <c r="BH118" i="3"/>
  <c r="BG118" i="3"/>
  <c r="BF118" i="3"/>
  <c r="BE118" i="3"/>
  <c r="BD118" i="3"/>
  <c r="BC118" i="3"/>
  <c r="BA118" i="3"/>
  <c r="AZ118" i="3"/>
  <c r="AX118" i="3"/>
  <c r="AW118" i="3"/>
  <c r="AV118" i="3"/>
  <c r="BP117" i="3"/>
  <c r="BO117" i="3"/>
  <c r="BN117" i="3"/>
  <c r="BM117" i="3"/>
  <c r="BL117" i="3"/>
  <c r="BK117" i="3"/>
  <c r="BJ117" i="3"/>
  <c r="BI117" i="3"/>
  <c r="BH117" i="3"/>
  <c r="BG117" i="3"/>
  <c r="BF117" i="3"/>
  <c r="BE117" i="3"/>
  <c r="BD117" i="3"/>
  <c r="BC117" i="3"/>
  <c r="BA117" i="3"/>
  <c r="AX117" i="3"/>
  <c r="AW117" i="3"/>
  <c r="AV117" i="3"/>
  <c r="BP116" i="3"/>
  <c r="BO116" i="3"/>
  <c r="BN116" i="3"/>
  <c r="BM116" i="3"/>
  <c r="BK116" i="3"/>
  <c r="BJ116" i="3"/>
  <c r="BI116" i="3"/>
  <c r="BH116" i="3"/>
  <c r="BG116" i="3"/>
  <c r="BF116" i="3"/>
  <c r="BE116" i="3"/>
  <c r="BD116" i="3"/>
  <c r="BC116" i="3"/>
  <c r="BA116" i="3"/>
  <c r="AX116" i="3"/>
  <c r="AW116" i="3"/>
  <c r="AV116" i="3"/>
  <c r="BP115" i="3"/>
  <c r="BO115" i="3"/>
  <c r="BN115" i="3"/>
  <c r="BM115" i="3"/>
  <c r="BL115" i="3"/>
  <c r="BK115" i="3"/>
  <c r="BJ115" i="3"/>
  <c r="BI115" i="3"/>
  <c r="BH115" i="3"/>
  <c r="BG115" i="3"/>
  <c r="BF115" i="3"/>
  <c r="BE115" i="3"/>
  <c r="BD115" i="3"/>
  <c r="BC115" i="3"/>
  <c r="AX115" i="3"/>
  <c r="AW115" i="3"/>
  <c r="AV115" i="3"/>
  <c r="BP114" i="3"/>
  <c r="BO114" i="3"/>
  <c r="BN114" i="3"/>
  <c r="BM114" i="3"/>
  <c r="BL114" i="3"/>
  <c r="BK114" i="3"/>
  <c r="BJ114" i="3"/>
  <c r="BI114" i="3"/>
  <c r="BH114" i="3"/>
  <c r="BG114" i="3"/>
  <c r="BF114" i="3"/>
  <c r="BE114" i="3"/>
  <c r="BD114" i="3"/>
  <c r="BC114" i="3"/>
  <c r="BA114" i="3"/>
  <c r="AX114" i="3"/>
  <c r="AW114" i="3"/>
  <c r="AV114" i="3"/>
  <c r="BP113" i="3"/>
  <c r="BO113" i="3"/>
  <c r="BN113" i="3"/>
  <c r="BM113" i="3"/>
  <c r="BL113" i="3"/>
  <c r="BK113" i="3"/>
  <c r="BJ113" i="3"/>
  <c r="BI113" i="3"/>
  <c r="BH113" i="3"/>
  <c r="BG113" i="3"/>
  <c r="BF113" i="3"/>
  <c r="BE113" i="3"/>
  <c r="BD113" i="3"/>
  <c r="BC113" i="3"/>
  <c r="BA113" i="3"/>
  <c r="AZ113" i="3"/>
  <c r="AX113" i="3"/>
  <c r="AW113" i="3"/>
  <c r="AV113" i="3"/>
  <c r="BP302" i="3"/>
  <c r="BO302" i="3"/>
  <c r="BN302" i="3"/>
  <c r="BM302" i="3"/>
  <c r="BL302" i="3"/>
  <c r="BK302" i="3"/>
  <c r="BJ302" i="3"/>
  <c r="BI302" i="3"/>
  <c r="BH302" i="3"/>
  <c r="BG302" i="3"/>
  <c r="BF302" i="3"/>
  <c r="BE302" i="3"/>
  <c r="BD302" i="3"/>
  <c r="BC302" i="3"/>
  <c r="BA302" i="3"/>
  <c r="AZ302" i="3"/>
  <c r="AX302" i="3"/>
  <c r="AW302" i="3"/>
  <c r="AV302" i="3"/>
  <c r="BP301" i="3"/>
  <c r="BO301" i="3"/>
  <c r="BN301" i="3"/>
  <c r="BM301" i="3"/>
  <c r="BL301" i="3"/>
  <c r="BK301" i="3"/>
  <c r="BJ301" i="3"/>
  <c r="BI301" i="3"/>
  <c r="BH301" i="3"/>
  <c r="BG301" i="3"/>
  <c r="BF301" i="3"/>
  <c r="BE301" i="3"/>
  <c r="BD301" i="3"/>
  <c r="BC301" i="3"/>
  <c r="BA301" i="3"/>
  <c r="AZ301" i="3"/>
  <c r="AX301" i="3"/>
  <c r="AW301" i="3"/>
  <c r="AV301" i="3"/>
  <c r="BP300" i="3"/>
  <c r="BO300" i="3"/>
  <c r="BN300" i="3"/>
  <c r="BM300" i="3"/>
  <c r="BL300" i="3"/>
  <c r="BK300" i="3"/>
  <c r="BJ300" i="3"/>
  <c r="BI300" i="3"/>
  <c r="BH300" i="3"/>
  <c r="BG300" i="3"/>
  <c r="BF300" i="3"/>
  <c r="BE300" i="3"/>
  <c r="BD300" i="3"/>
  <c r="BC300" i="3"/>
  <c r="BA300" i="3"/>
  <c r="AZ300" i="3"/>
  <c r="AX300" i="3"/>
  <c r="AW300" i="3"/>
  <c r="AV300" i="3"/>
  <c r="BP299" i="3"/>
  <c r="BO299" i="3"/>
  <c r="BN299" i="3"/>
  <c r="BM299" i="3"/>
  <c r="BL299" i="3"/>
  <c r="BK299" i="3"/>
  <c r="BJ299" i="3"/>
  <c r="BI299" i="3"/>
  <c r="BH299" i="3"/>
  <c r="BG299" i="3"/>
  <c r="BF299" i="3"/>
  <c r="BE299" i="3"/>
  <c r="BD299" i="3"/>
  <c r="BC299" i="3"/>
  <c r="BA299" i="3"/>
  <c r="AX299" i="3"/>
  <c r="AW299" i="3"/>
  <c r="AV299" i="3"/>
  <c r="BP298" i="3"/>
  <c r="BO298" i="3"/>
  <c r="BN298" i="3"/>
  <c r="BM298" i="3"/>
  <c r="BL298" i="3"/>
  <c r="BK298" i="3"/>
  <c r="BJ298" i="3"/>
  <c r="BI298" i="3"/>
  <c r="BH298" i="3"/>
  <c r="BG298" i="3"/>
  <c r="BF298" i="3"/>
  <c r="BE298" i="3"/>
  <c r="BD298" i="3"/>
  <c r="BC298" i="3"/>
  <c r="BA298" i="3"/>
  <c r="AZ298" i="3"/>
  <c r="AX298" i="3"/>
  <c r="AW298" i="3"/>
  <c r="AV298" i="3"/>
  <c r="BP297" i="3"/>
  <c r="BO297" i="3"/>
  <c r="BN297" i="3"/>
  <c r="BM297" i="3"/>
  <c r="BL297" i="3"/>
  <c r="BK297" i="3"/>
  <c r="BJ297" i="3"/>
  <c r="BI297" i="3"/>
  <c r="BH297" i="3"/>
  <c r="BG297" i="3"/>
  <c r="BF297" i="3"/>
  <c r="BE297" i="3"/>
  <c r="BD297" i="3"/>
  <c r="BC297" i="3"/>
  <c r="BA297" i="3"/>
  <c r="AX297" i="3"/>
  <c r="AW297" i="3"/>
  <c r="AV297" i="3"/>
  <c r="BP296" i="3"/>
  <c r="BO296" i="3"/>
  <c r="BN296" i="3"/>
  <c r="BM296" i="3"/>
  <c r="BL296" i="3"/>
  <c r="BK296" i="3"/>
  <c r="BJ296" i="3"/>
  <c r="BI296" i="3"/>
  <c r="BH296" i="3"/>
  <c r="BG296" i="3"/>
  <c r="BF296" i="3"/>
  <c r="BE296" i="3"/>
  <c r="BD296" i="3"/>
  <c r="BC296" i="3"/>
  <c r="BA296" i="3"/>
  <c r="AX296" i="3"/>
  <c r="AW296" i="3"/>
  <c r="AV296" i="3"/>
  <c r="BP295" i="3"/>
  <c r="BO295" i="3"/>
  <c r="BN295" i="3"/>
  <c r="BM295" i="3"/>
  <c r="BL295" i="3"/>
  <c r="BK295" i="3"/>
  <c r="BJ295" i="3"/>
  <c r="BI295" i="3"/>
  <c r="BH295" i="3"/>
  <c r="BG295" i="3"/>
  <c r="BF295" i="3"/>
  <c r="BE295" i="3"/>
  <c r="BD295" i="3"/>
  <c r="BC295" i="3"/>
  <c r="BA295" i="3"/>
  <c r="AX295" i="3"/>
  <c r="AW295" i="3"/>
  <c r="AV295" i="3"/>
  <c r="BP294" i="3"/>
  <c r="BO294" i="3"/>
  <c r="BN294" i="3"/>
  <c r="BM294" i="3"/>
  <c r="BL294" i="3"/>
  <c r="BK294" i="3"/>
  <c r="BJ294" i="3"/>
  <c r="BI294" i="3"/>
  <c r="BH294" i="3"/>
  <c r="BG294" i="3"/>
  <c r="BF294" i="3"/>
  <c r="BE294" i="3"/>
  <c r="BD294" i="3"/>
  <c r="BC294" i="3"/>
  <c r="BA294" i="3"/>
  <c r="AZ294" i="3"/>
  <c r="AX294" i="3"/>
  <c r="AW294" i="3"/>
  <c r="AV294" i="3"/>
  <c r="BP293" i="3"/>
  <c r="BO293" i="3"/>
  <c r="BN293" i="3"/>
  <c r="BM293" i="3"/>
  <c r="BL293" i="3"/>
  <c r="BK293" i="3"/>
  <c r="BJ293" i="3"/>
  <c r="BI293" i="3"/>
  <c r="BH293" i="3"/>
  <c r="BG293" i="3"/>
  <c r="BF293" i="3"/>
  <c r="BE293" i="3"/>
  <c r="BD293" i="3"/>
  <c r="BC293" i="3"/>
  <c r="BA293" i="3"/>
  <c r="AZ293" i="3"/>
  <c r="AX293" i="3"/>
  <c r="AW293" i="3"/>
  <c r="AV293" i="3"/>
  <c r="BP292" i="3"/>
  <c r="BO292" i="3"/>
  <c r="BN292" i="3"/>
  <c r="BM292" i="3"/>
  <c r="BL292" i="3"/>
  <c r="BK292" i="3"/>
  <c r="BJ292" i="3"/>
  <c r="BI292" i="3"/>
  <c r="BH292" i="3"/>
  <c r="BG292" i="3"/>
  <c r="BF292" i="3"/>
  <c r="BE292" i="3"/>
  <c r="BD292" i="3"/>
  <c r="BC292" i="3"/>
  <c r="BA292" i="3"/>
  <c r="AZ292" i="3"/>
  <c r="AX292" i="3"/>
  <c r="AW292" i="3"/>
  <c r="AV292" i="3"/>
  <c r="BP291" i="3"/>
  <c r="BO291" i="3"/>
  <c r="BN291" i="3"/>
  <c r="BM291" i="3"/>
  <c r="BL291" i="3"/>
  <c r="BK291" i="3"/>
  <c r="BJ291" i="3"/>
  <c r="BI291" i="3"/>
  <c r="BH291" i="3"/>
  <c r="BG291" i="3"/>
  <c r="BF291" i="3"/>
  <c r="BE291" i="3"/>
  <c r="BD291" i="3"/>
  <c r="BC291" i="3"/>
  <c r="BA291" i="3"/>
  <c r="AX291" i="3"/>
  <c r="AW291" i="3"/>
  <c r="AV291" i="3"/>
  <c r="BP290" i="3"/>
  <c r="BO290" i="3"/>
  <c r="BN290" i="3"/>
  <c r="BM290" i="3"/>
  <c r="BL290" i="3"/>
  <c r="BK290" i="3"/>
  <c r="BJ290" i="3"/>
  <c r="BI290" i="3"/>
  <c r="BH290" i="3"/>
  <c r="BG290" i="3"/>
  <c r="BF290" i="3"/>
  <c r="BE290" i="3"/>
  <c r="BD290" i="3"/>
  <c r="BC290" i="3"/>
  <c r="BA290" i="3"/>
  <c r="AZ290" i="3"/>
  <c r="AX290" i="3"/>
  <c r="AW290" i="3"/>
  <c r="AV290" i="3"/>
  <c r="BP289" i="3"/>
  <c r="BO289" i="3"/>
  <c r="BN289" i="3"/>
  <c r="BM289" i="3"/>
  <c r="BL289" i="3"/>
  <c r="BK289" i="3"/>
  <c r="BJ289" i="3"/>
  <c r="BI289" i="3"/>
  <c r="BH289" i="3"/>
  <c r="BG289" i="3"/>
  <c r="BF289" i="3"/>
  <c r="BE289" i="3"/>
  <c r="BD289" i="3"/>
  <c r="BC289" i="3"/>
  <c r="BA289" i="3"/>
  <c r="AZ289" i="3"/>
  <c r="AX289" i="3"/>
  <c r="AW289" i="3"/>
  <c r="AV289" i="3"/>
  <c r="BP288" i="3"/>
  <c r="BO288" i="3"/>
  <c r="BN288" i="3"/>
  <c r="BM288" i="3"/>
  <c r="BL288" i="3"/>
  <c r="BK288" i="3"/>
  <c r="BJ288" i="3"/>
  <c r="BI288" i="3"/>
  <c r="BH288" i="3"/>
  <c r="BG288" i="3"/>
  <c r="BF288" i="3"/>
  <c r="BE288" i="3"/>
  <c r="BD288" i="3"/>
  <c r="BC288" i="3"/>
  <c r="BA288" i="3"/>
  <c r="AX288" i="3"/>
  <c r="AW288" i="3"/>
  <c r="AV288" i="3"/>
  <c r="BP287" i="3"/>
  <c r="BO287" i="3"/>
  <c r="BN287" i="3"/>
  <c r="BM287" i="3"/>
  <c r="BL287" i="3"/>
  <c r="BK287" i="3"/>
  <c r="BJ287" i="3"/>
  <c r="BI287" i="3"/>
  <c r="BH287" i="3"/>
  <c r="BG287" i="3"/>
  <c r="BF287" i="3"/>
  <c r="BE287" i="3"/>
  <c r="BD287" i="3"/>
  <c r="BC287" i="3"/>
  <c r="BA287" i="3"/>
  <c r="AX287" i="3"/>
  <c r="AW287" i="3"/>
  <c r="AV287" i="3"/>
  <c r="BP286" i="3"/>
  <c r="BO286" i="3"/>
  <c r="BN286" i="3"/>
  <c r="BM286" i="3"/>
  <c r="BL286" i="3"/>
  <c r="BK286" i="3"/>
  <c r="BJ286" i="3"/>
  <c r="BI286" i="3"/>
  <c r="BH286" i="3"/>
  <c r="BG286" i="3"/>
  <c r="BF286" i="3"/>
  <c r="BE286" i="3"/>
  <c r="BD286" i="3"/>
  <c r="BC286" i="3"/>
  <c r="BA286" i="3"/>
  <c r="AX286" i="3"/>
  <c r="AW286" i="3"/>
  <c r="AV286" i="3"/>
  <c r="BP285" i="3"/>
  <c r="BO285" i="3"/>
  <c r="BN285" i="3"/>
  <c r="BM285" i="3"/>
  <c r="BL285" i="3"/>
  <c r="BK285" i="3"/>
  <c r="BJ285" i="3"/>
  <c r="BI285" i="3"/>
  <c r="BH285" i="3"/>
  <c r="BG285" i="3"/>
  <c r="BF285" i="3"/>
  <c r="BE285" i="3"/>
  <c r="BD285" i="3"/>
  <c r="BC285" i="3"/>
  <c r="BA285" i="3"/>
  <c r="AZ285" i="3"/>
  <c r="AX285" i="3"/>
  <c r="AW285" i="3"/>
  <c r="AV285" i="3"/>
  <c r="BP284" i="3"/>
  <c r="BO284" i="3"/>
  <c r="BN284" i="3"/>
  <c r="BM284" i="3"/>
  <c r="BL284" i="3"/>
  <c r="BK284" i="3"/>
  <c r="BJ284" i="3"/>
  <c r="BI284" i="3"/>
  <c r="BH284" i="3"/>
  <c r="BG284" i="3"/>
  <c r="BF284" i="3"/>
  <c r="BE284" i="3"/>
  <c r="BD284" i="3"/>
  <c r="BC284" i="3"/>
  <c r="BA284" i="3"/>
  <c r="AZ284" i="3"/>
  <c r="AX284" i="3"/>
  <c r="AW284" i="3"/>
  <c r="AV284" i="3"/>
  <c r="BP283" i="3"/>
  <c r="BO283" i="3"/>
  <c r="BN283" i="3"/>
  <c r="BM283" i="3"/>
  <c r="BL283" i="3"/>
  <c r="BK283" i="3"/>
  <c r="BJ283" i="3"/>
  <c r="BI283" i="3"/>
  <c r="BH283" i="3"/>
  <c r="BG283" i="3"/>
  <c r="BF283" i="3"/>
  <c r="BE283" i="3"/>
  <c r="BD283" i="3"/>
  <c r="BC283" i="3"/>
  <c r="BA283" i="3"/>
  <c r="AX283" i="3"/>
  <c r="AW283" i="3"/>
  <c r="AV283" i="3"/>
  <c r="BP282" i="3"/>
  <c r="BO282" i="3"/>
  <c r="BN282" i="3"/>
  <c r="BM282" i="3"/>
  <c r="BL282" i="3"/>
  <c r="BK282" i="3"/>
  <c r="BJ282" i="3"/>
  <c r="BI282" i="3"/>
  <c r="BH282" i="3"/>
  <c r="BG282" i="3"/>
  <c r="BF282" i="3"/>
  <c r="BE282" i="3"/>
  <c r="BD282" i="3"/>
  <c r="BC282" i="3"/>
  <c r="BA282" i="3"/>
  <c r="AZ282" i="3"/>
  <c r="AX282" i="3"/>
  <c r="AW282" i="3"/>
  <c r="AV282" i="3"/>
  <c r="BP281" i="3"/>
  <c r="BO281" i="3"/>
  <c r="BN281" i="3"/>
  <c r="BM281" i="3"/>
  <c r="BL281" i="3"/>
  <c r="BK281" i="3"/>
  <c r="BJ281" i="3"/>
  <c r="BI281" i="3"/>
  <c r="BH281" i="3"/>
  <c r="BG281" i="3"/>
  <c r="BF281" i="3"/>
  <c r="BE281" i="3"/>
  <c r="BD281" i="3"/>
  <c r="BC281" i="3"/>
  <c r="BA281" i="3"/>
  <c r="AX281" i="3"/>
  <c r="AW281" i="3"/>
  <c r="AV281" i="3"/>
  <c r="BP280" i="3"/>
  <c r="BO280" i="3"/>
  <c r="BN280" i="3"/>
  <c r="BM280" i="3"/>
  <c r="BL280" i="3"/>
  <c r="BK280" i="3"/>
  <c r="BJ280" i="3"/>
  <c r="BI280" i="3"/>
  <c r="BH280" i="3"/>
  <c r="BG280" i="3"/>
  <c r="BF280" i="3"/>
  <c r="BE280" i="3"/>
  <c r="BD280" i="3"/>
  <c r="BC280" i="3"/>
  <c r="BA280" i="3"/>
  <c r="AX280" i="3"/>
  <c r="AW280" i="3"/>
  <c r="AV280" i="3"/>
  <c r="BP279" i="3"/>
  <c r="BO279" i="3"/>
  <c r="BN279" i="3"/>
  <c r="BM279" i="3"/>
  <c r="BL279" i="3"/>
  <c r="BK279" i="3"/>
  <c r="BJ279" i="3"/>
  <c r="BI279" i="3"/>
  <c r="BH279" i="3"/>
  <c r="BG279" i="3"/>
  <c r="BF279" i="3"/>
  <c r="BE279" i="3"/>
  <c r="BD279" i="3"/>
  <c r="BC279" i="3"/>
  <c r="BA279" i="3"/>
  <c r="AX279" i="3"/>
  <c r="AW279" i="3"/>
  <c r="AV279" i="3"/>
  <c r="BP278" i="3"/>
  <c r="BO278" i="3"/>
  <c r="BN278" i="3"/>
  <c r="BM278" i="3"/>
  <c r="BL278" i="3"/>
  <c r="BK278" i="3"/>
  <c r="BJ278" i="3"/>
  <c r="BI278" i="3"/>
  <c r="BH278" i="3"/>
  <c r="BG278" i="3"/>
  <c r="BF278" i="3"/>
  <c r="BE278" i="3"/>
  <c r="BD278" i="3"/>
  <c r="BC278" i="3"/>
  <c r="BA278" i="3"/>
  <c r="AZ278" i="3"/>
  <c r="AX278" i="3"/>
  <c r="AW278" i="3"/>
  <c r="AV278" i="3"/>
  <c r="BP277" i="3"/>
  <c r="BO277" i="3"/>
  <c r="BN277" i="3"/>
  <c r="BM277" i="3"/>
  <c r="BL277" i="3"/>
  <c r="BK277" i="3"/>
  <c r="BJ277" i="3"/>
  <c r="BI277" i="3"/>
  <c r="BH277" i="3"/>
  <c r="BG277" i="3"/>
  <c r="BF277" i="3"/>
  <c r="BE277" i="3"/>
  <c r="BD277" i="3"/>
  <c r="BC277" i="3"/>
  <c r="BA277" i="3"/>
  <c r="AZ277" i="3"/>
  <c r="AX277" i="3"/>
  <c r="AW277" i="3"/>
  <c r="AV277" i="3"/>
  <c r="BP276" i="3"/>
  <c r="BO276" i="3"/>
  <c r="BN276" i="3"/>
  <c r="BM276" i="3"/>
  <c r="BL276" i="3"/>
  <c r="BK276" i="3"/>
  <c r="BJ276" i="3"/>
  <c r="BI276" i="3"/>
  <c r="BH276" i="3"/>
  <c r="BG276" i="3"/>
  <c r="BF276" i="3"/>
  <c r="BE276" i="3"/>
  <c r="BD276" i="3"/>
  <c r="BC276" i="3"/>
  <c r="BA276" i="3"/>
  <c r="AZ276" i="3"/>
  <c r="AX276" i="3"/>
  <c r="AW276" i="3"/>
  <c r="AV276" i="3"/>
  <c r="BP275" i="3"/>
  <c r="BO275" i="3"/>
  <c r="BN275" i="3"/>
  <c r="BM275" i="3"/>
  <c r="BL275" i="3"/>
  <c r="BK275" i="3"/>
  <c r="BJ275" i="3"/>
  <c r="BI275" i="3"/>
  <c r="BH275" i="3"/>
  <c r="BG275" i="3"/>
  <c r="BF275" i="3"/>
  <c r="BE275" i="3"/>
  <c r="BD275" i="3"/>
  <c r="BC275" i="3"/>
  <c r="BA275" i="3"/>
  <c r="AX275" i="3"/>
  <c r="AW275" i="3"/>
  <c r="AV275" i="3"/>
  <c r="BP274" i="3"/>
  <c r="BO274" i="3"/>
  <c r="BN274" i="3"/>
  <c r="BM274" i="3"/>
  <c r="BL274" i="3"/>
  <c r="BK274" i="3"/>
  <c r="BJ274" i="3"/>
  <c r="BI274" i="3"/>
  <c r="BH274" i="3"/>
  <c r="BG274" i="3"/>
  <c r="BF274" i="3"/>
  <c r="BE274" i="3"/>
  <c r="BD274" i="3"/>
  <c r="BC274" i="3"/>
  <c r="BA274" i="3"/>
  <c r="AZ274" i="3"/>
  <c r="AX274" i="3"/>
  <c r="AW274" i="3"/>
  <c r="AV274" i="3"/>
  <c r="BP273" i="3"/>
  <c r="BO273" i="3"/>
  <c r="BN273" i="3"/>
  <c r="BM273" i="3"/>
  <c r="BL273" i="3"/>
  <c r="BK273" i="3"/>
  <c r="BJ273" i="3"/>
  <c r="BI273" i="3"/>
  <c r="BH273" i="3"/>
  <c r="BG273" i="3"/>
  <c r="BF273" i="3"/>
  <c r="BE273" i="3"/>
  <c r="BD273" i="3"/>
  <c r="BC273" i="3"/>
  <c r="BA273" i="3"/>
  <c r="AX273" i="3"/>
  <c r="AW273" i="3"/>
  <c r="AV273" i="3"/>
  <c r="BP272" i="3"/>
  <c r="BO272" i="3"/>
  <c r="BN272" i="3"/>
  <c r="BM272" i="3"/>
  <c r="BL272" i="3"/>
  <c r="BK272" i="3"/>
  <c r="BJ272" i="3"/>
  <c r="BI272" i="3"/>
  <c r="BH272" i="3"/>
  <c r="BG272" i="3"/>
  <c r="BF272" i="3"/>
  <c r="BE272" i="3"/>
  <c r="BD272" i="3"/>
  <c r="BC272" i="3"/>
  <c r="BA272" i="3"/>
  <c r="AZ272" i="3"/>
  <c r="AX272" i="3"/>
  <c r="AW272" i="3"/>
  <c r="AV272" i="3"/>
  <c r="BP271" i="3"/>
  <c r="BO271" i="3"/>
  <c r="BN271" i="3"/>
  <c r="BM271" i="3"/>
  <c r="BL271" i="3"/>
  <c r="BK271" i="3"/>
  <c r="BJ271" i="3"/>
  <c r="BI271" i="3"/>
  <c r="BH271" i="3"/>
  <c r="BG271" i="3"/>
  <c r="BF271" i="3"/>
  <c r="BE271" i="3"/>
  <c r="BD271" i="3"/>
  <c r="BC271" i="3"/>
  <c r="BA271" i="3"/>
  <c r="AX271" i="3"/>
  <c r="AW271" i="3"/>
  <c r="AV271" i="3"/>
  <c r="BP270" i="3"/>
  <c r="BO270" i="3"/>
  <c r="BN270" i="3"/>
  <c r="BM270" i="3"/>
  <c r="BL270" i="3"/>
  <c r="BK270" i="3"/>
  <c r="BJ270" i="3"/>
  <c r="BI270" i="3"/>
  <c r="BH270" i="3"/>
  <c r="BG270" i="3"/>
  <c r="BF270" i="3"/>
  <c r="BE270" i="3"/>
  <c r="BD270" i="3"/>
  <c r="BC270" i="3"/>
  <c r="BA270" i="3"/>
  <c r="AZ270" i="3"/>
  <c r="AX270" i="3"/>
  <c r="AW270" i="3"/>
  <c r="AV270" i="3"/>
  <c r="BP269" i="3"/>
  <c r="BO269" i="3"/>
  <c r="BN269" i="3"/>
  <c r="BM269" i="3"/>
  <c r="BL269" i="3"/>
  <c r="BK269" i="3"/>
  <c r="BJ269" i="3"/>
  <c r="BI269" i="3"/>
  <c r="BH269" i="3"/>
  <c r="BG269" i="3"/>
  <c r="BF269" i="3"/>
  <c r="BE269" i="3"/>
  <c r="BD269" i="3"/>
  <c r="BC269" i="3"/>
  <c r="BA269" i="3"/>
  <c r="AX269" i="3"/>
  <c r="AW269" i="3"/>
  <c r="AV269" i="3"/>
  <c r="BP268" i="3"/>
  <c r="BO268" i="3"/>
  <c r="BN268" i="3"/>
  <c r="BM268" i="3"/>
  <c r="BL268" i="3"/>
  <c r="BK268" i="3"/>
  <c r="BJ268" i="3"/>
  <c r="BI268" i="3"/>
  <c r="BH268" i="3"/>
  <c r="BG268" i="3"/>
  <c r="BF268" i="3"/>
  <c r="BE268" i="3"/>
  <c r="BD268" i="3"/>
  <c r="BC268" i="3"/>
  <c r="BA268" i="3"/>
  <c r="AX268" i="3"/>
  <c r="AW268" i="3"/>
  <c r="AV268" i="3"/>
  <c r="BP267" i="3"/>
  <c r="BO267" i="3"/>
  <c r="BN267" i="3"/>
  <c r="BM267" i="3"/>
  <c r="BL267" i="3"/>
  <c r="BK267" i="3"/>
  <c r="BJ267" i="3"/>
  <c r="BI267" i="3"/>
  <c r="BH267" i="3"/>
  <c r="BG267" i="3"/>
  <c r="BF267" i="3"/>
  <c r="BE267" i="3"/>
  <c r="BD267" i="3"/>
  <c r="BC267" i="3"/>
  <c r="BA267" i="3"/>
  <c r="AZ267" i="3"/>
  <c r="AX267" i="3"/>
  <c r="AW267" i="3"/>
  <c r="AV267" i="3"/>
  <c r="BP266" i="3"/>
  <c r="BO266" i="3"/>
  <c r="BN266" i="3"/>
  <c r="BM266" i="3"/>
  <c r="BL266" i="3"/>
  <c r="BK266" i="3"/>
  <c r="BJ266" i="3"/>
  <c r="BI266" i="3"/>
  <c r="BH266" i="3"/>
  <c r="BG266" i="3"/>
  <c r="BF266" i="3"/>
  <c r="BE266" i="3"/>
  <c r="BD266" i="3"/>
  <c r="BC266" i="3"/>
  <c r="BA266" i="3"/>
  <c r="AX266" i="3"/>
  <c r="AW266" i="3"/>
  <c r="AV266" i="3"/>
  <c r="BP265" i="3"/>
  <c r="BO265" i="3"/>
  <c r="BN265" i="3"/>
  <c r="BM265" i="3"/>
  <c r="BL265" i="3"/>
  <c r="BK265" i="3"/>
  <c r="BJ265" i="3"/>
  <c r="BI265" i="3"/>
  <c r="BH265" i="3"/>
  <c r="BG265" i="3"/>
  <c r="BF265" i="3"/>
  <c r="BE265" i="3"/>
  <c r="BD265" i="3"/>
  <c r="BC265" i="3"/>
  <c r="BA265" i="3"/>
  <c r="AX265" i="3"/>
  <c r="AW265" i="3"/>
  <c r="AV265" i="3"/>
  <c r="BP264" i="3"/>
  <c r="BO264" i="3"/>
  <c r="BN264" i="3"/>
  <c r="BM264" i="3"/>
  <c r="BL264" i="3"/>
  <c r="BK264" i="3"/>
  <c r="BJ264" i="3"/>
  <c r="BI264" i="3"/>
  <c r="BH264" i="3"/>
  <c r="BG264" i="3"/>
  <c r="BF264" i="3"/>
  <c r="BE264" i="3"/>
  <c r="BD264" i="3"/>
  <c r="BC264" i="3"/>
  <c r="BA264" i="3"/>
  <c r="AZ264" i="3"/>
  <c r="AX264" i="3"/>
  <c r="AW264" i="3"/>
  <c r="AV264" i="3"/>
  <c r="BP263" i="3"/>
  <c r="BO263" i="3"/>
  <c r="BN263" i="3"/>
  <c r="BM263" i="3"/>
  <c r="BL263" i="3"/>
  <c r="BK263" i="3"/>
  <c r="BJ263" i="3"/>
  <c r="BI263" i="3"/>
  <c r="BH263" i="3"/>
  <c r="BG263" i="3"/>
  <c r="BF263" i="3"/>
  <c r="BE263" i="3"/>
  <c r="BD263" i="3"/>
  <c r="BC263" i="3"/>
  <c r="BA263" i="3"/>
  <c r="AX263" i="3"/>
  <c r="AW263" i="3"/>
  <c r="AV263" i="3"/>
  <c r="BP262" i="3"/>
  <c r="BO262" i="3"/>
  <c r="BN262" i="3"/>
  <c r="BM262" i="3"/>
  <c r="BL262" i="3"/>
  <c r="BK262" i="3"/>
  <c r="BJ262" i="3"/>
  <c r="BI262" i="3"/>
  <c r="BH262" i="3"/>
  <c r="BG262" i="3"/>
  <c r="BF262" i="3"/>
  <c r="BE262" i="3"/>
  <c r="BD262" i="3"/>
  <c r="BC262" i="3"/>
  <c r="BA262" i="3"/>
  <c r="AZ262" i="3"/>
  <c r="AX262" i="3"/>
  <c r="AW262" i="3"/>
  <c r="AV262" i="3"/>
  <c r="BP261" i="3"/>
  <c r="BO261" i="3"/>
  <c r="BN261" i="3"/>
  <c r="BM261" i="3"/>
  <c r="BL261" i="3"/>
  <c r="BK261" i="3"/>
  <c r="BJ261" i="3"/>
  <c r="BI261" i="3"/>
  <c r="BH261" i="3"/>
  <c r="BG261" i="3"/>
  <c r="BF261" i="3"/>
  <c r="BE261" i="3"/>
  <c r="BD261" i="3"/>
  <c r="BC261" i="3"/>
  <c r="BA261" i="3"/>
  <c r="AX261" i="3"/>
  <c r="AW261" i="3"/>
  <c r="AV261" i="3"/>
  <c r="BP260" i="3"/>
  <c r="BO260" i="3"/>
  <c r="BN260" i="3"/>
  <c r="BM260" i="3"/>
  <c r="BL260" i="3"/>
  <c r="BK260" i="3"/>
  <c r="BJ260" i="3"/>
  <c r="BI260" i="3"/>
  <c r="BH260" i="3"/>
  <c r="BG260" i="3"/>
  <c r="BF260" i="3"/>
  <c r="BE260" i="3"/>
  <c r="BD260" i="3"/>
  <c r="BC260" i="3"/>
  <c r="BA260" i="3"/>
  <c r="AZ260" i="3"/>
  <c r="AX260" i="3"/>
  <c r="AW260" i="3"/>
  <c r="AV260" i="3"/>
  <c r="BP259" i="3"/>
  <c r="BO259" i="3"/>
  <c r="BN259" i="3"/>
  <c r="BM259" i="3"/>
  <c r="BL259" i="3"/>
  <c r="BK259" i="3"/>
  <c r="BJ259" i="3"/>
  <c r="BI259" i="3"/>
  <c r="BH259" i="3"/>
  <c r="BG259" i="3"/>
  <c r="BF259" i="3"/>
  <c r="BE259" i="3"/>
  <c r="BD259" i="3"/>
  <c r="BC259" i="3"/>
  <c r="BA259" i="3"/>
  <c r="AX259" i="3"/>
  <c r="AW259" i="3"/>
  <c r="AV259" i="3"/>
  <c r="BP258" i="3"/>
  <c r="BO258" i="3"/>
  <c r="BN258" i="3"/>
  <c r="BM258" i="3"/>
  <c r="BL258" i="3"/>
  <c r="BK258" i="3"/>
  <c r="BJ258" i="3"/>
  <c r="BI258" i="3"/>
  <c r="BH258" i="3"/>
  <c r="BG258" i="3"/>
  <c r="BF258" i="3"/>
  <c r="BE258" i="3"/>
  <c r="BD258" i="3"/>
  <c r="BC258" i="3"/>
  <c r="BA258" i="3"/>
  <c r="AZ258" i="3"/>
  <c r="AX258" i="3"/>
  <c r="AW258" i="3"/>
  <c r="AV258" i="3"/>
  <c r="BP257" i="3"/>
  <c r="BO257" i="3"/>
  <c r="BN257" i="3"/>
  <c r="BM257" i="3"/>
  <c r="BL257" i="3"/>
  <c r="BK257" i="3"/>
  <c r="BJ257" i="3"/>
  <c r="BI257" i="3"/>
  <c r="BH257" i="3"/>
  <c r="BG257" i="3"/>
  <c r="BF257" i="3"/>
  <c r="BE257" i="3"/>
  <c r="BD257" i="3"/>
  <c r="BC257" i="3"/>
  <c r="BA257" i="3"/>
  <c r="AX257" i="3"/>
  <c r="AW257" i="3"/>
  <c r="AV257" i="3"/>
  <c r="BP256" i="3"/>
  <c r="BO256" i="3"/>
  <c r="BN256" i="3"/>
  <c r="BM256" i="3"/>
  <c r="BL256" i="3"/>
  <c r="BK256" i="3"/>
  <c r="BJ256" i="3"/>
  <c r="BI256" i="3"/>
  <c r="BH256" i="3"/>
  <c r="BG256" i="3"/>
  <c r="BF256" i="3"/>
  <c r="BE256" i="3"/>
  <c r="BD256" i="3"/>
  <c r="BC256" i="3"/>
  <c r="BA256" i="3"/>
  <c r="AX256" i="3"/>
  <c r="AW256" i="3"/>
  <c r="AV256" i="3"/>
  <c r="BP255" i="3"/>
  <c r="BO255" i="3"/>
  <c r="BN255" i="3"/>
  <c r="BM255" i="3"/>
  <c r="BL255" i="3"/>
  <c r="BK255" i="3"/>
  <c r="BJ255" i="3"/>
  <c r="BI255" i="3"/>
  <c r="BH255" i="3"/>
  <c r="BG255" i="3"/>
  <c r="BF255" i="3"/>
  <c r="BE255" i="3"/>
  <c r="BD255" i="3"/>
  <c r="BC255" i="3"/>
  <c r="BA255" i="3"/>
  <c r="AZ255" i="3"/>
  <c r="AX255" i="3"/>
  <c r="AW255" i="3"/>
  <c r="AV255" i="3"/>
  <c r="BP254" i="3"/>
  <c r="BO254" i="3"/>
  <c r="BN254" i="3"/>
  <c r="BM254" i="3"/>
  <c r="BL254" i="3"/>
  <c r="BK254" i="3"/>
  <c r="BJ254" i="3"/>
  <c r="BI254" i="3"/>
  <c r="BH254" i="3"/>
  <c r="BG254" i="3"/>
  <c r="BF254" i="3"/>
  <c r="BE254" i="3"/>
  <c r="BD254" i="3"/>
  <c r="BC254" i="3"/>
  <c r="BA254" i="3"/>
  <c r="AX254" i="3"/>
  <c r="AW254" i="3"/>
  <c r="AV254" i="3"/>
  <c r="BP253" i="3"/>
  <c r="BO253" i="3"/>
  <c r="BN253" i="3"/>
  <c r="BM253" i="3"/>
  <c r="BL253" i="3"/>
  <c r="BK253" i="3"/>
  <c r="BJ253" i="3"/>
  <c r="BI253" i="3"/>
  <c r="BH253" i="3"/>
  <c r="BG253" i="3"/>
  <c r="BF253" i="3"/>
  <c r="BE253" i="3"/>
  <c r="BD253" i="3"/>
  <c r="BC253" i="3"/>
  <c r="BA253" i="3"/>
  <c r="AX253" i="3"/>
  <c r="AW253" i="3"/>
  <c r="AV253" i="3"/>
  <c r="BP252" i="3"/>
  <c r="BO252" i="3"/>
  <c r="BN252" i="3"/>
  <c r="BM252" i="3"/>
  <c r="BL252" i="3"/>
  <c r="BK252" i="3"/>
  <c r="BJ252" i="3"/>
  <c r="BI252" i="3"/>
  <c r="BH252" i="3"/>
  <c r="BG252" i="3"/>
  <c r="BF252" i="3"/>
  <c r="BE252" i="3"/>
  <c r="BD252" i="3"/>
  <c r="BC252" i="3"/>
  <c r="BA252" i="3"/>
  <c r="AZ252" i="3"/>
  <c r="AX252" i="3"/>
  <c r="AW252" i="3"/>
  <c r="AV252" i="3"/>
  <c r="BP251" i="3"/>
  <c r="BO251" i="3"/>
  <c r="BN251" i="3"/>
  <c r="BM251" i="3"/>
  <c r="BL251" i="3"/>
  <c r="BK251" i="3"/>
  <c r="BJ251" i="3"/>
  <c r="BI251" i="3"/>
  <c r="BH251" i="3"/>
  <c r="BG251" i="3"/>
  <c r="BF251" i="3"/>
  <c r="BE251" i="3"/>
  <c r="BD251" i="3"/>
  <c r="BC251" i="3"/>
  <c r="BA251" i="3"/>
  <c r="AX251" i="3"/>
  <c r="AW251" i="3"/>
  <c r="AV251" i="3"/>
  <c r="BP250" i="3"/>
  <c r="BO250" i="3"/>
  <c r="BN250" i="3"/>
  <c r="BM250" i="3"/>
  <c r="BL250" i="3"/>
  <c r="BK250" i="3"/>
  <c r="BJ250" i="3"/>
  <c r="BI250" i="3"/>
  <c r="BH250" i="3"/>
  <c r="BG250" i="3"/>
  <c r="BF250" i="3"/>
  <c r="BE250" i="3"/>
  <c r="BD250" i="3"/>
  <c r="BC250" i="3"/>
  <c r="BA250" i="3"/>
  <c r="AX250" i="3"/>
  <c r="AW250" i="3"/>
  <c r="AV250" i="3"/>
  <c r="BP249" i="3"/>
  <c r="BO249" i="3"/>
  <c r="BN249" i="3"/>
  <c r="BM249" i="3"/>
  <c r="BL249" i="3"/>
  <c r="BK249" i="3"/>
  <c r="BJ249" i="3"/>
  <c r="BI249" i="3"/>
  <c r="BH249" i="3"/>
  <c r="BG249" i="3"/>
  <c r="BF249" i="3"/>
  <c r="BE249" i="3"/>
  <c r="BD249" i="3"/>
  <c r="BC249" i="3"/>
  <c r="BA249" i="3"/>
  <c r="AX249" i="3"/>
  <c r="AW249" i="3"/>
  <c r="AV249" i="3"/>
  <c r="BP248" i="3"/>
  <c r="BO248" i="3"/>
  <c r="BN248" i="3"/>
  <c r="BM248" i="3"/>
  <c r="BL248" i="3"/>
  <c r="BK248" i="3"/>
  <c r="BJ248" i="3"/>
  <c r="BI248" i="3"/>
  <c r="BH248" i="3"/>
  <c r="BG248" i="3"/>
  <c r="BF248" i="3"/>
  <c r="BE248" i="3"/>
  <c r="BD248" i="3"/>
  <c r="BC248" i="3"/>
  <c r="BA248" i="3"/>
  <c r="AX248" i="3"/>
  <c r="AW248" i="3"/>
  <c r="AV248" i="3"/>
  <c r="BP247" i="3"/>
  <c r="BO247" i="3"/>
  <c r="BN247" i="3"/>
  <c r="BM247" i="3"/>
  <c r="BL247" i="3"/>
  <c r="BK247" i="3"/>
  <c r="BJ247" i="3"/>
  <c r="BI247" i="3"/>
  <c r="BH247" i="3"/>
  <c r="BG247" i="3"/>
  <c r="BF247" i="3"/>
  <c r="BE247" i="3"/>
  <c r="BD247" i="3"/>
  <c r="BC247" i="3"/>
  <c r="BA247" i="3"/>
  <c r="AZ247" i="3"/>
  <c r="AX247" i="3"/>
  <c r="AW247" i="3"/>
  <c r="AV247" i="3"/>
  <c r="BP246" i="3"/>
  <c r="BO246" i="3"/>
  <c r="BN246" i="3"/>
  <c r="BM246" i="3"/>
  <c r="BL246" i="3"/>
  <c r="BK246" i="3"/>
  <c r="BJ246" i="3"/>
  <c r="BI246" i="3"/>
  <c r="BH246" i="3"/>
  <c r="BG246" i="3"/>
  <c r="BF246" i="3"/>
  <c r="BE246" i="3"/>
  <c r="BD246" i="3"/>
  <c r="BC246" i="3"/>
  <c r="BA246" i="3"/>
  <c r="AZ246" i="3"/>
  <c r="AX246" i="3"/>
  <c r="AW246" i="3"/>
  <c r="AV246" i="3"/>
  <c r="BP245" i="3"/>
  <c r="BO245" i="3"/>
  <c r="BN245" i="3"/>
  <c r="BM245" i="3"/>
  <c r="BL245" i="3"/>
  <c r="BK245" i="3"/>
  <c r="BJ245" i="3"/>
  <c r="BI245" i="3"/>
  <c r="BH245" i="3"/>
  <c r="BG245" i="3"/>
  <c r="BF245" i="3"/>
  <c r="BE245" i="3"/>
  <c r="BD245" i="3"/>
  <c r="BC245" i="3"/>
  <c r="BA245" i="3"/>
  <c r="AX245" i="3"/>
  <c r="AW245" i="3"/>
  <c r="AV245" i="3"/>
  <c r="BP244" i="3"/>
  <c r="BO244" i="3"/>
  <c r="BN244" i="3"/>
  <c r="BM244" i="3"/>
  <c r="BL244" i="3"/>
  <c r="BK244" i="3"/>
  <c r="BJ244" i="3"/>
  <c r="BI244" i="3"/>
  <c r="BH244" i="3"/>
  <c r="BG244" i="3"/>
  <c r="BF244" i="3"/>
  <c r="BE244" i="3"/>
  <c r="BD244" i="3"/>
  <c r="BC244" i="3"/>
  <c r="BA244" i="3"/>
  <c r="AZ244" i="3"/>
  <c r="AX244" i="3"/>
  <c r="AW244" i="3"/>
  <c r="AV244" i="3"/>
  <c r="BP243" i="3"/>
  <c r="BO243" i="3"/>
  <c r="BN243" i="3"/>
  <c r="BM243" i="3"/>
  <c r="BL243" i="3"/>
  <c r="BK243" i="3"/>
  <c r="BJ243" i="3"/>
  <c r="BI243" i="3"/>
  <c r="BH243" i="3"/>
  <c r="BG243" i="3"/>
  <c r="BF243" i="3"/>
  <c r="BE243" i="3"/>
  <c r="BD243" i="3"/>
  <c r="BC243" i="3"/>
  <c r="BA243" i="3"/>
  <c r="AX243" i="3"/>
  <c r="AW243" i="3"/>
  <c r="AV243" i="3"/>
  <c r="BP242" i="3"/>
  <c r="BO242" i="3"/>
  <c r="BN242" i="3"/>
  <c r="BM242" i="3"/>
  <c r="BL242" i="3"/>
  <c r="BK242" i="3"/>
  <c r="BJ242" i="3"/>
  <c r="BI242" i="3"/>
  <c r="BH242" i="3"/>
  <c r="BG242" i="3"/>
  <c r="BF242" i="3"/>
  <c r="BE242" i="3"/>
  <c r="BD242" i="3"/>
  <c r="BC242" i="3"/>
  <c r="BA242" i="3"/>
  <c r="AZ242" i="3"/>
  <c r="AX242" i="3"/>
  <c r="AW242" i="3"/>
  <c r="AV242" i="3"/>
  <c r="BP241" i="3"/>
  <c r="BO241" i="3"/>
  <c r="BN241" i="3"/>
  <c r="BM241" i="3"/>
  <c r="BL241" i="3"/>
  <c r="BK241" i="3"/>
  <c r="BJ241" i="3"/>
  <c r="BI241" i="3"/>
  <c r="BH241" i="3"/>
  <c r="BG241" i="3"/>
  <c r="BF241" i="3"/>
  <c r="BE241" i="3"/>
  <c r="BD241" i="3"/>
  <c r="BC241" i="3"/>
  <c r="BA241" i="3"/>
  <c r="AX241" i="3"/>
  <c r="AW241" i="3"/>
  <c r="AV241" i="3"/>
  <c r="BP240" i="3"/>
  <c r="BO240" i="3"/>
  <c r="BN240" i="3"/>
  <c r="BM240" i="3"/>
  <c r="BL240" i="3"/>
  <c r="BK240" i="3"/>
  <c r="BJ240" i="3"/>
  <c r="BI240" i="3"/>
  <c r="BH240" i="3"/>
  <c r="BG240" i="3"/>
  <c r="BF240" i="3"/>
  <c r="BE240" i="3"/>
  <c r="BD240" i="3"/>
  <c r="BC240" i="3"/>
  <c r="BA240" i="3"/>
  <c r="AX240" i="3"/>
  <c r="AW240" i="3"/>
  <c r="AV240" i="3"/>
  <c r="BP239" i="3"/>
  <c r="BO239" i="3"/>
  <c r="BN239" i="3"/>
  <c r="BM239" i="3"/>
  <c r="BL239" i="3"/>
  <c r="BK239" i="3"/>
  <c r="BJ239" i="3"/>
  <c r="BI239" i="3"/>
  <c r="BH239" i="3"/>
  <c r="BG239" i="3"/>
  <c r="BF239" i="3"/>
  <c r="BE239" i="3"/>
  <c r="BD239" i="3"/>
  <c r="BC239" i="3"/>
  <c r="BA239" i="3"/>
  <c r="AZ239" i="3"/>
  <c r="AX239" i="3"/>
  <c r="AW239" i="3"/>
  <c r="AV239" i="3"/>
  <c r="BP238" i="3"/>
  <c r="BO238" i="3"/>
  <c r="BN238" i="3"/>
  <c r="BM238" i="3"/>
  <c r="BL238" i="3"/>
  <c r="BK238" i="3"/>
  <c r="BJ238" i="3"/>
  <c r="BI238" i="3"/>
  <c r="BH238" i="3"/>
  <c r="BG238" i="3"/>
  <c r="BF238" i="3"/>
  <c r="BE238" i="3"/>
  <c r="BD238" i="3"/>
  <c r="BC238" i="3"/>
  <c r="BA238" i="3"/>
  <c r="AX238" i="3"/>
  <c r="AW238" i="3"/>
  <c r="AV238" i="3"/>
  <c r="BP237" i="3"/>
  <c r="BO237" i="3"/>
  <c r="BN237" i="3"/>
  <c r="BM237" i="3"/>
  <c r="BL237" i="3"/>
  <c r="BK237" i="3"/>
  <c r="BJ237" i="3"/>
  <c r="BI237" i="3"/>
  <c r="BH237" i="3"/>
  <c r="BG237" i="3"/>
  <c r="BF237" i="3"/>
  <c r="BE237" i="3"/>
  <c r="BD237" i="3"/>
  <c r="BC237" i="3"/>
  <c r="BA237" i="3"/>
  <c r="AX237" i="3"/>
  <c r="AW237" i="3"/>
  <c r="AV237" i="3"/>
  <c r="BP236" i="3"/>
  <c r="BO236" i="3"/>
  <c r="BN236" i="3"/>
  <c r="BM236" i="3"/>
  <c r="BL236" i="3"/>
  <c r="BK236" i="3"/>
  <c r="BJ236" i="3"/>
  <c r="BI236" i="3"/>
  <c r="BH236" i="3"/>
  <c r="BG236" i="3"/>
  <c r="BF236" i="3"/>
  <c r="BE236" i="3"/>
  <c r="BD236" i="3"/>
  <c r="BC236" i="3"/>
  <c r="BA236" i="3"/>
  <c r="AZ236" i="3"/>
  <c r="AX236" i="3"/>
  <c r="AW236" i="3"/>
  <c r="AV236" i="3"/>
  <c r="BP235" i="3"/>
  <c r="BO235" i="3"/>
  <c r="BN235" i="3"/>
  <c r="BM235" i="3"/>
  <c r="BL235" i="3"/>
  <c r="BK235" i="3"/>
  <c r="BJ235" i="3"/>
  <c r="BI235" i="3"/>
  <c r="BH235" i="3"/>
  <c r="BG235" i="3"/>
  <c r="BF235" i="3"/>
  <c r="BE235" i="3"/>
  <c r="BD235" i="3"/>
  <c r="BC235" i="3"/>
  <c r="BA235" i="3"/>
  <c r="AX235" i="3"/>
  <c r="AW235" i="3"/>
  <c r="AV235" i="3"/>
  <c r="BP234" i="3"/>
  <c r="BO234" i="3"/>
  <c r="BN234" i="3"/>
  <c r="BM234" i="3"/>
  <c r="BL234" i="3"/>
  <c r="BK234" i="3"/>
  <c r="BJ234" i="3"/>
  <c r="BI234" i="3"/>
  <c r="BH234" i="3"/>
  <c r="BG234" i="3"/>
  <c r="BF234" i="3"/>
  <c r="BE234" i="3"/>
  <c r="BD234" i="3"/>
  <c r="BC234" i="3"/>
  <c r="BA234" i="3"/>
  <c r="AX234" i="3"/>
  <c r="AW234" i="3"/>
  <c r="AV234" i="3"/>
  <c r="BP233" i="3"/>
  <c r="BO233" i="3"/>
  <c r="BN233" i="3"/>
  <c r="BM233" i="3"/>
  <c r="BL233" i="3"/>
  <c r="BK233" i="3"/>
  <c r="BJ233" i="3"/>
  <c r="BI233" i="3"/>
  <c r="BH233" i="3"/>
  <c r="BG233" i="3"/>
  <c r="BF233" i="3"/>
  <c r="BE233" i="3"/>
  <c r="BD233" i="3"/>
  <c r="BC233" i="3"/>
  <c r="BA233" i="3"/>
  <c r="AX233" i="3"/>
  <c r="AW233" i="3"/>
  <c r="AV233" i="3"/>
  <c r="BP232" i="3"/>
  <c r="BO232" i="3"/>
  <c r="BN232" i="3"/>
  <c r="BM232" i="3"/>
  <c r="BL232" i="3"/>
  <c r="BK232" i="3"/>
  <c r="BJ232" i="3"/>
  <c r="BI232" i="3"/>
  <c r="BH232" i="3"/>
  <c r="BG232" i="3"/>
  <c r="BF232" i="3"/>
  <c r="BE232" i="3"/>
  <c r="BD232" i="3"/>
  <c r="BC232" i="3"/>
  <c r="BA232" i="3"/>
  <c r="AX232" i="3"/>
  <c r="AW232" i="3"/>
  <c r="AV232" i="3"/>
  <c r="BP231" i="3"/>
  <c r="BO231" i="3"/>
  <c r="BN231" i="3"/>
  <c r="BM231" i="3"/>
  <c r="BL231" i="3"/>
  <c r="BK231" i="3"/>
  <c r="BJ231" i="3"/>
  <c r="BI231" i="3"/>
  <c r="BH231" i="3"/>
  <c r="BG231" i="3"/>
  <c r="BF231" i="3"/>
  <c r="BE231" i="3"/>
  <c r="BD231" i="3"/>
  <c r="BC231" i="3"/>
  <c r="BA231" i="3"/>
  <c r="AZ231" i="3"/>
  <c r="AX231" i="3"/>
  <c r="AW231" i="3"/>
  <c r="AV231" i="3"/>
  <c r="BP230" i="3"/>
  <c r="BO230" i="3"/>
  <c r="BN230" i="3"/>
  <c r="BM230" i="3"/>
  <c r="BL230" i="3"/>
  <c r="BK230" i="3"/>
  <c r="BJ230" i="3"/>
  <c r="BI230" i="3"/>
  <c r="BH230" i="3"/>
  <c r="BG230" i="3"/>
  <c r="BF230" i="3"/>
  <c r="BE230" i="3"/>
  <c r="BD230" i="3"/>
  <c r="BC230" i="3"/>
  <c r="BA230" i="3"/>
  <c r="AZ230" i="3"/>
  <c r="AX230" i="3"/>
  <c r="AW230" i="3"/>
  <c r="AV230" i="3"/>
  <c r="BP229" i="3"/>
  <c r="BO229" i="3"/>
  <c r="BN229" i="3"/>
  <c r="BM229" i="3"/>
  <c r="BL229" i="3"/>
  <c r="BK229" i="3"/>
  <c r="BJ229" i="3"/>
  <c r="BI229" i="3"/>
  <c r="BH229" i="3"/>
  <c r="BG229" i="3"/>
  <c r="BF229" i="3"/>
  <c r="BE229" i="3"/>
  <c r="BD229" i="3"/>
  <c r="BC229" i="3"/>
  <c r="BA229" i="3"/>
  <c r="AX229" i="3"/>
  <c r="AW229" i="3"/>
  <c r="AV229" i="3"/>
  <c r="BP228" i="3"/>
  <c r="BO228" i="3"/>
  <c r="BN228" i="3"/>
  <c r="BM228" i="3"/>
  <c r="BL228" i="3"/>
  <c r="BK228" i="3"/>
  <c r="BJ228" i="3"/>
  <c r="BI228" i="3"/>
  <c r="BH228" i="3"/>
  <c r="BG228" i="3"/>
  <c r="BF228" i="3"/>
  <c r="BE228" i="3"/>
  <c r="BD228" i="3"/>
  <c r="BC228" i="3"/>
  <c r="BA228" i="3"/>
  <c r="AZ228" i="3"/>
  <c r="AX228" i="3"/>
  <c r="AW228" i="3"/>
  <c r="AV228" i="3"/>
  <c r="BP227" i="3"/>
  <c r="BO227" i="3"/>
  <c r="BN227" i="3"/>
  <c r="BM227" i="3"/>
  <c r="BL227" i="3"/>
  <c r="BK227" i="3"/>
  <c r="BJ227" i="3"/>
  <c r="BI227" i="3"/>
  <c r="BH227" i="3"/>
  <c r="BG227" i="3"/>
  <c r="BF227" i="3"/>
  <c r="BE227" i="3"/>
  <c r="BD227" i="3"/>
  <c r="BC227" i="3"/>
  <c r="BA227" i="3"/>
  <c r="AX227" i="3"/>
  <c r="AW227" i="3"/>
  <c r="AV227" i="3"/>
  <c r="BP226" i="3"/>
  <c r="BO226" i="3"/>
  <c r="BN226" i="3"/>
  <c r="BM226" i="3"/>
  <c r="BL226" i="3"/>
  <c r="BK226" i="3"/>
  <c r="BJ226" i="3"/>
  <c r="BI226" i="3"/>
  <c r="BH226" i="3"/>
  <c r="BG226" i="3"/>
  <c r="BF226" i="3"/>
  <c r="BE226" i="3"/>
  <c r="BD226" i="3"/>
  <c r="BC226" i="3"/>
  <c r="BA226" i="3"/>
  <c r="AZ226" i="3"/>
  <c r="AX226" i="3"/>
  <c r="AW226" i="3"/>
  <c r="AV226" i="3"/>
  <c r="BP225" i="3"/>
  <c r="BO225" i="3"/>
  <c r="BN225" i="3"/>
  <c r="BM225" i="3"/>
  <c r="BL225" i="3"/>
  <c r="BK225" i="3"/>
  <c r="BJ225" i="3"/>
  <c r="BI225" i="3"/>
  <c r="BH225" i="3"/>
  <c r="BG225" i="3"/>
  <c r="BF225" i="3"/>
  <c r="BE225" i="3"/>
  <c r="BD225" i="3"/>
  <c r="BC225" i="3"/>
  <c r="BA225" i="3"/>
  <c r="AZ225" i="3"/>
  <c r="AX225" i="3"/>
  <c r="AW225" i="3"/>
  <c r="AV225" i="3"/>
  <c r="BP224" i="3"/>
  <c r="BO224" i="3"/>
  <c r="BN224" i="3"/>
  <c r="BM224" i="3"/>
  <c r="BL224" i="3"/>
  <c r="BK224" i="3"/>
  <c r="BJ224" i="3"/>
  <c r="BI224" i="3"/>
  <c r="BH224" i="3"/>
  <c r="BG224" i="3"/>
  <c r="BF224" i="3"/>
  <c r="BE224" i="3"/>
  <c r="BD224" i="3"/>
  <c r="BC224" i="3"/>
  <c r="BA224" i="3"/>
  <c r="AX224" i="3"/>
  <c r="AW224" i="3"/>
  <c r="AV224" i="3"/>
  <c r="BP223" i="3"/>
  <c r="BO223" i="3"/>
  <c r="BN223" i="3"/>
  <c r="BM223" i="3"/>
  <c r="BL223" i="3"/>
  <c r="BK223" i="3"/>
  <c r="BJ223" i="3"/>
  <c r="BI223" i="3"/>
  <c r="BH223" i="3"/>
  <c r="BG223" i="3"/>
  <c r="BF223" i="3"/>
  <c r="BE223" i="3"/>
  <c r="BD223" i="3"/>
  <c r="BC223" i="3"/>
  <c r="BA223" i="3"/>
  <c r="AX223" i="3"/>
  <c r="AW223" i="3"/>
  <c r="AV223" i="3"/>
  <c r="BP222" i="3"/>
  <c r="BO222" i="3"/>
  <c r="BN222" i="3"/>
  <c r="BM222" i="3"/>
  <c r="BL222" i="3"/>
  <c r="BK222" i="3"/>
  <c r="BJ222" i="3"/>
  <c r="BI222" i="3"/>
  <c r="BH222" i="3"/>
  <c r="BG222" i="3"/>
  <c r="BF222" i="3"/>
  <c r="BE222" i="3"/>
  <c r="BD222" i="3"/>
  <c r="BC222" i="3"/>
  <c r="BA222" i="3"/>
  <c r="AX222" i="3"/>
  <c r="AW222" i="3"/>
  <c r="AV222" i="3"/>
  <c r="BP221" i="3"/>
  <c r="BO221" i="3"/>
  <c r="BN221" i="3"/>
  <c r="BM221" i="3"/>
  <c r="BL221" i="3"/>
  <c r="BK221" i="3"/>
  <c r="BJ221" i="3"/>
  <c r="BI221" i="3"/>
  <c r="BH221" i="3"/>
  <c r="BG221" i="3"/>
  <c r="BF221" i="3"/>
  <c r="BE221" i="3"/>
  <c r="BD221" i="3"/>
  <c r="BC221" i="3"/>
  <c r="BA221" i="3"/>
  <c r="AZ221" i="3"/>
  <c r="AX221" i="3"/>
  <c r="AW221" i="3"/>
  <c r="AV221" i="3"/>
  <c r="BP220" i="3"/>
  <c r="BO220" i="3"/>
  <c r="BN220" i="3"/>
  <c r="BM220" i="3"/>
  <c r="BL220" i="3"/>
  <c r="BK220" i="3"/>
  <c r="BJ220" i="3"/>
  <c r="BI220" i="3"/>
  <c r="BH220" i="3"/>
  <c r="BG220" i="3"/>
  <c r="BF220" i="3"/>
  <c r="BE220" i="3"/>
  <c r="BD220" i="3"/>
  <c r="BC220" i="3"/>
  <c r="BA220" i="3"/>
  <c r="AZ220" i="3"/>
  <c r="AX220" i="3"/>
  <c r="AW220" i="3"/>
  <c r="AV220" i="3"/>
  <c r="BP219" i="3"/>
  <c r="BO219" i="3"/>
  <c r="BN219" i="3"/>
  <c r="BM219" i="3"/>
  <c r="BL219" i="3"/>
  <c r="BK219" i="3"/>
  <c r="BJ219" i="3"/>
  <c r="BI219" i="3"/>
  <c r="BH219" i="3"/>
  <c r="BG219" i="3"/>
  <c r="BF219" i="3"/>
  <c r="BE219" i="3"/>
  <c r="BD219" i="3"/>
  <c r="BC219" i="3"/>
  <c r="BA219" i="3"/>
  <c r="AZ219" i="3"/>
  <c r="AX219" i="3"/>
  <c r="AW219" i="3"/>
  <c r="AV219" i="3"/>
  <c r="BP218" i="3"/>
  <c r="BO218" i="3"/>
  <c r="BN218" i="3"/>
  <c r="BM218" i="3"/>
  <c r="BL218" i="3"/>
  <c r="BK218" i="3"/>
  <c r="BJ218" i="3"/>
  <c r="BI218" i="3"/>
  <c r="BH218" i="3"/>
  <c r="BG218" i="3"/>
  <c r="BF218" i="3"/>
  <c r="BE218" i="3"/>
  <c r="BD218" i="3"/>
  <c r="BC218" i="3"/>
  <c r="BA218" i="3"/>
  <c r="AX218" i="3"/>
  <c r="AW218" i="3"/>
  <c r="AV218" i="3"/>
  <c r="BP217" i="3"/>
  <c r="BO217" i="3"/>
  <c r="BN217" i="3"/>
  <c r="BM217" i="3"/>
  <c r="BL217" i="3"/>
  <c r="BK217" i="3"/>
  <c r="BJ217" i="3"/>
  <c r="BI217" i="3"/>
  <c r="BH217" i="3"/>
  <c r="BG217" i="3"/>
  <c r="BF217" i="3"/>
  <c r="BE217" i="3"/>
  <c r="BD217" i="3"/>
  <c r="BC217" i="3"/>
  <c r="BA217" i="3"/>
  <c r="AZ217" i="3"/>
  <c r="AX217" i="3"/>
  <c r="AW217" i="3"/>
  <c r="AV217" i="3"/>
  <c r="BP216" i="3"/>
  <c r="BO216" i="3"/>
  <c r="BN216" i="3"/>
  <c r="BM216" i="3"/>
  <c r="BL216" i="3"/>
  <c r="BK216" i="3"/>
  <c r="BJ216" i="3"/>
  <c r="BI216" i="3"/>
  <c r="BH216" i="3"/>
  <c r="BG216" i="3"/>
  <c r="BF216" i="3"/>
  <c r="BE216" i="3"/>
  <c r="BD216" i="3"/>
  <c r="BC216" i="3"/>
  <c r="BA216" i="3"/>
  <c r="AZ216" i="3"/>
  <c r="AX216" i="3"/>
  <c r="AW216" i="3"/>
  <c r="AV216" i="3"/>
  <c r="BP215" i="3"/>
  <c r="BO215" i="3"/>
  <c r="BN215" i="3"/>
  <c r="BM215" i="3"/>
  <c r="BL215" i="3"/>
  <c r="BK215" i="3"/>
  <c r="BJ215" i="3"/>
  <c r="BI215" i="3"/>
  <c r="BH215" i="3"/>
  <c r="BG215" i="3"/>
  <c r="BF215" i="3"/>
  <c r="BE215" i="3"/>
  <c r="BD215" i="3"/>
  <c r="BC215" i="3"/>
  <c r="BA215" i="3"/>
  <c r="AX215" i="3"/>
  <c r="AW215" i="3"/>
  <c r="AV215" i="3"/>
  <c r="BP214" i="3"/>
  <c r="BO214" i="3"/>
  <c r="BN214" i="3"/>
  <c r="BM214" i="3"/>
  <c r="BL214" i="3"/>
  <c r="BK214" i="3"/>
  <c r="BJ214" i="3"/>
  <c r="BI214" i="3"/>
  <c r="BH214" i="3"/>
  <c r="BG214" i="3"/>
  <c r="BF214" i="3"/>
  <c r="BE214" i="3"/>
  <c r="BD214" i="3"/>
  <c r="BC214" i="3"/>
  <c r="BA214" i="3"/>
  <c r="AX214" i="3"/>
  <c r="AW214" i="3"/>
  <c r="AV214" i="3"/>
  <c r="BP213" i="3"/>
  <c r="BO213" i="3"/>
  <c r="BN213" i="3"/>
  <c r="BM213" i="3"/>
  <c r="BL213" i="3"/>
  <c r="BK213" i="3"/>
  <c r="BJ213" i="3"/>
  <c r="BI213" i="3"/>
  <c r="BH213" i="3"/>
  <c r="BG213" i="3"/>
  <c r="BF213" i="3"/>
  <c r="BE213" i="3"/>
  <c r="BD213" i="3"/>
  <c r="BC213" i="3"/>
  <c r="BA213" i="3"/>
  <c r="AX213" i="3"/>
  <c r="AW213" i="3"/>
  <c r="AV213" i="3"/>
  <c r="BP212" i="3"/>
  <c r="BO212" i="3"/>
  <c r="BN212" i="3"/>
  <c r="BM212" i="3"/>
  <c r="BL212" i="3"/>
  <c r="BK212" i="3"/>
  <c r="BJ212" i="3"/>
  <c r="BI212" i="3"/>
  <c r="BH212" i="3"/>
  <c r="BG212" i="3"/>
  <c r="BF212" i="3"/>
  <c r="BE212" i="3"/>
  <c r="BD212" i="3"/>
  <c r="BC212" i="3"/>
  <c r="BA212" i="3"/>
  <c r="AZ212" i="3"/>
  <c r="AX212" i="3"/>
  <c r="AW212" i="3"/>
  <c r="AV212" i="3"/>
  <c r="BP211" i="3"/>
  <c r="BO211" i="3"/>
  <c r="BN211" i="3"/>
  <c r="BM211" i="3"/>
  <c r="BL211" i="3"/>
  <c r="BK211" i="3"/>
  <c r="BJ211" i="3"/>
  <c r="BI211" i="3"/>
  <c r="BH211" i="3"/>
  <c r="BG211" i="3"/>
  <c r="BF211" i="3"/>
  <c r="BE211" i="3"/>
  <c r="BD211" i="3"/>
  <c r="BC211" i="3"/>
  <c r="BA211" i="3"/>
  <c r="AZ211" i="3"/>
  <c r="AX211" i="3"/>
  <c r="AW211" i="3"/>
  <c r="AV211" i="3"/>
  <c r="BP210" i="3"/>
  <c r="BO210" i="3"/>
  <c r="BN210" i="3"/>
  <c r="BM210" i="3"/>
  <c r="BL210" i="3"/>
  <c r="BK210" i="3"/>
  <c r="BJ210" i="3"/>
  <c r="BI210" i="3"/>
  <c r="BH210" i="3"/>
  <c r="BG210" i="3"/>
  <c r="BF210" i="3"/>
  <c r="BE210" i="3"/>
  <c r="BD210" i="3"/>
  <c r="BC210" i="3"/>
  <c r="BA210" i="3"/>
  <c r="AZ210" i="3"/>
  <c r="AX210" i="3"/>
  <c r="AW210" i="3"/>
  <c r="AV210" i="3"/>
  <c r="BP209" i="3"/>
  <c r="BO209" i="3"/>
  <c r="BN209" i="3"/>
  <c r="BM209" i="3"/>
  <c r="BL209" i="3"/>
  <c r="BK209" i="3"/>
  <c r="BJ209" i="3"/>
  <c r="BI209" i="3"/>
  <c r="BH209" i="3"/>
  <c r="BG209" i="3"/>
  <c r="BF209" i="3"/>
  <c r="BE209" i="3"/>
  <c r="BD209" i="3"/>
  <c r="BC209" i="3"/>
  <c r="BA209" i="3"/>
  <c r="AX209" i="3"/>
  <c r="AW209" i="3"/>
  <c r="AV209" i="3"/>
  <c r="BP208" i="3"/>
  <c r="BO208" i="3"/>
  <c r="BN208" i="3"/>
  <c r="BM208" i="3"/>
  <c r="BL208" i="3"/>
  <c r="BK208" i="3"/>
  <c r="BJ208" i="3"/>
  <c r="BI208" i="3"/>
  <c r="BH208" i="3"/>
  <c r="BG208" i="3"/>
  <c r="BF208" i="3"/>
  <c r="BE208" i="3"/>
  <c r="BD208" i="3"/>
  <c r="BC208" i="3"/>
  <c r="BA208" i="3"/>
  <c r="AZ208" i="3"/>
  <c r="AX208" i="3"/>
  <c r="AW208" i="3"/>
  <c r="AV208" i="3"/>
  <c r="BP397" i="3"/>
  <c r="BO397" i="3"/>
  <c r="BN397" i="3"/>
  <c r="BM397" i="3"/>
  <c r="BL397" i="3"/>
  <c r="BK397" i="3"/>
  <c r="BJ397" i="3"/>
  <c r="BI397" i="3"/>
  <c r="BH397" i="3"/>
  <c r="BG397" i="3"/>
  <c r="BF397" i="3"/>
  <c r="BE397" i="3"/>
  <c r="BD397" i="3"/>
  <c r="BC397" i="3"/>
  <c r="BA397" i="3"/>
  <c r="AZ397" i="3"/>
  <c r="AX397" i="3"/>
  <c r="AW397" i="3"/>
  <c r="AV397" i="3"/>
  <c r="BP396" i="3"/>
  <c r="BO396" i="3"/>
  <c r="BN396" i="3"/>
  <c r="BM396" i="3"/>
  <c r="BL396" i="3"/>
  <c r="BK396" i="3"/>
  <c r="BJ396" i="3"/>
  <c r="BI396" i="3"/>
  <c r="BH396" i="3"/>
  <c r="BG396" i="3"/>
  <c r="BF396" i="3"/>
  <c r="BE396" i="3"/>
  <c r="BD396" i="3"/>
  <c r="BC396" i="3"/>
  <c r="BA396" i="3"/>
  <c r="AX396" i="3"/>
  <c r="AW396" i="3"/>
  <c r="AV396" i="3"/>
  <c r="BP395" i="3"/>
  <c r="BO395" i="3"/>
  <c r="BN395" i="3"/>
  <c r="BM395" i="3"/>
  <c r="BL395" i="3"/>
  <c r="BK395" i="3"/>
  <c r="BJ395" i="3"/>
  <c r="BI395" i="3"/>
  <c r="BH395" i="3"/>
  <c r="BG395" i="3"/>
  <c r="BF395" i="3"/>
  <c r="BE395" i="3"/>
  <c r="BD395" i="3"/>
  <c r="BC395" i="3"/>
  <c r="BA395" i="3"/>
  <c r="AZ395" i="3"/>
  <c r="AX395" i="3"/>
  <c r="AW395" i="3"/>
  <c r="AV395" i="3"/>
  <c r="BP394" i="3"/>
  <c r="BO394" i="3"/>
  <c r="BN394" i="3"/>
  <c r="BM394" i="3"/>
  <c r="BK394" i="3"/>
  <c r="BJ394" i="3"/>
  <c r="BI394" i="3"/>
  <c r="BH394" i="3"/>
  <c r="BG394" i="3"/>
  <c r="BF394" i="3"/>
  <c r="BE394" i="3"/>
  <c r="BD394" i="3"/>
  <c r="BC394" i="3"/>
  <c r="AX394" i="3"/>
  <c r="AW394" i="3"/>
  <c r="AV394" i="3"/>
  <c r="BP393" i="3"/>
  <c r="BO393" i="3"/>
  <c r="BN393" i="3"/>
  <c r="BM393" i="3"/>
  <c r="BL393" i="3"/>
  <c r="BK393" i="3"/>
  <c r="BJ393" i="3"/>
  <c r="BI393" i="3"/>
  <c r="BH393" i="3"/>
  <c r="BG393" i="3"/>
  <c r="BF393" i="3"/>
  <c r="BE393" i="3"/>
  <c r="BD393" i="3"/>
  <c r="BC393" i="3"/>
  <c r="AX393" i="3"/>
  <c r="AW393" i="3"/>
  <c r="AV393" i="3"/>
  <c r="BP392" i="3"/>
  <c r="BO392" i="3"/>
  <c r="BN392" i="3"/>
  <c r="BM392" i="3"/>
  <c r="BK392" i="3"/>
  <c r="BJ392" i="3"/>
  <c r="BI392" i="3"/>
  <c r="BH392" i="3"/>
  <c r="BG392" i="3"/>
  <c r="BF392" i="3"/>
  <c r="BE392" i="3"/>
  <c r="BD392" i="3"/>
  <c r="BC392" i="3"/>
  <c r="BA392" i="3"/>
  <c r="AX392" i="3"/>
  <c r="AW392" i="3"/>
  <c r="AV392" i="3"/>
  <c r="BP391" i="3"/>
  <c r="BO391" i="3"/>
  <c r="BN391" i="3"/>
  <c r="BM391" i="3"/>
  <c r="BK391" i="3"/>
  <c r="BJ391" i="3"/>
  <c r="BI391" i="3"/>
  <c r="BH391" i="3"/>
  <c r="BG391" i="3"/>
  <c r="BF391" i="3"/>
  <c r="BE391" i="3"/>
  <c r="BD391" i="3"/>
  <c r="BC391" i="3"/>
  <c r="AX391" i="3"/>
  <c r="AW391" i="3"/>
  <c r="AV391" i="3"/>
  <c r="BP390" i="3"/>
  <c r="BO390" i="3"/>
  <c r="BN390" i="3"/>
  <c r="BM390" i="3"/>
  <c r="BK390" i="3"/>
  <c r="BJ390" i="3"/>
  <c r="BI390" i="3"/>
  <c r="BH390" i="3"/>
  <c r="BG390" i="3"/>
  <c r="BF390" i="3"/>
  <c r="BE390" i="3"/>
  <c r="BD390" i="3"/>
  <c r="BC390" i="3"/>
  <c r="AX390" i="3"/>
  <c r="AW390" i="3"/>
  <c r="AV390" i="3"/>
  <c r="BP389" i="3"/>
  <c r="BO389" i="3"/>
  <c r="BN389" i="3"/>
  <c r="BM389" i="3"/>
  <c r="BK389" i="3"/>
  <c r="BJ389" i="3"/>
  <c r="BI389" i="3"/>
  <c r="BH389" i="3"/>
  <c r="BG389" i="3"/>
  <c r="BF389" i="3"/>
  <c r="BE389" i="3"/>
  <c r="BD389" i="3"/>
  <c r="BC389" i="3"/>
  <c r="AX389" i="3"/>
  <c r="AW389" i="3"/>
  <c r="AV389" i="3"/>
  <c r="BP388" i="3"/>
  <c r="BO388" i="3"/>
  <c r="BN388" i="3"/>
  <c r="BM388" i="3"/>
  <c r="BK388" i="3"/>
  <c r="BJ388" i="3"/>
  <c r="BI388" i="3"/>
  <c r="BH388" i="3"/>
  <c r="BG388" i="3"/>
  <c r="BF388" i="3"/>
  <c r="BE388" i="3"/>
  <c r="BD388" i="3"/>
  <c r="BC388" i="3"/>
  <c r="BA388" i="3"/>
  <c r="AX388" i="3"/>
  <c r="AW388" i="3"/>
  <c r="AV388" i="3"/>
  <c r="BP387" i="3"/>
  <c r="BO387" i="3"/>
  <c r="BN387" i="3"/>
  <c r="BM387" i="3"/>
  <c r="BK387" i="3"/>
  <c r="BJ387" i="3"/>
  <c r="BI387" i="3"/>
  <c r="BH387" i="3"/>
  <c r="BG387" i="3"/>
  <c r="BF387" i="3"/>
  <c r="BE387" i="3"/>
  <c r="BD387" i="3"/>
  <c r="BC387" i="3"/>
  <c r="AX387" i="3"/>
  <c r="AW387" i="3"/>
  <c r="AV387" i="3"/>
  <c r="BP386" i="3"/>
  <c r="BO386" i="3"/>
  <c r="BN386" i="3"/>
  <c r="BM386" i="3"/>
  <c r="BL386" i="3"/>
  <c r="BK386" i="3"/>
  <c r="BJ386" i="3"/>
  <c r="BI386" i="3"/>
  <c r="BH386" i="3"/>
  <c r="BG386" i="3"/>
  <c r="BF386" i="3"/>
  <c r="BE386" i="3"/>
  <c r="BD386" i="3"/>
  <c r="BC386" i="3"/>
  <c r="BA386" i="3"/>
  <c r="AX386" i="3"/>
  <c r="AW386" i="3"/>
  <c r="AV386" i="3"/>
  <c r="BP385" i="3"/>
  <c r="BO385" i="3"/>
  <c r="BN385" i="3"/>
  <c r="BM385" i="3"/>
  <c r="BL385" i="3"/>
  <c r="BK385" i="3"/>
  <c r="BJ385" i="3"/>
  <c r="BI385" i="3"/>
  <c r="BH385" i="3"/>
  <c r="BG385" i="3"/>
  <c r="BF385" i="3"/>
  <c r="BE385" i="3"/>
  <c r="BD385" i="3"/>
  <c r="BC385" i="3"/>
  <c r="BA385" i="3"/>
  <c r="AZ385" i="3"/>
  <c r="AX385" i="3"/>
  <c r="AW385" i="3"/>
  <c r="AV385" i="3"/>
  <c r="BP384" i="3"/>
  <c r="BO384" i="3"/>
  <c r="BN384" i="3"/>
  <c r="BM384" i="3"/>
  <c r="BK384" i="3"/>
  <c r="BJ384" i="3"/>
  <c r="BI384" i="3"/>
  <c r="BH384" i="3"/>
  <c r="BG384" i="3"/>
  <c r="BF384" i="3"/>
  <c r="BE384" i="3"/>
  <c r="BD384" i="3"/>
  <c r="BC384" i="3"/>
  <c r="BA384" i="3"/>
  <c r="AX384" i="3"/>
  <c r="AW384" i="3"/>
  <c r="AV384" i="3"/>
  <c r="BP383" i="3"/>
  <c r="BO383" i="3"/>
  <c r="BN383" i="3"/>
  <c r="BM383" i="3"/>
  <c r="BL383" i="3"/>
  <c r="BK383" i="3"/>
  <c r="BJ383" i="3"/>
  <c r="BI383" i="3"/>
  <c r="BH383" i="3"/>
  <c r="BG383" i="3"/>
  <c r="BF383" i="3"/>
  <c r="BE383" i="3"/>
  <c r="BD383" i="3"/>
  <c r="BC383" i="3"/>
  <c r="AX383" i="3"/>
  <c r="AW383" i="3"/>
  <c r="AV383" i="3"/>
  <c r="BP382" i="3"/>
  <c r="BO382" i="3"/>
  <c r="BN382" i="3"/>
  <c r="BM382" i="3"/>
  <c r="BK382" i="3"/>
  <c r="BJ382" i="3"/>
  <c r="BI382" i="3"/>
  <c r="BH382" i="3"/>
  <c r="BG382" i="3"/>
  <c r="BF382" i="3"/>
  <c r="BE382" i="3"/>
  <c r="BD382" i="3"/>
  <c r="BC382" i="3"/>
  <c r="AX382" i="3"/>
  <c r="AW382" i="3"/>
  <c r="AV382" i="3"/>
  <c r="BP381" i="3"/>
  <c r="BO381" i="3"/>
  <c r="BN381" i="3"/>
  <c r="BM381" i="3"/>
  <c r="BL381" i="3"/>
  <c r="BK381" i="3"/>
  <c r="BJ381" i="3"/>
  <c r="BI381" i="3"/>
  <c r="BH381" i="3"/>
  <c r="BG381" i="3"/>
  <c r="BF381" i="3"/>
  <c r="BE381" i="3"/>
  <c r="BD381" i="3"/>
  <c r="BC381" i="3"/>
  <c r="AX381" i="3"/>
  <c r="AW381" i="3"/>
  <c r="AV381" i="3"/>
  <c r="BP380" i="3"/>
  <c r="BO380" i="3"/>
  <c r="BN380" i="3"/>
  <c r="BM380" i="3"/>
  <c r="BK380" i="3"/>
  <c r="BJ380" i="3"/>
  <c r="BI380" i="3"/>
  <c r="BH380" i="3"/>
  <c r="BG380" i="3"/>
  <c r="BF380" i="3"/>
  <c r="BE380" i="3"/>
  <c r="BD380" i="3"/>
  <c r="BC380" i="3"/>
  <c r="AX380" i="3"/>
  <c r="AW380" i="3"/>
  <c r="AV380" i="3"/>
  <c r="BP379" i="3"/>
  <c r="BO379" i="3"/>
  <c r="BN379" i="3"/>
  <c r="BM379" i="3"/>
  <c r="BK379" i="3"/>
  <c r="BJ379" i="3"/>
  <c r="BI379" i="3"/>
  <c r="BH379" i="3"/>
  <c r="BG379" i="3"/>
  <c r="BF379" i="3"/>
  <c r="BE379" i="3"/>
  <c r="BD379" i="3"/>
  <c r="BC379" i="3"/>
  <c r="AX379" i="3"/>
  <c r="AW379" i="3"/>
  <c r="AV379" i="3"/>
  <c r="BP378" i="3"/>
  <c r="BO378" i="3"/>
  <c r="BN378" i="3"/>
  <c r="BM378" i="3"/>
  <c r="BK378" i="3"/>
  <c r="BJ378" i="3"/>
  <c r="BI378" i="3"/>
  <c r="BH378" i="3"/>
  <c r="BG378" i="3"/>
  <c r="BF378" i="3"/>
  <c r="BE378" i="3"/>
  <c r="BD378" i="3"/>
  <c r="BC378" i="3"/>
  <c r="AX378" i="3"/>
  <c r="AW378" i="3"/>
  <c r="AV378" i="3"/>
  <c r="BP377" i="3"/>
  <c r="BO377" i="3"/>
  <c r="BN377" i="3"/>
  <c r="BM377" i="3"/>
  <c r="BK377" i="3"/>
  <c r="BJ377" i="3"/>
  <c r="BI377" i="3"/>
  <c r="BH377" i="3"/>
  <c r="BG377" i="3"/>
  <c r="BF377" i="3"/>
  <c r="BE377" i="3"/>
  <c r="BD377" i="3"/>
  <c r="BC377" i="3"/>
  <c r="AX377" i="3"/>
  <c r="AW377" i="3"/>
  <c r="AV377" i="3"/>
  <c r="BP376" i="3"/>
  <c r="BO376" i="3"/>
  <c r="BN376" i="3"/>
  <c r="BM376" i="3"/>
  <c r="BK376" i="3"/>
  <c r="BJ376" i="3"/>
  <c r="BI376" i="3"/>
  <c r="BH376" i="3"/>
  <c r="BG376" i="3"/>
  <c r="BF376" i="3"/>
  <c r="BE376" i="3"/>
  <c r="BD376" i="3"/>
  <c r="BC376" i="3"/>
  <c r="AX376" i="3"/>
  <c r="AW376" i="3"/>
  <c r="AV376" i="3"/>
  <c r="BP375" i="3"/>
  <c r="BO375" i="3"/>
  <c r="BN375" i="3"/>
  <c r="BM375" i="3"/>
  <c r="BL375" i="3"/>
  <c r="BK375" i="3"/>
  <c r="BJ375" i="3"/>
  <c r="BI375" i="3"/>
  <c r="BH375" i="3"/>
  <c r="BG375" i="3"/>
  <c r="BF375" i="3"/>
  <c r="BE375" i="3"/>
  <c r="BD375" i="3"/>
  <c r="BC375" i="3"/>
  <c r="AX375" i="3"/>
  <c r="AW375" i="3"/>
  <c r="AV375" i="3"/>
  <c r="BP374" i="3"/>
  <c r="BO374" i="3"/>
  <c r="BN374" i="3"/>
  <c r="BM374" i="3"/>
  <c r="BK374" i="3"/>
  <c r="BJ374" i="3"/>
  <c r="BI374" i="3"/>
  <c r="BH374" i="3"/>
  <c r="BG374" i="3"/>
  <c r="BF374" i="3"/>
  <c r="BE374" i="3"/>
  <c r="BD374" i="3"/>
  <c r="BC374" i="3"/>
  <c r="BA374" i="3"/>
  <c r="AX374" i="3"/>
  <c r="AW374" i="3"/>
  <c r="AV374" i="3"/>
  <c r="BP373" i="3"/>
  <c r="BO373" i="3"/>
  <c r="BN373" i="3"/>
  <c r="BM373" i="3"/>
  <c r="BK373" i="3"/>
  <c r="BJ373" i="3"/>
  <c r="BI373" i="3"/>
  <c r="BH373" i="3"/>
  <c r="BG373" i="3"/>
  <c r="BF373" i="3"/>
  <c r="BE373" i="3"/>
  <c r="BD373" i="3"/>
  <c r="BC373" i="3"/>
  <c r="AX373" i="3"/>
  <c r="AW373" i="3"/>
  <c r="AV373" i="3"/>
  <c r="BP372" i="3"/>
  <c r="BO372" i="3"/>
  <c r="BN372" i="3"/>
  <c r="BM372" i="3"/>
  <c r="BK372" i="3"/>
  <c r="BJ372" i="3"/>
  <c r="BI372" i="3"/>
  <c r="BH372" i="3"/>
  <c r="BG372" i="3"/>
  <c r="BF372" i="3"/>
  <c r="BE372" i="3"/>
  <c r="BD372" i="3"/>
  <c r="BC372" i="3"/>
  <c r="AX372" i="3"/>
  <c r="AW372" i="3"/>
  <c r="AV372" i="3"/>
  <c r="BP371" i="3"/>
  <c r="BO371" i="3"/>
  <c r="BN371" i="3"/>
  <c r="BM371" i="3"/>
  <c r="BK371" i="3"/>
  <c r="BJ371" i="3"/>
  <c r="BI371" i="3"/>
  <c r="BH371" i="3"/>
  <c r="BG371" i="3"/>
  <c r="BF371" i="3"/>
  <c r="BE371" i="3"/>
  <c r="BD371" i="3"/>
  <c r="BC371" i="3"/>
  <c r="AX371" i="3"/>
  <c r="AW371" i="3"/>
  <c r="AV371" i="3"/>
  <c r="BP370" i="3"/>
  <c r="BO370" i="3"/>
  <c r="BN370" i="3"/>
  <c r="BM370" i="3"/>
  <c r="BK370" i="3"/>
  <c r="BJ370" i="3"/>
  <c r="BI370" i="3"/>
  <c r="BH370" i="3"/>
  <c r="BG370" i="3"/>
  <c r="BF370" i="3"/>
  <c r="BE370" i="3"/>
  <c r="BD370" i="3"/>
  <c r="BC370" i="3"/>
  <c r="BA370" i="3"/>
  <c r="AX370" i="3"/>
  <c r="AW370" i="3"/>
  <c r="AV370" i="3"/>
  <c r="BP369" i="3"/>
  <c r="BO369" i="3"/>
  <c r="BN369" i="3"/>
  <c r="BM369" i="3"/>
  <c r="BK369" i="3"/>
  <c r="BJ369" i="3"/>
  <c r="BI369" i="3"/>
  <c r="BH369" i="3"/>
  <c r="BG369" i="3"/>
  <c r="BF369" i="3"/>
  <c r="BE369" i="3"/>
  <c r="BD369" i="3"/>
  <c r="BC369" i="3"/>
  <c r="AX369" i="3"/>
  <c r="AW369" i="3"/>
  <c r="AV369" i="3"/>
  <c r="BP368" i="3"/>
  <c r="BO368" i="3"/>
  <c r="BN368" i="3"/>
  <c r="BM368" i="3"/>
  <c r="BL368" i="3"/>
  <c r="BK368" i="3"/>
  <c r="BJ368" i="3"/>
  <c r="BI368" i="3"/>
  <c r="BH368" i="3"/>
  <c r="BG368" i="3"/>
  <c r="BF368" i="3"/>
  <c r="BE368" i="3"/>
  <c r="BD368" i="3"/>
  <c r="BC368" i="3"/>
  <c r="BA368" i="3"/>
  <c r="AX368" i="3"/>
  <c r="AW368" i="3"/>
  <c r="AV368" i="3"/>
  <c r="BP367" i="3"/>
  <c r="BO367" i="3"/>
  <c r="BN367" i="3"/>
  <c r="BM367" i="3"/>
  <c r="BL367" i="3"/>
  <c r="BK367" i="3"/>
  <c r="BJ367" i="3"/>
  <c r="BI367" i="3"/>
  <c r="BH367" i="3"/>
  <c r="BG367" i="3"/>
  <c r="BF367" i="3"/>
  <c r="BE367" i="3"/>
  <c r="BD367" i="3"/>
  <c r="BC367" i="3"/>
  <c r="BA367" i="3"/>
  <c r="AX367" i="3"/>
  <c r="AW367" i="3"/>
  <c r="AV367" i="3"/>
  <c r="BP366" i="3"/>
  <c r="BO366" i="3"/>
  <c r="BN366" i="3"/>
  <c r="BM366" i="3"/>
  <c r="BK366" i="3"/>
  <c r="BJ366" i="3"/>
  <c r="BI366" i="3"/>
  <c r="BH366" i="3"/>
  <c r="BG366" i="3"/>
  <c r="BF366" i="3"/>
  <c r="BE366" i="3"/>
  <c r="BD366" i="3"/>
  <c r="BC366" i="3"/>
  <c r="BA366" i="3"/>
  <c r="AX366" i="3"/>
  <c r="AW366" i="3"/>
  <c r="AV366" i="3"/>
  <c r="BP365" i="3"/>
  <c r="BO365" i="3"/>
  <c r="BN365" i="3"/>
  <c r="BM365" i="3"/>
  <c r="BL365" i="3"/>
  <c r="BK365" i="3"/>
  <c r="BJ365" i="3"/>
  <c r="BI365" i="3"/>
  <c r="BH365" i="3"/>
  <c r="BG365" i="3"/>
  <c r="BF365" i="3"/>
  <c r="BE365" i="3"/>
  <c r="BD365" i="3"/>
  <c r="BC365" i="3"/>
  <c r="AX365" i="3"/>
  <c r="AW365" i="3"/>
  <c r="AV365" i="3"/>
  <c r="BP364" i="3"/>
  <c r="BO364" i="3"/>
  <c r="BN364" i="3"/>
  <c r="BM364" i="3"/>
  <c r="BK364" i="3"/>
  <c r="BJ364" i="3"/>
  <c r="BI364" i="3"/>
  <c r="BH364" i="3"/>
  <c r="BG364" i="3"/>
  <c r="BF364" i="3"/>
  <c r="BE364" i="3"/>
  <c r="BD364" i="3"/>
  <c r="BC364" i="3"/>
  <c r="AX364" i="3"/>
  <c r="AW364" i="3"/>
  <c r="AV364" i="3"/>
  <c r="BP363" i="3"/>
  <c r="BO363" i="3"/>
  <c r="BN363" i="3"/>
  <c r="BM363" i="3"/>
  <c r="BL363" i="3"/>
  <c r="BK363" i="3"/>
  <c r="BJ363" i="3"/>
  <c r="BI363" i="3"/>
  <c r="BH363" i="3"/>
  <c r="BG363" i="3"/>
  <c r="BF363" i="3"/>
  <c r="BE363" i="3"/>
  <c r="BD363" i="3"/>
  <c r="BC363" i="3"/>
  <c r="AX363" i="3"/>
  <c r="AW363" i="3"/>
  <c r="AV363" i="3"/>
  <c r="BP362" i="3"/>
  <c r="BO362" i="3"/>
  <c r="BN362" i="3"/>
  <c r="BM362" i="3"/>
  <c r="BK362" i="3"/>
  <c r="BJ362" i="3"/>
  <c r="BI362" i="3"/>
  <c r="BH362" i="3"/>
  <c r="BG362" i="3"/>
  <c r="BF362" i="3"/>
  <c r="BE362" i="3"/>
  <c r="BD362" i="3"/>
  <c r="BC362" i="3"/>
  <c r="AX362" i="3"/>
  <c r="AW362" i="3"/>
  <c r="AV362" i="3"/>
  <c r="BP361" i="3"/>
  <c r="BO361" i="3"/>
  <c r="BN361" i="3"/>
  <c r="BM361" i="3"/>
  <c r="BK361" i="3"/>
  <c r="BJ361" i="3"/>
  <c r="BI361" i="3"/>
  <c r="BH361" i="3"/>
  <c r="BG361" i="3"/>
  <c r="BF361" i="3"/>
  <c r="BE361" i="3"/>
  <c r="BD361" i="3"/>
  <c r="BC361" i="3"/>
  <c r="AX361" i="3"/>
  <c r="AW361" i="3"/>
  <c r="AV361" i="3"/>
  <c r="BP360" i="3"/>
  <c r="BO360" i="3"/>
  <c r="BN360" i="3"/>
  <c r="BM360" i="3"/>
  <c r="BK360" i="3"/>
  <c r="BJ360" i="3"/>
  <c r="BI360" i="3"/>
  <c r="BH360" i="3"/>
  <c r="BG360" i="3"/>
  <c r="BF360" i="3"/>
  <c r="BE360" i="3"/>
  <c r="BD360" i="3"/>
  <c r="BC360" i="3"/>
  <c r="AX360" i="3"/>
  <c r="AW360" i="3"/>
  <c r="AV360" i="3"/>
  <c r="BP359" i="3"/>
  <c r="BO359" i="3"/>
  <c r="BN359" i="3"/>
  <c r="BM359" i="3"/>
  <c r="BL359" i="3"/>
  <c r="BK359" i="3"/>
  <c r="BJ359" i="3"/>
  <c r="BI359" i="3"/>
  <c r="BH359" i="3"/>
  <c r="BG359" i="3"/>
  <c r="BF359" i="3"/>
  <c r="BE359" i="3"/>
  <c r="BD359" i="3"/>
  <c r="BC359" i="3"/>
  <c r="AX359" i="3"/>
  <c r="AW359" i="3"/>
  <c r="AV359" i="3"/>
  <c r="BP358" i="3"/>
  <c r="BO358" i="3"/>
  <c r="BN358" i="3"/>
  <c r="BM358" i="3"/>
  <c r="BK358" i="3"/>
  <c r="BJ358" i="3"/>
  <c r="BI358" i="3"/>
  <c r="BH358" i="3"/>
  <c r="BG358" i="3"/>
  <c r="BF358" i="3"/>
  <c r="BE358" i="3"/>
  <c r="BD358" i="3"/>
  <c r="BC358" i="3"/>
  <c r="BA358" i="3"/>
  <c r="AX358" i="3"/>
  <c r="AW358" i="3"/>
  <c r="AV358" i="3"/>
  <c r="BP357" i="3"/>
  <c r="BO357" i="3"/>
  <c r="BN357" i="3"/>
  <c r="BM357" i="3"/>
  <c r="BK357" i="3"/>
  <c r="BJ357" i="3"/>
  <c r="BI357" i="3"/>
  <c r="BH357" i="3"/>
  <c r="BG357" i="3"/>
  <c r="BF357" i="3"/>
  <c r="BE357" i="3"/>
  <c r="BD357" i="3"/>
  <c r="BC357" i="3"/>
  <c r="AX357" i="3"/>
  <c r="AW357" i="3"/>
  <c r="AV357" i="3"/>
  <c r="BP356" i="3"/>
  <c r="BO356" i="3"/>
  <c r="BN356" i="3"/>
  <c r="BM356" i="3"/>
  <c r="BK356" i="3"/>
  <c r="BJ356" i="3"/>
  <c r="BI356" i="3"/>
  <c r="BH356" i="3"/>
  <c r="BG356" i="3"/>
  <c r="BF356" i="3"/>
  <c r="BE356" i="3"/>
  <c r="BD356" i="3"/>
  <c r="BC356" i="3"/>
  <c r="AX356" i="3"/>
  <c r="AW356" i="3"/>
  <c r="AV356" i="3"/>
  <c r="BP355" i="3"/>
  <c r="BO355" i="3"/>
  <c r="BN355" i="3"/>
  <c r="BM355" i="3"/>
  <c r="BK355" i="3"/>
  <c r="BJ355" i="3"/>
  <c r="BI355" i="3"/>
  <c r="BH355" i="3"/>
  <c r="BG355" i="3"/>
  <c r="BF355" i="3"/>
  <c r="BE355" i="3"/>
  <c r="BD355" i="3"/>
  <c r="BC355" i="3"/>
  <c r="AX355" i="3"/>
  <c r="AW355" i="3"/>
  <c r="AV355" i="3"/>
  <c r="BP354" i="3"/>
  <c r="BO354" i="3"/>
  <c r="BN354" i="3"/>
  <c r="BM354" i="3"/>
  <c r="BL354" i="3"/>
  <c r="BK354" i="3"/>
  <c r="BJ354" i="3"/>
  <c r="BI354" i="3"/>
  <c r="BH354" i="3"/>
  <c r="BG354" i="3"/>
  <c r="BF354" i="3"/>
  <c r="BE354" i="3"/>
  <c r="BD354" i="3"/>
  <c r="BC354" i="3"/>
  <c r="BA354" i="3"/>
  <c r="AX354" i="3"/>
  <c r="AW354" i="3"/>
  <c r="AV354" i="3"/>
  <c r="BP353" i="3"/>
  <c r="BO353" i="3"/>
  <c r="BN353" i="3"/>
  <c r="BM353" i="3"/>
  <c r="BL353" i="3"/>
  <c r="BK353" i="3"/>
  <c r="BJ353" i="3"/>
  <c r="BI353" i="3"/>
  <c r="BH353" i="3"/>
  <c r="BG353" i="3"/>
  <c r="BF353" i="3"/>
  <c r="BE353" i="3"/>
  <c r="BD353" i="3"/>
  <c r="BC353" i="3"/>
  <c r="BA353" i="3"/>
  <c r="AX353" i="3"/>
  <c r="AW353" i="3"/>
  <c r="AV353" i="3"/>
  <c r="BP352" i="3"/>
  <c r="BO352" i="3"/>
  <c r="BN352" i="3"/>
  <c r="BM352" i="3"/>
  <c r="BK352" i="3"/>
  <c r="BJ352" i="3"/>
  <c r="BI352" i="3"/>
  <c r="BH352" i="3"/>
  <c r="BG352" i="3"/>
  <c r="BF352" i="3"/>
  <c r="BE352" i="3"/>
  <c r="BD352" i="3"/>
  <c r="BC352" i="3"/>
  <c r="BA352" i="3"/>
  <c r="AX352" i="3"/>
  <c r="AW352" i="3"/>
  <c r="AV352" i="3"/>
  <c r="BP351" i="3"/>
  <c r="BO351" i="3"/>
  <c r="BN351" i="3"/>
  <c r="BM351" i="3"/>
  <c r="BK351" i="3"/>
  <c r="BJ351" i="3"/>
  <c r="BI351" i="3"/>
  <c r="BH351" i="3"/>
  <c r="BG351" i="3"/>
  <c r="BF351" i="3"/>
  <c r="BE351" i="3"/>
  <c r="BD351" i="3"/>
  <c r="BC351" i="3"/>
  <c r="AX351" i="3"/>
  <c r="AW351" i="3"/>
  <c r="AV351" i="3"/>
  <c r="BP350" i="3"/>
  <c r="BO350" i="3"/>
  <c r="BN350" i="3"/>
  <c r="BM350" i="3"/>
  <c r="BL350" i="3"/>
  <c r="BK350" i="3"/>
  <c r="BJ350" i="3"/>
  <c r="BI350" i="3"/>
  <c r="BH350" i="3"/>
  <c r="BG350" i="3"/>
  <c r="BF350" i="3"/>
  <c r="BE350" i="3"/>
  <c r="BD350" i="3"/>
  <c r="BC350" i="3"/>
  <c r="BA350" i="3"/>
  <c r="AX350" i="3"/>
  <c r="AW350" i="3"/>
  <c r="AV350" i="3"/>
  <c r="BP349" i="3"/>
  <c r="BO349" i="3"/>
  <c r="BN349" i="3"/>
  <c r="BM349" i="3"/>
  <c r="BK349" i="3"/>
  <c r="BJ349" i="3"/>
  <c r="BI349" i="3"/>
  <c r="BH349" i="3"/>
  <c r="BG349" i="3"/>
  <c r="BF349" i="3"/>
  <c r="BE349" i="3"/>
  <c r="BD349" i="3"/>
  <c r="BC349" i="3"/>
  <c r="BA349" i="3"/>
  <c r="AX349" i="3"/>
  <c r="AW349" i="3"/>
  <c r="AV349" i="3"/>
  <c r="BP348" i="3"/>
  <c r="BO348" i="3"/>
  <c r="BN348" i="3"/>
  <c r="BM348" i="3"/>
  <c r="BL348" i="3"/>
  <c r="BK348" i="3"/>
  <c r="BJ348" i="3"/>
  <c r="BI348" i="3"/>
  <c r="BH348" i="3"/>
  <c r="BG348" i="3"/>
  <c r="BF348" i="3"/>
  <c r="BE348" i="3"/>
  <c r="BD348" i="3"/>
  <c r="BC348" i="3"/>
  <c r="BA348" i="3"/>
  <c r="AX348" i="3"/>
  <c r="AW348" i="3"/>
  <c r="AV348" i="3"/>
  <c r="BP347" i="3"/>
  <c r="BO347" i="3"/>
  <c r="BN347" i="3"/>
  <c r="BM347" i="3"/>
  <c r="BK347" i="3"/>
  <c r="BJ347" i="3"/>
  <c r="BI347" i="3"/>
  <c r="BH347" i="3"/>
  <c r="BG347" i="3"/>
  <c r="BF347" i="3"/>
  <c r="BE347" i="3"/>
  <c r="BD347" i="3"/>
  <c r="BC347" i="3"/>
  <c r="AX347" i="3"/>
  <c r="AW347" i="3"/>
  <c r="AV347" i="3"/>
  <c r="BP346" i="3"/>
  <c r="BO346" i="3"/>
  <c r="BN346" i="3"/>
  <c r="BM346" i="3"/>
  <c r="BL346" i="3"/>
  <c r="BK346" i="3"/>
  <c r="BJ346" i="3"/>
  <c r="BI346" i="3"/>
  <c r="BH346" i="3"/>
  <c r="BG346" i="3"/>
  <c r="BF346" i="3"/>
  <c r="BE346" i="3"/>
  <c r="BD346" i="3"/>
  <c r="BC346" i="3"/>
  <c r="AX346" i="3"/>
  <c r="AW346" i="3"/>
  <c r="AV346" i="3"/>
  <c r="BP345" i="3"/>
  <c r="BO345" i="3"/>
  <c r="BN345" i="3"/>
  <c r="BM345" i="3"/>
  <c r="BK345" i="3"/>
  <c r="BJ345" i="3"/>
  <c r="BI345" i="3"/>
  <c r="BH345" i="3"/>
  <c r="BG345" i="3"/>
  <c r="BF345" i="3"/>
  <c r="BE345" i="3"/>
  <c r="BD345" i="3"/>
  <c r="BC345" i="3"/>
  <c r="AX345" i="3"/>
  <c r="AW345" i="3"/>
  <c r="AV345" i="3"/>
  <c r="BP344" i="3"/>
  <c r="BO344" i="3"/>
  <c r="BN344" i="3"/>
  <c r="BM344" i="3"/>
  <c r="BK344" i="3"/>
  <c r="BJ344" i="3"/>
  <c r="BI344" i="3"/>
  <c r="BH344" i="3"/>
  <c r="BG344" i="3"/>
  <c r="BF344" i="3"/>
  <c r="BE344" i="3"/>
  <c r="BD344" i="3"/>
  <c r="BC344" i="3"/>
  <c r="AX344" i="3"/>
  <c r="AW344" i="3"/>
  <c r="AV344" i="3"/>
  <c r="BP343" i="3"/>
  <c r="BO343" i="3"/>
  <c r="BN343" i="3"/>
  <c r="BM343" i="3"/>
  <c r="BK343" i="3"/>
  <c r="BJ343" i="3"/>
  <c r="BI343" i="3"/>
  <c r="BH343" i="3"/>
  <c r="BG343" i="3"/>
  <c r="BF343" i="3"/>
  <c r="BE343" i="3"/>
  <c r="BD343" i="3"/>
  <c r="BC343" i="3"/>
  <c r="AX343" i="3"/>
  <c r="AW343" i="3"/>
  <c r="AV343" i="3"/>
  <c r="BP342" i="3"/>
  <c r="BO342" i="3"/>
  <c r="BN342" i="3"/>
  <c r="BM342" i="3"/>
  <c r="BK342" i="3"/>
  <c r="BJ342" i="3"/>
  <c r="BI342" i="3"/>
  <c r="BH342" i="3"/>
  <c r="BG342" i="3"/>
  <c r="BF342" i="3"/>
  <c r="BE342" i="3"/>
  <c r="BD342" i="3"/>
  <c r="BC342" i="3"/>
  <c r="AX342" i="3"/>
  <c r="AW342" i="3"/>
  <c r="AV342" i="3"/>
  <c r="BP341" i="3"/>
  <c r="BO341" i="3"/>
  <c r="BN341" i="3"/>
  <c r="BM341" i="3"/>
  <c r="BK341" i="3"/>
  <c r="BJ341" i="3"/>
  <c r="BI341" i="3"/>
  <c r="BH341" i="3"/>
  <c r="BG341" i="3"/>
  <c r="BF341" i="3"/>
  <c r="BE341" i="3"/>
  <c r="BD341" i="3"/>
  <c r="BC341" i="3"/>
  <c r="AX341" i="3"/>
  <c r="AW341" i="3"/>
  <c r="AV341" i="3"/>
  <c r="BP340" i="3"/>
  <c r="BO340" i="3"/>
  <c r="BN340" i="3"/>
  <c r="BM340" i="3"/>
  <c r="BL340" i="3"/>
  <c r="BK340" i="3"/>
  <c r="BJ340" i="3"/>
  <c r="BI340" i="3"/>
  <c r="BH340" i="3"/>
  <c r="BG340" i="3"/>
  <c r="BF340" i="3"/>
  <c r="BE340" i="3"/>
  <c r="BD340" i="3"/>
  <c r="BC340" i="3"/>
  <c r="AX340" i="3"/>
  <c r="AW340" i="3"/>
  <c r="AV340" i="3"/>
  <c r="BP339" i="3"/>
  <c r="BO339" i="3"/>
  <c r="BN339" i="3"/>
  <c r="BM339" i="3"/>
  <c r="BK339" i="3"/>
  <c r="BJ339" i="3"/>
  <c r="BI339" i="3"/>
  <c r="BH339" i="3"/>
  <c r="BG339" i="3"/>
  <c r="BF339" i="3"/>
  <c r="BE339" i="3"/>
  <c r="BD339" i="3"/>
  <c r="BC339" i="3"/>
  <c r="BA339" i="3"/>
  <c r="AX339" i="3"/>
  <c r="AW339" i="3"/>
  <c r="AV339" i="3"/>
  <c r="BP338" i="3"/>
  <c r="BO338" i="3"/>
  <c r="BN338" i="3"/>
  <c r="BM338" i="3"/>
  <c r="BK338" i="3"/>
  <c r="BJ338" i="3"/>
  <c r="BI338" i="3"/>
  <c r="BH338" i="3"/>
  <c r="BG338" i="3"/>
  <c r="BF338" i="3"/>
  <c r="BE338" i="3"/>
  <c r="BD338" i="3"/>
  <c r="BC338" i="3"/>
  <c r="AX338" i="3"/>
  <c r="AW338" i="3"/>
  <c r="AV338" i="3"/>
  <c r="BP337" i="3"/>
  <c r="BO337" i="3"/>
  <c r="BN337" i="3"/>
  <c r="BM337" i="3"/>
  <c r="BK337" i="3"/>
  <c r="BJ337" i="3"/>
  <c r="BI337" i="3"/>
  <c r="BH337" i="3"/>
  <c r="BG337" i="3"/>
  <c r="BF337" i="3"/>
  <c r="BE337" i="3"/>
  <c r="BD337" i="3"/>
  <c r="BC337" i="3"/>
  <c r="AX337" i="3"/>
  <c r="AW337" i="3"/>
  <c r="AV337" i="3"/>
  <c r="BP336" i="3"/>
  <c r="BO336" i="3"/>
  <c r="BN336" i="3"/>
  <c r="BM336" i="3"/>
  <c r="BK336" i="3"/>
  <c r="BJ336" i="3"/>
  <c r="BI336" i="3"/>
  <c r="BH336" i="3"/>
  <c r="BG336" i="3"/>
  <c r="BF336" i="3"/>
  <c r="BE336" i="3"/>
  <c r="BD336" i="3"/>
  <c r="BC336" i="3"/>
  <c r="AX336" i="3"/>
  <c r="AW336" i="3"/>
  <c r="AV336" i="3"/>
  <c r="BP335" i="3"/>
  <c r="BO335" i="3"/>
  <c r="BN335" i="3"/>
  <c r="BM335" i="3"/>
  <c r="BK335" i="3"/>
  <c r="BJ335" i="3"/>
  <c r="BI335" i="3"/>
  <c r="BH335" i="3"/>
  <c r="BG335" i="3"/>
  <c r="BF335" i="3"/>
  <c r="BE335" i="3"/>
  <c r="BD335" i="3"/>
  <c r="BC335" i="3"/>
  <c r="BA335" i="3"/>
  <c r="AX335" i="3"/>
  <c r="AW335" i="3"/>
  <c r="AV335" i="3"/>
  <c r="BP334" i="3"/>
  <c r="BO334" i="3"/>
  <c r="BN334" i="3"/>
  <c r="BM334" i="3"/>
  <c r="BK334" i="3"/>
  <c r="BJ334" i="3"/>
  <c r="BI334" i="3"/>
  <c r="BH334" i="3"/>
  <c r="BG334" i="3"/>
  <c r="BF334" i="3"/>
  <c r="BE334" i="3"/>
  <c r="BD334" i="3"/>
  <c r="BC334" i="3"/>
  <c r="AX334" i="3"/>
  <c r="AW334" i="3"/>
  <c r="AV334" i="3"/>
  <c r="BP333" i="3"/>
  <c r="BO333" i="3"/>
  <c r="BN333" i="3"/>
  <c r="BM333" i="3"/>
  <c r="BL333" i="3"/>
  <c r="BK333" i="3"/>
  <c r="BJ333" i="3"/>
  <c r="BI333" i="3"/>
  <c r="BH333" i="3"/>
  <c r="BG333" i="3"/>
  <c r="BF333" i="3"/>
  <c r="BE333" i="3"/>
  <c r="BD333" i="3"/>
  <c r="BC333" i="3"/>
  <c r="BA333" i="3"/>
  <c r="AX333" i="3"/>
  <c r="AW333" i="3"/>
  <c r="AV333" i="3"/>
  <c r="BP332" i="3"/>
  <c r="BO332" i="3"/>
  <c r="BN332" i="3"/>
  <c r="BM332" i="3"/>
  <c r="BL332" i="3"/>
  <c r="BK332" i="3"/>
  <c r="BJ332" i="3"/>
  <c r="BI332" i="3"/>
  <c r="BH332" i="3"/>
  <c r="BG332" i="3"/>
  <c r="BF332" i="3"/>
  <c r="BE332" i="3"/>
  <c r="BD332" i="3"/>
  <c r="BC332" i="3"/>
  <c r="BA332" i="3"/>
  <c r="AZ332" i="3"/>
  <c r="AX332" i="3"/>
  <c r="AW332" i="3"/>
  <c r="AV332" i="3"/>
  <c r="BP331" i="3"/>
  <c r="BO331" i="3"/>
  <c r="BN331" i="3"/>
  <c r="BM331" i="3"/>
  <c r="BK331" i="3"/>
  <c r="BJ331" i="3"/>
  <c r="BI331" i="3"/>
  <c r="BH331" i="3"/>
  <c r="BG331" i="3"/>
  <c r="BF331" i="3"/>
  <c r="BE331" i="3"/>
  <c r="BD331" i="3"/>
  <c r="BC331" i="3"/>
  <c r="BA331" i="3"/>
  <c r="AX331" i="3"/>
  <c r="AW331" i="3"/>
  <c r="AV331" i="3"/>
  <c r="BP330" i="3"/>
  <c r="BO330" i="3"/>
  <c r="BN330" i="3"/>
  <c r="BM330" i="3"/>
  <c r="BL330" i="3"/>
  <c r="BK330" i="3"/>
  <c r="BJ330" i="3"/>
  <c r="BI330" i="3"/>
  <c r="BH330" i="3"/>
  <c r="BG330" i="3"/>
  <c r="BF330" i="3"/>
  <c r="BE330" i="3"/>
  <c r="BD330" i="3"/>
  <c r="BC330" i="3"/>
  <c r="AX330" i="3"/>
  <c r="AW330" i="3"/>
  <c r="AV330" i="3"/>
  <c r="BP329" i="3"/>
  <c r="BO329" i="3"/>
  <c r="BN329" i="3"/>
  <c r="BM329" i="3"/>
  <c r="BK329" i="3"/>
  <c r="BJ329" i="3"/>
  <c r="BI329" i="3"/>
  <c r="BH329" i="3"/>
  <c r="BG329" i="3"/>
  <c r="BF329" i="3"/>
  <c r="BE329" i="3"/>
  <c r="BD329" i="3"/>
  <c r="BC329" i="3"/>
  <c r="AX329" i="3"/>
  <c r="AW329" i="3"/>
  <c r="AV329" i="3"/>
  <c r="BP328" i="3"/>
  <c r="BO328" i="3"/>
  <c r="BN328" i="3"/>
  <c r="BM328" i="3"/>
  <c r="BL328" i="3"/>
  <c r="BK328" i="3"/>
  <c r="BJ328" i="3"/>
  <c r="BI328" i="3"/>
  <c r="BH328" i="3"/>
  <c r="BG328" i="3"/>
  <c r="BF328" i="3"/>
  <c r="BE328" i="3"/>
  <c r="BD328" i="3"/>
  <c r="BC328" i="3"/>
  <c r="AX328" i="3"/>
  <c r="AW328" i="3"/>
  <c r="AV328" i="3"/>
  <c r="BP327" i="3"/>
  <c r="BO327" i="3"/>
  <c r="BN327" i="3"/>
  <c r="BM327" i="3"/>
  <c r="BK327" i="3"/>
  <c r="BJ327" i="3"/>
  <c r="BI327" i="3"/>
  <c r="BH327" i="3"/>
  <c r="BG327" i="3"/>
  <c r="BF327" i="3"/>
  <c r="BE327" i="3"/>
  <c r="BD327" i="3"/>
  <c r="BC327" i="3"/>
  <c r="AX327" i="3"/>
  <c r="AW327" i="3"/>
  <c r="AV327" i="3"/>
  <c r="BP326" i="3"/>
  <c r="BO326" i="3"/>
  <c r="BN326" i="3"/>
  <c r="BM326" i="3"/>
  <c r="BK326" i="3"/>
  <c r="BJ326" i="3"/>
  <c r="BI326" i="3"/>
  <c r="BH326" i="3"/>
  <c r="BG326" i="3"/>
  <c r="BF326" i="3"/>
  <c r="BE326" i="3"/>
  <c r="BD326" i="3"/>
  <c r="BC326" i="3"/>
  <c r="AX326" i="3"/>
  <c r="AW326" i="3"/>
  <c r="AV326" i="3"/>
  <c r="BP325" i="3"/>
  <c r="BO325" i="3"/>
  <c r="BN325" i="3"/>
  <c r="BM325" i="3"/>
  <c r="BK325" i="3"/>
  <c r="BJ325" i="3"/>
  <c r="BI325" i="3"/>
  <c r="BH325" i="3"/>
  <c r="BG325" i="3"/>
  <c r="BF325" i="3"/>
  <c r="BE325" i="3"/>
  <c r="BD325" i="3"/>
  <c r="BC325" i="3"/>
  <c r="AX325" i="3"/>
  <c r="AW325" i="3"/>
  <c r="AV325" i="3"/>
  <c r="BP324" i="3"/>
  <c r="BO324" i="3"/>
  <c r="BN324" i="3"/>
  <c r="BM324" i="3"/>
  <c r="BL324" i="3"/>
  <c r="BK324" i="3"/>
  <c r="BJ324" i="3"/>
  <c r="BI324" i="3"/>
  <c r="BH324" i="3"/>
  <c r="BG324" i="3"/>
  <c r="BF324" i="3"/>
  <c r="BE324" i="3"/>
  <c r="BD324" i="3"/>
  <c r="BC324" i="3"/>
  <c r="AX324" i="3"/>
  <c r="AW324" i="3"/>
  <c r="AV324" i="3"/>
  <c r="BP323" i="3"/>
  <c r="BO323" i="3"/>
  <c r="BN323" i="3"/>
  <c r="BM323" i="3"/>
  <c r="BK323" i="3"/>
  <c r="BJ323" i="3"/>
  <c r="BI323" i="3"/>
  <c r="BH323" i="3"/>
  <c r="BG323" i="3"/>
  <c r="BF323" i="3"/>
  <c r="BE323" i="3"/>
  <c r="BD323" i="3"/>
  <c r="BC323" i="3"/>
  <c r="BA323" i="3"/>
  <c r="AX323" i="3"/>
  <c r="AW323" i="3"/>
  <c r="AV323" i="3"/>
  <c r="BP322" i="3"/>
  <c r="BO322" i="3"/>
  <c r="BN322" i="3"/>
  <c r="BM322" i="3"/>
  <c r="BK322" i="3"/>
  <c r="BJ322" i="3"/>
  <c r="BI322" i="3"/>
  <c r="BH322" i="3"/>
  <c r="BG322" i="3"/>
  <c r="BF322" i="3"/>
  <c r="BE322" i="3"/>
  <c r="BD322" i="3"/>
  <c r="BC322" i="3"/>
  <c r="AX322" i="3"/>
  <c r="AW322" i="3"/>
  <c r="AV322" i="3"/>
  <c r="BP321" i="3"/>
  <c r="BO321" i="3"/>
  <c r="BN321" i="3"/>
  <c r="BM321" i="3"/>
  <c r="BK321" i="3"/>
  <c r="BJ321" i="3"/>
  <c r="BI321" i="3"/>
  <c r="BH321" i="3"/>
  <c r="BG321" i="3"/>
  <c r="BF321" i="3"/>
  <c r="BE321" i="3"/>
  <c r="BD321" i="3"/>
  <c r="BC321" i="3"/>
  <c r="AX321" i="3"/>
  <c r="AW321" i="3"/>
  <c r="AV321" i="3"/>
  <c r="BP320" i="3"/>
  <c r="BO320" i="3"/>
  <c r="BN320" i="3"/>
  <c r="BM320" i="3"/>
  <c r="BK320" i="3"/>
  <c r="BJ320" i="3"/>
  <c r="BI320" i="3"/>
  <c r="BH320" i="3"/>
  <c r="BG320" i="3"/>
  <c r="BF320" i="3"/>
  <c r="BE320" i="3"/>
  <c r="BD320" i="3"/>
  <c r="BC320" i="3"/>
  <c r="AX320" i="3"/>
  <c r="AW320" i="3"/>
  <c r="AV320" i="3"/>
  <c r="BP319" i="3"/>
  <c r="BO319" i="3"/>
  <c r="BN319" i="3"/>
  <c r="BM319" i="3"/>
  <c r="BK319" i="3"/>
  <c r="BJ319" i="3"/>
  <c r="BI319" i="3"/>
  <c r="BH319" i="3"/>
  <c r="BG319" i="3"/>
  <c r="BF319" i="3"/>
  <c r="BE319" i="3"/>
  <c r="BD319" i="3"/>
  <c r="BC319" i="3"/>
  <c r="BA319" i="3"/>
  <c r="AX319" i="3"/>
  <c r="AW319" i="3"/>
  <c r="AV319" i="3"/>
  <c r="BP318" i="3"/>
  <c r="BO318" i="3"/>
  <c r="BN318" i="3"/>
  <c r="BM318" i="3"/>
  <c r="BK318" i="3"/>
  <c r="BJ318" i="3"/>
  <c r="BI318" i="3"/>
  <c r="BH318" i="3"/>
  <c r="BG318" i="3"/>
  <c r="BF318" i="3"/>
  <c r="BE318" i="3"/>
  <c r="BD318" i="3"/>
  <c r="BC318" i="3"/>
  <c r="AX318" i="3"/>
  <c r="AW318" i="3"/>
  <c r="AV318" i="3"/>
  <c r="BP317" i="3"/>
  <c r="BO317" i="3"/>
  <c r="BN317" i="3"/>
  <c r="BM317" i="3"/>
  <c r="BL317" i="3"/>
  <c r="BK317" i="3"/>
  <c r="BJ317" i="3"/>
  <c r="BI317" i="3"/>
  <c r="BH317" i="3"/>
  <c r="BG317" i="3"/>
  <c r="BF317" i="3"/>
  <c r="BE317" i="3"/>
  <c r="BD317" i="3"/>
  <c r="BC317" i="3"/>
  <c r="BA317" i="3"/>
  <c r="AX317" i="3"/>
  <c r="AW317" i="3"/>
  <c r="AV317" i="3"/>
  <c r="BP316" i="3"/>
  <c r="BO316" i="3"/>
  <c r="BN316" i="3"/>
  <c r="BM316" i="3"/>
  <c r="BL316" i="3"/>
  <c r="BK316" i="3"/>
  <c r="BJ316" i="3"/>
  <c r="BI316" i="3"/>
  <c r="BH316" i="3"/>
  <c r="BG316" i="3"/>
  <c r="BF316" i="3"/>
  <c r="BE316" i="3"/>
  <c r="BD316" i="3"/>
  <c r="BC316" i="3"/>
  <c r="BA316" i="3"/>
  <c r="AZ316" i="3"/>
  <c r="AX316" i="3"/>
  <c r="AW316" i="3"/>
  <c r="AV316" i="3"/>
  <c r="BP315" i="3"/>
  <c r="BO315" i="3"/>
  <c r="BN315" i="3"/>
  <c r="BM315" i="3"/>
  <c r="BK315" i="3"/>
  <c r="BJ315" i="3"/>
  <c r="BI315" i="3"/>
  <c r="BH315" i="3"/>
  <c r="BG315" i="3"/>
  <c r="BF315" i="3"/>
  <c r="BE315" i="3"/>
  <c r="BD315" i="3"/>
  <c r="BC315" i="3"/>
  <c r="BA315" i="3"/>
  <c r="AX315" i="3"/>
  <c r="AW315" i="3"/>
  <c r="AV315" i="3"/>
  <c r="BP314" i="3"/>
  <c r="BO314" i="3"/>
  <c r="BN314" i="3"/>
  <c r="BM314" i="3"/>
  <c r="BL314" i="3"/>
  <c r="BK314" i="3"/>
  <c r="BJ314" i="3"/>
  <c r="BI314" i="3"/>
  <c r="BH314" i="3"/>
  <c r="BG314" i="3"/>
  <c r="BF314" i="3"/>
  <c r="BE314" i="3"/>
  <c r="BD314" i="3"/>
  <c r="BC314" i="3"/>
  <c r="AX314" i="3"/>
  <c r="AW314" i="3"/>
  <c r="AV314" i="3"/>
  <c r="BP313" i="3"/>
  <c r="BO313" i="3"/>
  <c r="BN313" i="3"/>
  <c r="BM313" i="3"/>
  <c r="BK313" i="3"/>
  <c r="BJ313" i="3"/>
  <c r="BI313" i="3"/>
  <c r="BH313" i="3"/>
  <c r="BG313" i="3"/>
  <c r="BF313" i="3"/>
  <c r="BE313" i="3"/>
  <c r="BD313" i="3"/>
  <c r="BC313" i="3"/>
  <c r="AX313" i="3"/>
  <c r="AW313" i="3"/>
  <c r="AV313" i="3"/>
  <c r="BP312" i="3"/>
  <c r="BO312" i="3"/>
  <c r="BN312" i="3"/>
  <c r="BM312" i="3"/>
  <c r="BL312" i="3"/>
  <c r="BK312" i="3"/>
  <c r="BJ312" i="3"/>
  <c r="BI312" i="3"/>
  <c r="BH312" i="3"/>
  <c r="BG312" i="3"/>
  <c r="BF312" i="3"/>
  <c r="BE312" i="3"/>
  <c r="BD312" i="3"/>
  <c r="BC312" i="3"/>
  <c r="AX312" i="3"/>
  <c r="AW312" i="3"/>
  <c r="AV312" i="3"/>
  <c r="BP311" i="3"/>
  <c r="BO311" i="3"/>
  <c r="BN311" i="3"/>
  <c r="BM311" i="3"/>
  <c r="BK311" i="3"/>
  <c r="BJ311" i="3"/>
  <c r="BI311" i="3"/>
  <c r="BH311" i="3"/>
  <c r="BG311" i="3"/>
  <c r="BF311" i="3"/>
  <c r="BE311" i="3"/>
  <c r="BD311" i="3"/>
  <c r="BC311" i="3"/>
  <c r="AX311" i="3"/>
  <c r="AW311" i="3"/>
  <c r="AV311" i="3"/>
  <c r="BP310" i="3"/>
  <c r="BO310" i="3"/>
  <c r="BN310" i="3"/>
  <c r="BM310" i="3"/>
  <c r="BK310" i="3"/>
  <c r="BJ310" i="3"/>
  <c r="BI310" i="3"/>
  <c r="BH310" i="3"/>
  <c r="BG310" i="3"/>
  <c r="BF310" i="3"/>
  <c r="BE310" i="3"/>
  <c r="BD310" i="3"/>
  <c r="BC310" i="3"/>
  <c r="AX310" i="3"/>
  <c r="AW310" i="3"/>
  <c r="AV310" i="3"/>
  <c r="BP309" i="3"/>
  <c r="BO309" i="3"/>
  <c r="BN309" i="3"/>
  <c r="BM309" i="3"/>
  <c r="BK309" i="3"/>
  <c r="BJ309" i="3"/>
  <c r="BI309" i="3"/>
  <c r="BH309" i="3"/>
  <c r="BG309" i="3"/>
  <c r="BF309" i="3"/>
  <c r="BE309" i="3"/>
  <c r="BD309" i="3"/>
  <c r="BC309" i="3"/>
  <c r="AX309" i="3"/>
  <c r="AW309" i="3"/>
  <c r="AV309" i="3"/>
  <c r="BP308" i="3"/>
  <c r="BO308" i="3"/>
  <c r="BN308" i="3"/>
  <c r="BM308" i="3"/>
  <c r="BL308" i="3"/>
  <c r="BK308" i="3"/>
  <c r="BJ308" i="3"/>
  <c r="BI308" i="3"/>
  <c r="BH308" i="3"/>
  <c r="BG308" i="3"/>
  <c r="BF308" i="3"/>
  <c r="BE308" i="3"/>
  <c r="BD308" i="3"/>
  <c r="BC308" i="3"/>
  <c r="AX308" i="3"/>
  <c r="AW308" i="3"/>
  <c r="AV308" i="3"/>
  <c r="BP307" i="3"/>
  <c r="BO307" i="3"/>
  <c r="BN307" i="3"/>
  <c r="BM307" i="3"/>
  <c r="BK307" i="3"/>
  <c r="BJ307" i="3"/>
  <c r="BI307" i="3"/>
  <c r="BH307" i="3"/>
  <c r="BG307" i="3"/>
  <c r="BF307" i="3"/>
  <c r="BE307" i="3"/>
  <c r="BD307" i="3"/>
  <c r="BC307" i="3"/>
  <c r="BA307" i="3"/>
  <c r="AX307" i="3"/>
  <c r="AW307" i="3"/>
  <c r="AV307" i="3"/>
  <c r="BP306" i="3"/>
  <c r="BO306" i="3"/>
  <c r="BN306" i="3"/>
  <c r="BM306" i="3"/>
  <c r="BK306" i="3"/>
  <c r="BJ306" i="3"/>
  <c r="BI306" i="3"/>
  <c r="BH306" i="3"/>
  <c r="BG306" i="3"/>
  <c r="BF306" i="3"/>
  <c r="BE306" i="3"/>
  <c r="BD306" i="3"/>
  <c r="BC306" i="3"/>
  <c r="AX306" i="3"/>
  <c r="AW306" i="3"/>
  <c r="AV306" i="3"/>
  <c r="BP305" i="3"/>
  <c r="BO305" i="3"/>
  <c r="BN305" i="3"/>
  <c r="BM305" i="3"/>
  <c r="BK305" i="3"/>
  <c r="BJ305" i="3"/>
  <c r="BI305" i="3"/>
  <c r="BH305" i="3"/>
  <c r="BG305" i="3"/>
  <c r="BF305" i="3"/>
  <c r="BE305" i="3"/>
  <c r="BD305" i="3"/>
  <c r="BC305" i="3"/>
  <c r="AX305" i="3"/>
  <c r="AW305" i="3"/>
  <c r="AV305" i="3"/>
  <c r="BP304" i="3"/>
  <c r="BO304" i="3"/>
  <c r="BN304" i="3"/>
  <c r="BM304" i="3"/>
  <c r="BK304" i="3"/>
  <c r="BJ304" i="3"/>
  <c r="BI304" i="3"/>
  <c r="BH304" i="3"/>
  <c r="BG304" i="3"/>
  <c r="BF304" i="3"/>
  <c r="BE304" i="3"/>
  <c r="BD304" i="3"/>
  <c r="BC304" i="3"/>
  <c r="AX304" i="3"/>
  <c r="AW304" i="3"/>
  <c r="AV304" i="3"/>
  <c r="BP303" i="3"/>
  <c r="BO303" i="3"/>
  <c r="BN303" i="3"/>
  <c r="BM303" i="3"/>
  <c r="BK303" i="3"/>
  <c r="BJ303" i="3"/>
  <c r="BI303" i="3"/>
  <c r="BH303" i="3"/>
  <c r="BG303" i="3"/>
  <c r="BF303" i="3"/>
  <c r="BE303" i="3"/>
  <c r="BD303" i="3"/>
  <c r="BC303" i="3"/>
  <c r="BA303" i="3"/>
  <c r="AX303" i="3"/>
  <c r="AW303" i="3"/>
  <c r="AV303" i="3"/>
  <c r="BP492" i="3"/>
  <c r="BO492" i="3"/>
  <c r="BN492" i="3"/>
  <c r="BM492" i="3"/>
  <c r="BL492" i="3"/>
  <c r="BK492" i="3"/>
  <c r="BJ492" i="3"/>
  <c r="BI492" i="3"/>
  <c r="BH492" i="3"/>
  <c r="BG492" i="3"/>
  <c r="BF492" i="3"/>
  <c r="BE492" i="3"/>
  <c r="BD492" i="3"/>
  <c r="BC492" i="3"/>
  <c r="BA492" i="3"/>
  <c r="AZ492" i="3"/>
  <c r="AX492" i="3"/>
  <c r="AW492" i="3"/>
  <c r="AV492" i="3"/>
  <c r="BP491" i="3"/>
  <c r="BO491" i="3"/>
  <c r="BN491" i="3"/>
  <c r="BM491" i="3"/>
  <c r="BL491" i="3"/>
  <c r="BK491" i="3"/>
  <c r="BJ491" i="3"/>
  <c r="BI491" i="3"/>
  <c r="BH491" i="3"/>
  <c r="BG491" i="3"/>
  <c r="BF491" i="3"/>
  <c r="BE491" i="3"/>
  <c r="BD491" i="3"/>
  <c r="BC491" i="3"/>
  <c r="BA491" i="3"/>
  <c r="AX491" i="3"/>
  <c r="AW491" i="3"/>
  <c r="AV491" i="3"/>
  <c r="BP490" i="3"/>
  <c r="BO490" i="3"/>
  <c r="BN490" i="3"/>
  <c r="BM490" i="3"/>
  <c r="BL490" i="3"/>
  <c r="BK490" i="3"/>
  <c r="BJ490" i="3"/>
  <c r="BI490" i="3"/>
  <c r="BH490" i="3"/>
  <c r="BG490" i="3"/>
  <c r="BF490" i="3"/>
  <c r="BE490" i="3"/>
  <c r="BD490" i="3"/>
  <c r="BC490" i="3"/>
  <c r="BA490" i="3"/>
  <c r="AX490" i="3"/>
  <c r="AW490" i="3"/>
  <c r="AV490" i="3"/>
  <c r="BP489" i="3"/>
  <c r="BO489" i="3"/>
  <c r="BN489" i="3"/>
  <c r="BM489" i="3"/>
  <c r="BL489" i="3"/>
  <c r="BK489" i="3"/>
  <c r="BJ489" i="3"/>
  <c r="BI489" i="3"/>
  <c r="BH489" i="3"/>
  <c r="BG489" i="3"/>
  <c r="BF489" i="3"/>
  <c r="BE489" i="3"/>
  <c r="BD489" i="3"/>
  <c r="BC489" i="3"/>
  <c r="BA489" i="3"/>
  <c r="AZ489" i="3"/>
  <c r="AX489" i="3"/>
  <c r="AW489" i="3"/>
  <c r="AV489" i="3"/>
  <c r="BP488" i="3"/>
  <c r="BO488" i="3"/>
  <c r="BN488" i="3"/>
  <c r="BM488" i="3"/>
  <c r="BL488" i="3"/>
  <c r="BK488" i="3"/>
  <c r="BJ488" i="3"/>
  <c r="BI488" i="3"/>
  <c r="BH488" i="3"/>
  <c r="BG488" i="3"/>
  <c r="BF488" i="3"/>
  <c r="BE488" i="3"/>
  <c r="BD488" i="3"/>
  <c r="BC488" i="3"/>
  <c r="BA488" i="3"/>
  <c r="AZ488" i="3"/>
  <c r="AX488" i="3"/>
  <c r="AW488" i="3"/>
  <c r="AV488" i="3"/>
  <c r="BP487" i="3"/>
  <c r="BO487" i="3"/>
  <c r="BN487" i="3"/>
  <c r="BM487" i="3"/>
  <c r="BL487" i="3"/>
  <c r="BC487" i="3"/>
  <c r="BD487" i="3"/>
  <c r="BE487" i="3"/>
  <c r="BF487" i="3"/>
  <c r="BG487" i="3"/>
  <c r="BH487" i="3"/>
  <c r="BI487" i="3"/>
  <c r="BJ487" i="3"/>
  <c r="BK487" i="3"/>
  <c r="BA487" i="3"/>
  <c r="AZ487" i="3"/>
  <c r="AX487" i="3"/>
  <c r="AW487" i="3"/>
  <c r="AV487" i="3"/>
  <c r="BP486" i="3"/>
  <c r="BO486" i="3"/>
  <c r="BN486" i="3"/>
  <c r="BM486" i="3"/>
  <c r="BL486" i="3"/>
  <c r="BK486" i="3"/>
  <c r="BJ486" i="3"/>
  <c r="BI486" i="3"/>
  <c r="BH486" i="3"/>
  <c r="BG486" i="3"/>
  <c r="BF486" i="3"/>
  <c r="BE486" i="3"/>
  <c r="BD486" i="3"/>
  <c r="BC486" i="3"/>
  <c r="BA486" i="3"/>
  <c r="AZ486" i="3"/>
  <c r="AX486" i="3"/>
  <c r="AW486" i="3"/>
  <c r="AV486" i="3"/>
  <c r="BP485" i="3"/>
  <c r="BO485" i="3"/>
  <c r="BN485" i="3"/>
  <c r="BM485" i="3"/>
  <c r="BL485" i="3"/>
  <c r="BK485" i="3"/>
  <c r="BJ485" i="3"/>
  <c r="BI485" i="3"/>
  <c r="BH485" i="3"/>
  <c r="BG485" i="3"/>
  <c r="BF485" i="3"/>
  <c r="BE485" i="3"/>
  <c r="BD485" i="3"/>
  <c r="BC485" i="3"/>
  <c r="BA485" i="3"/>
  <c r="AZ485" i="3"/>
  <c r="AX485" i="3"/>
  <c r="AW485" i="3"/>
  <c r="AV485" i="3"/>
  <c r="BP484" i="3"/>
  <c r="BO484" i="3"/>
  <c r="BN484" i="3"/>
  <c r="BM484" i="3"/>
  <c r="BL484" i="3"/>
  <c r="BK484" i="3"/>
  <c r="BJ484" i="3"/>
  <c r="BI484" i="3"/>
  <c r="BH484" i="3"/>
  <c r="BG484" i="3"/>
  <c r="BF484" i="3"/>
  <c r="BE484" i="3"/>
  <c r="BD484" i="3"/>
  <c r="BC484" i="3"/>
  <c r="BA484" i="3"/>
  <c r="AZ484" i="3"/>
  <c r="AX484" i="3"/>
  <c r="AW484" i="3"/>
  <c r="AV484" i="3"/>
  <c r="BP483" i="3"/>
  <c r="BO483" i="3"/>
  <c r="BN483" i="3"/>
  <c r="BM483" i="3"/>
  <c r="BL483" i="3"/>
  <c r="BK483" i="3"/>
  <c r="BJ483" i="3"/>
  <c r="BI483" i="3"/>
  <c r="BH483" i="3"/>
  <c r="BG483" i="3"/>
  <c r="BF483" i="3"/>
  <c r="BE483" i="3"/>
  <c r="BD483" i="3"/>
  <c r="BC483" i="3"/>
  <c r="BA483" i="3"/>
  <c r="AZ483" i="3"/>
  <c r="AX483" i="3"/>
  <c r="AW483" i="3"/>
  <c r="AV483" i="3"/>
  <c r="BP482" i="3"/>
  <c r="BO482" i="3"/>
  <c r="BN482" i="3"/>
  <c r="BM482" i="3"/>
  <c r="BL482" i="3"/>
  <c r="BK482" i="3"/>
  <c r="BJ482" i="3"/>
  <c r="BI482" i="3"/>
  <c r="BH482" i="3"/>
  <c r="BG482" i="3"/>
  <c r="BF482" i="3"/>
  <c r="BE482" i="3"/>
  <c r="BD482" i="3"/>
  <c r="BC482" i="3"/>
  <c r="BA482" i="3"/>
  <c r="AZ482" i="3"/>
  <c r="AX482" i="3"/>
  <c r="AW482" i="3"/>
  <c r="AV482" i="3"/>
  <c r="BP481" i="3"/>
  <c r="BO481" i="3"/>
  <c r="BN481" i="3"/>
  <c r="BM481" i="3"/>
  <c r="BL481" i="3"/>
  <c r="BC481" i="3"/>
  <c r="BD481" i="3"/>
  <c r="BE481" i="3"/>
  <c r="BF481" i="3"/>
  <c r="BG481" i="3"/>
  <c r="BH481" i="3"/>
  <c r="BI481" i="3"/>
  <c r="BJ481" i="3"/>
  <c r="BK481" i="3"/>
  <c r="BA481" i="3"/>
  <c r="AZ481" i="3"/>
  <c r="AX481" i="3"/>
  <c r="AW481" i="3"/>
  <c r="AV481" i="3"/>
  <c r="BP480" i="3"/>
  <c r="BO480" i="3"/>
  <c r="BN480" i="3"/>
  <c r="BM480" i="3"/>
  <c r="BL480" i="3"/>
  <c r="BK480" i="3"/>
  <c r="BJ480" i="3"/>
  <c r="BI480" i="3"/>
  <c r="BH480" i="3"/>
  <c r="BG480" i="3"/>
  <c r="BF480" i="3"/>
  <c r="BE480" i="3"/>
  <c r="BD480" i="3"/>
  <c r="BC480" i="3"/>
  <c r="BA480" i="3"/>
  <c r="AZ480" i="3"/>
  <c r="AX480" i="3"/>
  <c r="AW480" i="3"/>
  <c r="AV480" i="3"/>
  <c r="BP479" i="3"/>
  <c r="BO479" i="3"/>
  <c r="BN479" i="3"/>
  <c r="BM479" i="3"/>
  <c r="BL479" i="3"/>
  <c r="BK479" i="3"/>
  <c r="BJ479" i="3"/>
  <c r="BI479" i="3"/>
  <c r="BH479" i="3"/>
  <c r="BG479" i="3"/>
  <c r="BF479" i="3"/>
  <c r="BE479" i="3"/>
  <c r="BD479" i="3"/>
  <c r="BC479" i="3"/>
  <c r="BA479" i="3"/>
  <c r="AZ479" i="3"/>
  <c r="AX479" i="3"/>
  <c r="AW479" i="3"/>
  <c r="AV479" i="3"/>
  <c r="BP478" i="3"/>
  <c r="BO478" i="3"/>
  <c r="BN478" i="3"/>
  <c r="BM478" i="3"/>
  <c r="BL478" i="3"/>
  <c r="BK478" i="3"/>
  <c r="BJ478" i="3"/>
  <c r="BI478" i="3"/>
  <c r="BH478" i="3"/>
  <c r="BG478" i="3"/>
  <c r="BF478" i="3"/>
  <c r="BE478" i="3"/>
  <c r="BD478" i="3"/>
  <c r="BC478" i="3"/>
  <c r="BA478" i="3"/>
  <c r="AZ478" i="3"/>
  <c r="AX478" i="3"/>
  <c r="AW478" i="3"/>
  <c r="AV478" i="3"/>
  <c r="BP477" i="3"/>
  <c r="BO477" i="3"/>
  <c r="BN477" i="3"/>
  <c r="BM477" i="3"/>
  <c r="BL477" i="3"/>
  <c r="BC477" i="3"/>
  <c r="BD477" i="3"/>
  <c r="BE477" i="3"/>
  <c r="BF477" i="3"/>
  <c r="BG477" i="3"/>
  <c r="BH477" i="3"/>
  <c r="BI477" i="3"/>
  <c r="BJ477" i="3"/>
  <c r="BK477" i="3"/>
  <c r="BA477" i="3"/>
  <c r="AZ477" i="3"/>
  <c r="AX477" i="3"/>
  <c r="AW477" i="3"/>
  <c r="AV477" i="3"/>
  <c r="BP476" i="3"/>
  <c r="BO476" i="3"/>
  <c r="BN476" i="3"/>
  <c r="BM476" i="3"/>
  <c r="BL476" i="3"/>
  <c r="BK476" i="3"/>
  <c r="BJ476" i="3"/>
  <c r="BI476" i="3"/>
  <c r="BH476" i="3"/>
  <c r="BG476" i="3"/>
  <c r="BF476" i="3"/>
  <c r="BE476" i="3"/>
  <c r="BD476" i="3"/>
  <c r="BC476" i="3"/>
  <c r="BA476" i="3"/>
  <c r="AZ476" i="3"/>
  <c r="AX476" i="3"/>
  <c r="AW476" i="3"/>
  <c r="AV476" i="3"/>
  <c r="BP475" i="3"/>
  <c r="BO475" i="3"/>
  <c r="BN475" i="3"/>
  <c r="BM475" i="3"/>
  <c r="BL475" i="3"/>
  <c r="BK475" i="3"/>
  <c r="BJ475" i="3"/>
  <c r="BI475" i="3"/>
  <c r="BH475" i="3"/>
  <c r="BG475" i="3"/>
  <c r="BF475" i="3"/>
  <c r="BE475" i="3"/>
  <c r="BD475" i="3"/>
  <c r="BC475" i="3"/>
  <c r="BA475" i="3"/>
  <c r="AZ475" i="3"/>
  <c r="AX475" i="3"/>
  <c r="AW475" i="3"/>
  <c r="AV475" i="3"/>
  <c r="BP474" i="3"/>
  <c r="BO474" i="3"/>
  <c r="BN474" i="3"/>
  <c r="BM474" i="3"/>
  <c r="BL474" i="3"/>
  <c r="BK474" i="3"/>
  <c r="BJ474" i="3"/>
  <c r="BI474" i="3"/>
  <c r="BH474" i="3"/>
  <c r="BG474" i="3"/>
  <c r="BF474" i="3"/>
  <c r="BE474" i="3"/>
  <c r="BD474" i="3"/>
  <c r="BC474" i="3"/>
  <c r="BA474" i="3"/>
  <c r="AZ474" i="3"/>
  <c r="AX474" i="3"/>
  <c r="AW474" i="3"/>
  <c r="AV474" i="3"/>
  <c r="BP473" i="3"/>
  <c r="BO473" i="3"/>
  <c r="BN473" i="3"/>
  <c r="BM473" i="3"/>
  <c r="BL473" i="3"/>
  <c r="BK473" i="3"/>
  <c r="BJ473" i="3"/>
  <c r="BI473" i="3"/>
  <c r="BH473" i="3"/>
  <c r="BG473" i="3"/>
  <c r="BF473" i="3"/>
  <c r="BE473" i="3"/>
  <c r="BD473" i="3"/>
  <c r="BC473" i="3"/>
  <c r="BA473" i="3"/>
  <c r="AX473" i="3"/>
  <c r="AW473" i="3"/>
  <c r="AV473" i="3"/>
  <c r="BP472" i="3"/>
  <c r="BO472" i="3"/>
  <c r="BN472" i="3"/>
  <c r="BM472" i="3"/>
  <c r="BL472" i="3"/>
  <c r="BK472" i="3"/>
  <c r="BJ472" i="3"/>
  <c r="BI472" i="3"/>
  <c r="BH472" i="3"/>
  <c r="BG472" i="3"/>
  <c r="BF472" i="3"/>
  <c r="BE472" i="3"/>
  <c r="BD472" i="3"/>
  <c r="BC472" i="3"/>
  <c r="BA472" i="3"/>
  <c r="AZ472" i="3"/>
  <c r="AX472" i="3"/>
  <c r="AW472" i="3"/>
  <c r="AV472" i="3"/>
  <c r="BP471" i="3"/>
  <c r="BO471" i="3"/>
  <c r="BN471" i="3"/>
  <c r="BM471" i="3"/>
  <c r="BL471" i="3"/>
  <c r="BK471" i="3"/>
  <c r="BJ471" i="3"/>
  <c r="BI471" i="3"/>
  <c r="BH471" i="3"/>
  <c r="BG471" i="3"/>
  <c r="BF471" i="3"/>
  <c r="BE471" i="3"/>
  <c r="BD471" i="3"/>
  <c r="BC471" i="3"/>
  <c r="BA471" i="3"/>
  <c r="AZ471" i="3"/>
  <c r="AX471" i="3"/>
  <c r="AW471" i="3"/>
  <c r="AV471" i="3"/>
  <c r="BP470" i="3"/>
  <c r="BO470" i="3"/>
  <c r="BN470" i="3"/>
  <c r="BM470" i="3"/>
  <c r="BL470" i="3"/>
  <c r="BK470" i="3"/>
  <c r="BJ470" i="3"/>
  <c r="BI470" i="3"/>
  <c r="BH470" i="3"/>
  <c r="BG470" i="3"/>
  <c r="BF470" i="3"/>
  <c r="BE470" i="3"/>
  <c r="BD470" i="3"/>
  <c r="BC470" i="3"/>
  <c r="BA470" i="3"/>
  <c r="AZ470" i="3"/>
  <c r="AX470" i="3"/>
  <c r="AW470" i="3"/>
  <c r="AV470" i="3"/>
  <c r="BP469" i="3"/>
  <c r="BO469" i="3"/>
  <c r="BN469" i="3"/>
  <c r="BM469" i="3"/>
  <c r="BL469" i="3"/>
  <c r="BC469" i="3"/>
  <c r="BD469" i="3"/>
  <c r="BE469" i="3"/>
  <c r="BF469" i="3"/>
  <c r="BG469" i="3"/>
  <c r="BH469" i="3"/>
  <c r="BI469" i="3"/>
  <c r="BJ469" i="3"/>
  <c r="BK469" i="3"/>
  <c r="BA469" i="3"/>
  <c r="AZ469" i="3"/>
  <c r="AX469" i="3"/>
  <c r="AW469" i="3"/>
  <c r="AV469" i="3"/>
  <c r="BP468" i="3"/>
  <c r="BO468" i="3"/>
  <c r="BN468" i="3"/>
  <c r="BM468" i="3"/>
  <c r="BL468" i="3"/>
  <c r="BK468" i="3"/>
  <c r="BJ468" i="3"/>
  <c r="BI468" i="3"/>
  <c r="BH468" i="3"/>
  <c r="BG468" i="3"/>
  <c r="BF468" i="3"/>
  <c r="BE468" i="3"/>
  <c r="BD468" i="3"/>
  <c r="BC468" i="3"/>
  <c r="BA468" i="3"/>
  <c r="AZ468" i="3"/>
  <c r="AX468" i="3"/>
  <c r="AW468" i="3"/>
  <c r="AV468" i="3"/>
  <c r="BP467" i="3"/>
  <c r="BO467" i="3"/>
  <c r="BN467" i="3"/>
  <c r="BM467" i="3"/>
  <c r="BL467" i="3"/>
  <c r="BK467" i="3"/>
  <c r="BJ467" i="3"/>
  <c r="BI467" i="3"/>
  <c r="BH467" i="3"/>
  <c r="BG467" i="3"/>
  <c r="BF467" i="3"/>
  <c r="BE467" i="3"/>
  <c r="BD467" i="3"/>
  <c r="BC467" i="3"/>
  <c r="BA467" i="3"/>
  <c r="AZ467" i="3"/>
  <c r="AX467" i="3"/>
  <c r="AW467" i="3"/>
  <c r="AV467" i="3"/>
  <c r="BP466" i="3"/>
  <c r="BO466" i="3"/>
  <c r="BN466" i="3"/>
  <c r="BM466" i="3"/>
  <c r="BL466" i="3"/>
  <c r="BK466" i="3"/>
  <c r="BJ466" i="3"/>
  <c r="BI466" i="3"/>
  <c r="BH466" i="3"/>
  <c r="BG466" i="3"/>
  <c r="BF466" i="3"/>
  <c r="BE466" i="3"/>
  <c r="BD466" i="3"/>
  <c r="BC466" i="3"/>
  <c r="BA466" i="3"/>
  <c r="AZ466" i="3"/>
  <c r="AX466" i="3"/>
  <c r="AW466" i="3"/>
  <c r="AV466" i="3"/>
  <c r="BP465" i="3"/>
  <c r="BO465" i="3"/>
  <c r="BN465" i="3"/>
  <c r="BM465" i="3"/>
  <c r="BL465" i="3"/>
  <c r="BK465" i="3"/>
  <c r="BJ465" i="3"/>
  <c r="BI465" i="3"/>
  <c r="BH465" i="3"/>
  <c r="BG465" i="3"/>
  <c r="BF465" i="3"/>
  <c r="BE465" i="3"/>
  <c r="BD465" i="3"/>
  <c r="BC465" i="3"/>
  <c r="BA465" i="3"/>
  <c r="AX465" i="3"/>
  <c r="AW465" i="3"/>
  <c r="AV465" i="3"/>
  <c r="BP464" i="3"/>
  <c r="BO464" i="3"/>
  <c r="BN464" i="3"/>
  <c r="BM464" i="3"/>
  <c r="BL464" i="3"/>
  <c r="BK464" i="3"/>
  <c r="BJ464" i="3"/>
  <c r="BI464" i="3"/>
  <c r="BH464" i="3"/>
  <c r="BG464" i="3"/>
  <c r="BF464" i="3"/>
  <c r="BE464" i="3"/>
  <c r="BD464" i="3"/>
  <c r="BC464" i="3"/>
  <c r="BA464" i="3"/>
  <c r="AZ464" i="3"/>
  <c r="AX464" i="3"/>
  <c r="AW464" i="3"/>
  <c r="AV464" i="3"/>
  <c r="BP463" i="3"/>
  <c r="BO463" i="3"/>
  <c r="BN463" i="3"/>
  <c r="BM463" i="3"/>
  <c r="BL463" i="3"/>
  <c r="BK463" i="3"/>
  <c r="BJ463" i="3"/>
  <c r="BI463" i="3"/>
  <c r="BH463" i="3"/>
  <c r="BG463" i="3"/>
  <c r="BF463" i="3"/>
  <c r="BE463" i="3"/>
  <c r="BD463" i="3"/>
  <c r="BC463" i="3"/>
  <c r="BA463" i="3"/>
  <c r="AZ463" i="3"/>
  <c r="AX463" i="3"/>
  <c r="AW463" i="3"/>
  <c r="AV463" i="3"/>
  <c r="BP462" i="3"/>
  <c r="BO462" i="3"/>
  <c r="BN462" i="3"/>
  <c r="BM462" i="3"/>
  <c r="BL462" i="3"/>
  <c r="BC462" i="3"/>
  <c r="BD462" i="3"/>
  <c r="BE462" i="3"/>
  <c r="BF462" i="3"/>
  <c r="BG462" i="3"/>
  <c r="BH462" i="3"/>
  <c r="BI462" i="3"/>
  <c r="BJ462" i="3"/>
  <c r="BK462" i="3"/>
  <c r="BA462" i="3"/>
  <c r="AZ462" i="3"/>
  <c r="AX462" i="3"/>
  <c r="AW462" i="3"/>
  <c r="AV462" i="3"/>
  <c r="BP461" i="3"/>
  <c r="BO461" i="3"/>
  <c r="BN461" i="3"/>
  <c r="BM461" i="3"/>
  <c r="BL461" i="3"/>
  <c r="BK461" i="3"/>
  <c r="BJ461" i="3"/>
  <c r="BI461" i="3"/>
  <c r="BH461" i="3"/>
  <c r="BG461" i="3"/>
  <c r="BF461" i="3"/>
  <c r="BE461" i="3"/>
  <c r="BD461" i="3"/>
  <c r="BC461" i="3"/>
  <c r="BA461" i="3"/>
  <c r="AZ461" i="3"/>
  <c r="AX461" i="3"/>
  <c r="AW461" i="3"/>
  <c r="AV461" i="3"/>
  <c r="BP460" i="3"/>
  <c r="BO460" i="3"/>
  <c r="BN460" i="3"/>
  <c r="BM460" i="3"/>
  <c r="BL460" i="3"/>
  <c r="BK460" i="3"/>
  <c r="BJ460" i="3"/>
  <c r="BI460" i="3"/>
  <c r="BH460" i="3"/>
  <c r="BG460" i="3"/>
  <c r="BF460" i="3"/>
  <c r="BE460" i="3"/>
  <c r="BD460" i="3"/>
  <c r="BC460" i="3"/>
  <c r="BA460" i="3"/>
  <c r="AZ460" i="3"/>
  <c r="AX460" i="3"/>
  <c r="AW460" i="3"/>
  <c r="AV460" i="3"/>
  <c r="BP459" i="3"/>
  <c r="BO459" i="3"/>
  <c r="BN459" i="3"/>
  <c r="BM459" i="3"/>
  <c r="BL459" i="3"/>
  <c r="BC459" i="3"/>
  <c r="BD459" i="3"/>
  <c r="BE459" i="3"/>
  <c r="BF459" i="3"/>
  <c r="BG459" i="3"/>
  <c r="BH459" i="3"/>
  <c r="BI459" i="3"/>
  <c r="BJ459" i="3"/>
  <c r="BK459" i="3"/>
  <c r="BA459" i="3"/>
  <c r="AZ459" i="3"/>
  <c r="AX459" i="3"/>
  <c r="AW459" i="3"/>
  <c r="AV459" i="3"/>
  <c r="BP458" i="3"/>
  <c r="BO458" i="3"/>
  <c r="BN458" i="3"/>
  <c r="BM458" i="3"/>
  <c r="BL458" i="3"/>
  <c r="BC458" i="3"/>
  <c r="BD458" i="3"/>
  <c r="BE458" i="3"/>
  <c r="BF458" i="3"/>
  <c r="BG458" i="3"/>
  <c r="BH458" i="3"/>
  <c r="BI458" i="3"/>
  <c r="BJ458" i="3"/>
  <c r="BK458" i="3"/>
  <c r="BA458" i="3"/>
  <c r="AZ458" i="3"/>
  <c r="AX458" i="3"/>
  <c r="AW458" i="3"/>
  <c r="AV458" i="3"/>
  <c r="BP457" i="3"/>
  <c r="BO457" i="3"/>
  <c r="BN457" i="3"/>
  <c r="BM457" i="3"/>
  <c r="BL457" i="3"/>
  <c r="BK457" i="3"/>
  <c r="BJ457" i="3"/>
  <c r="BI457" i="3"/>
  <c r="BH457" i="3"/>
  <c r="BG457" i="3"/>
  <c r="BF457" i="3"/>
  <c r="BE457" i="3"/>
  <c r="BD457" i="3"/>
  <c r="BC457" i="3"/>
  <c r="BA457" i="3"/>
  <c r="AX457" i="3"/>
  <c r="AW457" i="3"/>
  <c r="AV457" i="3"/>
  <c r="BP456" i="3"/>
  <c r="BO456" i="3"/>
  <c r="BN456" i="3"/>
  <c r="BM456" i="3"/>
  <c r="BL456" i="3"/>
  <c r="BK456" i="3"/>
  <c r="BJ456" i="3"/>
  <c r="BI456" i="3"/>
  <c r="BH456" i="3"/>
  <c r="BG456" i="3"/>
  <c r="BF456" i="3"/>
  <c r="BE456" i="3"/>
  <c r="BD456" i="3"/>
  <c r="BC456" i="3"/>
  <c r="BA456" i="3"/>
  <c r="AZ456" i="3"/>
  <c r="AX456" i="3"/>
  <c r="AW456" i="3"/>
  <c r="AV456" i="3"/>
  <c r="BP455" i="3"/>
  <c r="BO455" i="3"/>
  <c r="BN455" i="3"/>
  <c r="BM455" i="3"/>
  <c r="BL455" i="3"/>
  <c r="BK455" i="3"/>
  <c r="BJ455" i="3"/>
  <c r="BI455" i="3"/>
  <c r="BH455" i="3"/>
  <c r="BG455" i="3"/>
  <c r="BF455" i="3"/>
  <c r="BE455" i="3"/>
  <c r="BD455" i="3"/>
  <c r="BC455" i="3"/>
  <c r="BA455" i="3"/>
  <c r="AZ455" i="3"/>
  <c r="AX455" i="3"/>
  <c r="AW455" i="3"/>
  <c r="AV455" i="3"/>
  <c r="BP454" i="3"/>
  <c r="BO454" i="3"/>
  <c r="BN454" i="3"/>
  <c r="BM454" i="3"/>
  <c r="BL454" i="3"/>
  <c r="BC454" i="3"/>
  <c r="BD454" i="3"/>
  <c r="BE454" i="3"/>
  <c r="BF454" i="3"/>
  <c r="BG454" i="3"/>
  <c r="BH454" i="3"/>
  <c r="BI454" i="3"/>
  <c r="BJ454" i="3"/>
  <c r="BK454" i="3"/>
  <c r="BA454" i="3"/>
  <c r="AZ454" i="3"/>
  <c r="AX454" i="3"/>
  <c r="AW454" i="3"/>
  <c r="AV454" i="3"/>
  <c r="BP453" i="3"/>
  <c r="BO453" i="3"/>
  <c r="BN453" i="3"/>
  <c r="BM453" i="3"/>
  <c r="BL453" i="3"/>
  <c r="BK453" i="3"/>
  <c r="BJ453" i="3"/>
  <c r="BI453" i="3"/>
  <c r="BH453" i="3"/>
  <c r="BG453" i="3"/>
  <c r="BF453" i="3"/>
  <c r="BE453" i="3"/>
  <c r="BD453" i="3"/>
  <c r="BC453" i="3"/>
  <c r="BA453" i="3"/>
  <c r="AZ453" i="3"/>
  <c r="AX453" i="3"/>
  <c r="AW453" i="3"/>
  <c r="AV453" i="3"/>
  <c r="BP452" i="3"/>
  <c r="BO452" i="3"/>
  <c r="BN452" i="3"/>
  <c r="BM452" i="3"/>
  <c r="BL452" i="3"/>
  <c r="BK452" i="3"/>
  <c r="BJ452" i="3"/>
  <c r="BI452" i="3"/>
  <c r="BH452" i="3"/>
  <c r="BG452" i="3"/>
  <c r="BF452" i="3"/>
  <c r="BE452" i="3"/>
  <c r="BD452" i="3"/>
  <c r="BC452" i="3"/>
  <c r="BA452" i="3"/>
  <c r="AZ452" i="3"/>
  <c r="AX452" i="3"/>
  <c r="AW452" i="3"/>
  <c r="AV452" i="3"/>
  <c r="BP451" i="3"/>
  <c r="BO451" i="3"/>
  <c r="BN451" i="3"/>
  <c r="BM451" i="3"/>
  <c r="BL451" i="3"/>
  <c r="BC451" i="3"/>
  <c r="BD451" i="3"/>
  <c r="BE451" i="3"/>
  <c r="BF451" i="3"/>
  <c r="BG451" i="3"/>
  <c r="BH451" i="3"/>
  <c r="BI451" i="3"/>
  <c r="BJ451" i="3"/>
  <c r="BK451" i="3"/>
  <c r="BA451" i="3"/>
  <c r="AZ451" i="3"/>
  <c r="AX451" i="3"/>
  <c r="AW451" i="3"/>
  <c r="AV451" i="3"/>
  <c r="BP450" i="3"/>
  <c r="BO450" i="3"/>
  <c r="BN450" i="3"/>
  <c r="BM450" i="3"/>
  <c r="BL450" i="3"/>
  <c r="BC450" i="3"/>
  <c r="BD450" i="3"/>
  <c r="BE450" i="3"/>
  <c r="BF450" i="3"/>
  <c r="BG450" i="3"/>
  <c r="BH450" i="3"/>
  <c r="BI450" i="3"/>
  <c r="BJ450" i="3"/>
  <c r="BK450" i="3"/>
  <c r="BA450" i="3"/>
  <c r="AZ450" i="3"/>
  <c r="AX450" i="3"/>
  <c r="AW450" i="3"/>
  <c r="AV450" i="3"/>
  <c r="BP449" i="3"/>
  <c r="BO449" i="3"/>
  <c r="BN449" i="3"/>
  <c r="BM449" i="3"/>
  <c r="BL449" i="3"/>
  <c r="BK449" i="3"/>
  <c r="BJ449" i="3"/>
  <c r="BI449" i="3"/>
  <c r="BH449" i="3"/>
  <c r="BG449" i="3"/>
  <c r="BF449" i="3"/>
  <c r="BE449" i="3"/>
  <c r="BD449" i="3"/>
  <c r="BC449" i="3"/>
  <c r="BA449" i="3"/>
  <c r="AZ449" i="3"/>
  <c r="AX449" i="3"/>
  <c r="AW449" i="3"/>
  <c r="AV449" i="3"/>
  <c r="BP448" i="3"/>
  <c r="BO448" i="3"/>
  <c r="BN448" i="3"/>
  <c r="BM448" i="3"/>
  <c r="BL448" i="3"/>
  <c r="BK448" i="3"/>
  <c r="BJ448" i="3"/>
  <c r="BI448" i="3"/>
  <c r="BH448" i="3"/>
  <c r="BG448" i="3"/>
  <c r="BF448" i="3"/>
  <c r="BE448" i="3"/>
  <c r="BD448" i="3"/>
  <c r="BC448" i="3"/>
  <c r="BA448" i="3"/>
  <c r="AZ448" i="3"/>
  <c r="AX448" i="3"/>
  <c r="AW448" i="3"/>
  <c r="AV448" i="3"/>
  <c r="BP447" i="3"/>
  <c r="BO447" i="3"/>
  <c r="BN447" i="3"/>
  <c r="BM447" i="3"/>
  <c r="BL447" i="3"/>
  <c r="BK447" i="3"/>
  <c r="BJ447" i="3"/>
  <c r="BI447" i="3"/>
  <c r="BH447" i="3"/>
  <c r="BG447" i="3"/>
  <c r="BF447" i="3"/>
  <c r="BE447" i="3"/>
  <c r="BD447" i="3"/>
  <c r="BC447" i="3"/>
  <c r="BA447" i="3"/>
  <c r="AZ447" i="3"/>
  <c r="AX447" i="3"/>
  <c r="AW447" i="3"/>
  <c r="AV447" i="3"/>
  <c r="BP446" i="3"/>
  <c r="BO446" i="3"/>
  <c r="BN446" i="3"/>
  <c r="BM446" i="3"/>
  <c r="BL446" i="3"/>
  <c r="BC446" i="3"/>
  <c r="BD446" i="3"/>
  <c r="BE446" i="3"/>
  <c r="BF446" i="3"/>
  <c r="BG446" i="3"/>
  <c r="BH446" i="3"/>
  <c r="BI446" i="3"/>
  <c r="BJ446" i="3"/>
  <c r="BK446" i="3"/>
  <c r="BA446" i="3"/>
  <c r="AZ446" i="3"/>
  <c r="AX446" i="3"/>
  <c r="AW446" i="3"/>
  <c r="AV446" i="3"/>
  <c r="BP445" i="3"/>
  <c r="BO445" i="3"/>
  <c r="BN445" i="3"/>
  <c r="BM445" i="3"/>
  <c r="BL445" i="3"/>
  <c r="BK445" i="3"/>
  <c r="BJ445" i="3"/>
  <c r="BI445" i="3"/>
  <c r="BH445" i="3"/>
  <c r="BG445" i="3"/>
  <c r="BF445" i="3"/>
  <c r="BE445" i="3"/>
  <c r="BD445" i="3"/>
  <c r="BC445" i="3"/>
  <c r="BA445" i="3"/>
  <c r="AZ445" i="3"/>
  <c r="AX445" i="3"/>
  <c r="AW445" i="3"/>
  <c r="AV445" i="3"/>
  <c r="BP444" i="3"/>
  <c r="BO444" i="3"/>
  <c r="BN444" i="3"/>
  <c r="BM444" i="3"/>
  <c r="BL444" i="3"/>
  <c r="BK444" i="3"/>
  <c r="BJ444" i="3"/>
  <c r="BI444" i="3"/>
  <c r="BH444" i="3"/>
  <c r="BG444" i="3"/>
  <c r="BF444" i="3"/>
  <c r="BE444" i="3"/>
  <c r="BD444" i="3"/>
  <c r="BC444" i="3"/>
  <c r="BA444" i="3"/>
  <c r="AZ444" i="3"/>
  <c r="AX444" i="3"/>
  <c r="AW444" i="3"/>
  <c r="AV444" i="3"/>
  <c r="BP443" i="3"/>
  <c r="BO443" i="3"/>
  <c r="BN443" i="3"/>
  <c r="BM443" i="3"/>
  <c r="BL443" i="3"/>
  <c r="BC443" i="3"/>
  <c r="BD443" i="3"/>
  <c r="BE443" i="3"/>
  <c r="BF443" i="3"/>
  <c r="BG443" i="3"/>
  <c r="BH443" i="3"/>
  <c r="BI443" i="3"/>
  <c r="BJ443" i="3"/>
  <c r="BK443" i="3"/>
  <c r="BA443" i="3"/>
  <c r="AZ443" i="3"/>
  <c r="AX443" i="3"/>
  <c r="AW443" i="3"/>
  <c r="AV443" i="3"/>
  <c r="BP442" i="3"/>
  <c r="BO442" i="3"/>
  <c r="BN442" i="3"/>
  <c r="BM442" i="3"/>
  <c r="BL442" i="3"/>
  <c r="BC442" i="3"/>
  <c r="BD442" i="3"/>
  <c r="BE442" i="3"/>
  <c r="BF442" i="3"/>
  <c r="BG442" i="3"/>
  <c r="BH442" i="3"/>
  <c r="BI442" i="3"/>
  <c r="BJ442" i="3"/>
  <c r="BK442" i="3"/>
  <c r="BA442" i="3"/>
  <c r="AZ442" i="3"/>
  <c r="AX442" i="3"/>
  <c r="AW442" i="3"/>
  <c r="AV442" i="3"/>
  <c r="BP441" i="3"/>
  <c r="BO441" i="3"/>
  <c r="BN441" i="3"/>
  <c r="BM441" i="3"/>
  <c r="BL441" i="3"/>
  <c r="BK441" i="3"/>
  <c r="BJ441" i="3"/>
  <c r="BI441" i="3"/>
  <c r="BH441" i="3"/>
  <c r="BG441" i="3"/>
  <c r="BF441" i="3"/>
  <c r="BE441" i="3"/>
  <c r="BD441" i="3"/>
  <c r="BC441" i="3"/>
  <c r="BA441" i="3"/>
  <c r="AX441" i="3"/>
  <c r="AW441" i="3"/>
  <c r="AV441" i="3"/>
  <c r="BP440" i="3"/>
  <c r="BO440" i="3"/>
  <c r="BN440" i="3"/>
  <c r="BM440" i="3"/>
  <c r="BL440" i="3"/>
  <c r="BK440" i="3"/>
  <c r="BJ440" i="3"/>
  <c r="BI440" i="3"/>
  <c r="BH440" i="3"/>
  <c r="BG440" i="3"/>
  <c r="BF440" i="3"/>
  <c r="BE440" i="3"/>
  <c r="BD440" i="3"/>
  <c r="BC440" i="3"/>
  <c r="BA440" i="3"/>
  <c r="AZ440" i="3"/>
  <c r="AX440" i="3"/>
  <c r="AW440" i="3"/>
  <c r="AV440" i="3"/>
  <c r="BP439" i="3"/>
  <c r="BO439" i="3"/>
  <c r="BN439" i="3"/>
  <c r="BM439" i="3"/>
  <c r="BL439" i="3"/>
  <c r="BK439" i="3"/>
  <c r="BJ439" i="3"/>
  <c r="BI439" i="3"/>
  <c r="BH439" i="3"/>
  <c r="BG439" i="3"/>
  <c r="BF439" i="3"/>
  <c r="BE439" i="3"/>
  <c r="BD439" i="3"/>
  <c r="BC439" i="3"/>
  <c r="BA439" i="3"/>
  <c r="AZ439" i="3"/>
  <c r="AX439" i="3"/>
  <c r="AW439" i="3"/>
  <c r="AV439" i="3"/>
  <c r="BP438" i="3"/>
  <c r="BO438" i="3"/>
  <c r="BN438" i="3"/>
  <c r="BM438" i="3"/>
  <c r="BL438" i="3"/>
  <c r="BC438" i="3"/>
  <c r="BD438" i="3"/>
  <c r="BE438" i="3"/>
  <c r="BF438" i="3"/>
  <c r="BG438" i="3"/>
  <c r="BH438" i="3"/>
  <c r="BI438" i="3"/>
  <c r="BJ438" i="3"/>
  <c r="BK438" i="3"/>
  <c r="BA438" i="3"/>
  <c r="AZ438" i="3"/>
  <c r="AX438" i="3"/>
  <c r="AW438" i="3"/>
  <c r="AV438" i="3"/>
  <c r="BP437" i="3"/>
  <c r="BO437" i="3"/>
  <c r="BN437" i="3"/>
  <c r="BM437" i="3"/>
  <c r="BL437" i="3"/>
  <c r="BK437" i="3"/>
  <c r="BJ437" i="3"/>
  <c r="BI437" i="3"/>
  <c r="BH437" i="3"/>
  <c r="BG437" i="3"/>
  <c r="BF437" i="3"/>
  <c r="BE437" i="3"/>
  <c r="BD437" i="3"/>
  <c r="BC437" i="3"/>
  <c r="BA437" i="3"/>
  <c r="AX437" i="3"/>
  <c r="AW437" i="3"/>
  <c r="AV437" i="3"/>
  <c r="BP436" i="3"/>
  <c r="BO436" i="3"/>
  <c r="BN436" i="3"/>
  <c r="BM436" i="3"/>
  <c r="BL436" i="3"/>
  <c r="BK436" i="3"/>
  <c r="BJ436" i="3"/>
  <c r="BI436" i="3"/>
  <c r="BH436" i="3"/>
  <c r="BG436" i="3"/>
  <c r="BF436" i="3"/>
  <c r="BE436" i="3"/>
  <c r="BD436" i="3"/>
  <c r="BC436" i="3"/>
  <c r="BA436" i="3"/>
  <c r="AZ436" i="3"/>
  <c r="AX436" i="3"/>
  <c r="AW436" i="3"/>
  <c r="AV436" i="3"/>
  <c r="BP435" i="3"/>
  <c r="BO435" i="3"/>
  <c r="BN435" i="3"/>
  <c r="BM435" i="3"/>
  <c r="BL435" i="3"/>
  <c r="BC435" i="3"/>
  <c r="BD435" i="3"/>
  <c r="BE435" i="3"/>
  <c r="BF435" i="3"/>
  <c r="BG435" i="3"/>
  <c r="BH435" i="3"/>
  <c r="BI435" i="3"/>
  <c r="BJ435" i="3"/>
  <c r="BK435" i="3"/>
  <c r="BA435" i="3"/>
  <c r="AZ435" i="3"/>
  <c r="AX435" i="3"/>
  <c r="AW435" i="3"/>
  <c r="AV435" i="3"/>
  <c r="BP434" i="3"/>
  <c r="BO434" i="3"/>
  <c r="BN434" i="3"/>
  <c r="BM434" i="3"/>
  <c r="BL434" i="3"/>
  <c r="BC434" i="3"/>
  <c r="BD434" i="3"/>
  <c r="BE434" i="3"/>
  <c r="BF434" i="3"/>
  <c r="BG434" i="3"/>
  <c r="BH434" i="3"/>
  <c r="BI434" i="3"/>
  <c r="BJ434" i="3"/>
  <c r="BK434" i="3"/>
  <c r="BA434" i="3"/>
  <c r="AZ434" i="3"/>
  <c r="AX434" i="3"/>
  <c r="AW434" i="3"/>
  <c r="AV434" i="3"/>
  <c r="BP433" i="3"/>
  <c r="BO433" i="3"/>
  <c r="BN433" i="3"/>
  <c r="BM433" i="3"/>
  <c r="BL433" i="3"/>
  <c r="BK433" i="3"/>
  <c r="BJ433" i="3"/>
  <c r="BI433" i="3"/>
  <c r="BH433" i="3"/>
  <c r="BG433" i="3"/>
  <c r="BF433" i="3"/>
  <c r="BE433" i="3"/>
  <c r="BD433" i="3"/>
  <c r="BC433" i="3"/>
  <c r="BA433" i="3"/>
  <c r="AX433" i="3"/>
  <c r="AW433" i="3"/>
  <c r="AV433" i="3"/>
  <c r="BP432" i="3"/>
  <c r="BO432" i="3"/>
  <c r="BN432" i="3"/>
  <c r="BM432" i="3"/>
  <c r="BL432" i="3"/>
  <c r="BK432" i="3"/>
  <c r="BJ432" i="3"/>
  <c r="BI432" i="3"/>
  <c r="BH432" i="3"/>
  <c r="BG432" i="3"/>
  <c r="BF432" i="3"/>
  <c r="BE432" i="3"/>
  <c r="BD432" i="3"/>
  <c r="BC432" i="3"/>
  <c r="BA432" i="3"/>
  <c r="AZ432" i="3"/>
  <c r="AX432" i="3"/>
  <c r="AW432" i="3"/>
  <c r="AV432" i="3"/>
  <c r="BP431" i="3"/>
  <c r="BO431" i="3"/>
  <c r="BN431" i="3"/>
  <c r="BM431" i="3"/>
  <c r="BL431" i="3"/>
  <c r="BK431" i="3"/>
  <c r="BJ431" i="3"/>
  <c r="BI431" i="3"/>
  <c r="BH431" i="3"/>
  <c r="BG431" i="3"/>
  <c r="BF431" i="3"/>
  <c r="BE431" i="3"/>
  <c r="BD431" i="3"/>
  <c r="BC431" i="3"/>
  <c r="BA431" i="3"/>
  <c r="AZ431" i="3"/>
  <c r="AX431" i="3"/>
  <c r="AW431" i="3"/>
  <c r="AV431" i="3"/>
  <c r="BP430" i="3"/>
  <c r="BO430" i="3"/>
  <c r="BN430" i="3"/>
  <c r="BM430" i="3"/>
  <c r="BL430" i="3"/>
  <c r="BK430" i="3"/>
  <c r="BJ430" i="3"/>
  <c r="BI430" i="3"/>
  <c r="BH430" i="3"/>
  <c r="BG430" i="3"/>
  <c r="BF430" i="3"/>
  <c r="BE430" i="3"/>
  <c r="BD430" i="3"/>
  <c r="BC430" i="3"/>
  <c r="BA430" i="3"/>
  <c r="AZ430" i="3"/>
  <c r="AX430" i="3"/>
  <c r="AW430" i="3"/>
  <c r="AV430" i="3"/>
  <c r="BP429" i="3"/>
  <c r="BO429" i="3"/>
  <c r="BN429" i="3"/>
  <c r="BM429" i="3"/>
  <c r="BL429" i="3"/>
  <c r="BK429" i="3"/>
  <c r="BJ429" i="3"/>
  <c r="BI429" i="3"/>
  <c r="BH429" i="3"/>
  <c r="BG429" i="3"/>
  <c r="BF429" i="3"/>
  <c r="BE429" i="3"/>
  <c r="BD429" i="3"/>
  <c r="BC429" i="3"/>
  <c r="BA429" i="3"/>
  <c r="AZ429" i="3"/>
  <c r="AX429" i="3"/>
  <c r="AW429" i="3"/>
  <c r="AV429" i="3"/>
  <c r="BP428" i="3"/>
  <c r="BO428" i="3"/>
  <c r="BN428" i="3"/>
  <c r="BM428" i="3"/>
  <c r="BL428" i="3"/>
  <c r="BK428" i="3"/>
  <c r="BJ428" i="3"/>
  <c r="BI428" i="3"/>
  <c r="BH428" i="3"/>
  <c r="BG428" i="3"/>
  <c r="BF428" i="3"/>
  <c r="BE428" i="3"/>
  <c r="BD428" i="3"/>
  <c r="BC428" i="3"/>
  <c r="BA428" i="3"/>
  <c r="AX428" i="3"/>
  <c r="AW428" i="3"/>
  <c r="AV428" i="3"/>
  <c r="BP427" i="3"/>
  <c r="BO427" i="3"/>
  <c r="BN427" i="3"/>
  <c r="BM427" i="3"/>
  <c r="BL427" i="3"/>
  <c r="BK427" i="3"/>
  <c r="BJ427" i="3"/>
  <c r="BI427" i="3"/>
  <c r="BH427" i="3"/>
  <c r="BG427" i="3"/>
  <c r="BF427" i="3"/>
  <c r="BE427" i="3"/>
  <c r="BD427" i="3"/>
  <c r="BC427" i="3"/>
  <c r="BA427" i="3"/>
  <c r="AZ427" i="3"/>
  <c r="AX427" i="3"/>
  <c r="AW427" i="3"/>
  <c r="AV427" i="3"/>
  <c r="BP426" i="3"/>
  <c r="BO426" i="3"/>
  <c r="BN426" i="3"/>
  <c r="BM426" i="3"/>
  <c r="BL426" i="3"/>
  <c r="BK426" i="3"/>
  <c r="BJ426" i="3"/>
  <c r="BI426" i="3"/>
  <c r="BH426" i="3"/>
  <c r="BG426" i="3"/>
  <c r="BF426" i="3"/>
  <c r="BE426" i="3"/>
  <c r="BD426" i="3"/>
  <c r="BC426" i="3"/>
  <c r="BA426" i="3"/>
  <c r="AZ426" i="3"/>
  <c r="AX426" i="3"/>
  <c r="AW426" i="3"/>
  <c r="AV426" i="3"/>
  <c r="BP425" i="3"/>
  <c r="BO425" i="3"/>
  <c r="BN425" i="3"/>
  <c r="BM425" i="3"/>
  <c r="BL425" i="3"/>
  <c r="BK425" i="3"/>
  <c r="BJ425" i="3"/>
  <c r="BI425" i="3"/>
  <c r="BH425" i="3"/>
  <c r="BG425" i="3"/>
  <c r="BF425" i="3"/>
  <c r="BE425" i="3"/>
  <c r="BD425" i="3"/>
  <c r="BC425" i="3"/>
  <c r="BA425" i="3"/>
  <c r="AZ425" i="3"/>
  <c r="AX425" i="3"/>
  <c r="AW425" i="3"/>
  <c r="AV425" i="3"/>
  <c r="BP424" i="3"/>
  <c r="BO424" i="3"/>
  <c r="BN424" i="3"/>
  <c r="BM424" i="3"/>
  <c r="BL424" i="3"/>
  <c r="BK424" i="3"/>
  <c r="BJ424" i="3"/>
  <c r="BI424" i="3"/>
  <c r="BH424" i="3"/>
  <c r="BG424" i="3"/>
  <c r="BF424" i="3"/>
  <c r="BE424" i="3"/>
  <c r="BD424" i="3"/>
  <c r="BC424" i="3"/>
  <c r="BA424" i="3"/>
  <c r="AZ424" i="3"/>
  <c r="AX424" i="3"/>
  <c r="AW424" i="3"/>
  <c r="AV424" i="3"/>
  <c r="BP423" i="3"/>
  <c r="BO423" i="3"/>
  <c r="BN423" i="3"/>
  <c r="BM423" i="3"/>
  <c r="BL423" i="3"/>
  <c r="BK423" i="3"/>
  <c r="BJ423" i="3"/>
  <c r="BI423" i="3"/>
  <c r="BH423" i="3"/>
  <c r="BG423" i="3"/>
  <c r="BF423" i="3"/>
  <c r="BE423" i="3"/>
  <c r="BD423" i="3"/>
  <c r="BC423" i="3"/>
  <c r="BA423" i="3"/>
  <c r="AZ423" i="3"/>
  <c r="AX423" i="3"/>
  <c r="AW423" i="3"/>
  <c r="AV423" i="3"/>
  <c r="BP422" i="3"/>
  <c r="BO422" i="3"/>
  <c r="BN422" i="3"/>
  <c r="BM422" i="3"/>
  <c r="BL422" i="3"/>
  <c r="BC422" i="3"/>
  <c r="BD422" i="3"/>
  <c r="BE422" i="3"/>
  <c r="BF422" i="3"/>
  <c r="BG422" i="3"/>
  <c r="BH422" i="3"/>
  <c r="BI422" i="3"/>
  <c r="BJ422" i="3"/>
  <c r="BK422" i="3"/>
  <c r="BA422" i="3"/>
  <c r="AZ422" i="3"/>
  <c r="AX422" i="3"/>
  <c r="AW422" i="3"/>
  <c r="AV422" i="3"/>
  <c r="BP421" i="3"/>
  <c r="BO421" i="3"/>
  <c r="BN421" i="3"/>
  <c r="BM421" i="3"/>
  <c r="BL421" i="3"/>
  <c r="BK421" i="3"/>
  <c r="BJ421" i="3"/>
  <c r="BI421" i="3"/>
  <c r="BH421" i="3"/>
  <c r="BG421" i="3"/>
  <c r="BF421" i="3"/>
  <c r="BE421" i="3"/>
  <c r="BD421" i="3"/>
  <c r="BC421" i="3"/>
  <c r="BA421" i="3"/>
  <c r="AZ421" i="3"/>
  <c r="AX421" i="3"/>
  <c r="AW421" i="3"/>
  <c r="AV421" i="3"/>
  <c r="BP420" i="3"/>
  <c r="BO420" i="3"/>
  <c r="BN420" i="3"/>
  <c r="BM420" i="3"/>
  <c r="BL420" i="3"/>
  <c r="BK420" i="3"/>
  <c r="BJ420" i="3"/>
  <c r="BI420" i="3"/>
  <c r="BH420" i="3"/>
  <c r="BG420" i="3"/>
  <c r="BF420" i="3"/>
  <c r="BE420" i="3"/>
  <c r="BD420" i="3"/>
  <c r="BC420" i="3"/>
  <c r="BA420" i="3"/>
  <c r="AZ420" i="3"/>
  <c r="AX420" i="3"/>
  <c r="AW420" i="3"/>
  <c r="AV420" i="3"/>
  <c r="BP419" i="3"/>
  <c r="BO419" i="3"/>
  <c r="BN419" i="3"/>
  <c r="BM419" i="3"/>
  <c r="BL419" i="3"/>
  <c r="BC419" i="3"/>
  <c r="BD419" i="3"/>
  <c r="BE419" i="3"/>
  <c r="BF419" i="3"/>
  <c r="BG419" i="3"/>
  <c r="BH419" i="3"/>
  <c r="BI419" i="3"/>
  <c r="BJ419" i="3"/>
  <c r="BK419" i="3"/>
  <c r="BA419" i="3"/>
  <c r="AZ419" i="3"/>
  <c r="AX419" i="3"/>
  <c r="AW419" i="3"/>
  <c r="AV419" i="3"/>
  <c r="BP418" i="3"/>
  <c r="BO418" i="3"/>
  <c r="BN418" i="3"/>
  <c r="BM418" i="3"/>
  <c r="BL418" i="3"/>
  <c r="BC418" i="3"/>
  <c r="BD418" i="3"/>
  <c r="BE418" i="3"/>
  <c r="BF418" i="3"/>
  <c r="BG418" i="3"/>
  <c r="BH418" i="3"/>
  <c r="BI418" i="3"/>
  <c r="BJ418" i="3"/>
  <c r="BK418" i="3"/>
  <c r="BA418" i="3"/>
  <c r="AZ418" i="3"/>
  <c r="AX418" i="3"/>
  <c r="AW418" i="3"/>
  <c r="AV418" i="3"/>
  <c r="BP417" i="3"/>
  <c r="BO417" i="3"/>
  <c r="BN417" i="3"/>
  <c r="BM417" i="3"/>
  <c r="BL417" i="3"/>
  <c r="BK417" i="3"/>
  <c r="BJ417" i="3"/>
  <c r="BI417" i="3"/>
  <c r="BH417" i="3"/>
  <c r="BG417" i="3"/>
  <c r="BF417" i="3"/>
  <c r="BE417" i="3"/>
  <c r="BD417" i="3"/>
  <c r="BC417" i="3"/>
  <c r="BA417" i="3"/>
  <c r="AX417" i="3"/>
  <c r="AW417" i="3"/>
  <c r="AV417" i="3"/>
  <c r="BP416" i="3"/>
  <c r="BO416" i="3"/>
  <c r="BN416" i="3"/>
  <c r="BM416" i="3"/>
  <c r="BL416" i="3"/>
  <c r="BK416" i="3"/>
  <c r="BJ416" i="3"/>
  <c r="BI416" i="3"/>
  <c r="BH416" i="3"/>
  <c r="BG416" i="3"/>
  <c r="BF416" i="3"/>
  <c r="BE416" i="3"/>
  <c r="BD416" i="3"/>
  <c r="BC416" i="3"/>
  <c r="BA416" i="3"/>
  <c r="AZ416" i="3"/>
  <c r="AX416" i="3"/>
  <c r="AW416" i="3"/>
  <c r="AV416" i="3"/>
  <c r="BP415" i="3"/>
  <c r="BO415" i="3"/>
  <c r="BN415" i="3"/>
  <c r="BM415" i="3"/>
  <c r="BL415" i="3"/>
  <c r="BK415" i="3"/>
  <c r="BJ415" i="3"/>
  <c r="BI415" i="3"/>
  <c r="BH415" i="3"/>
  <c r="BG415" i="3"/>
  <c r="BF415" i="3"/>
  <c r="BE415" i="3"/>
  <c r="BD415" i="3"/>
  <c r="BC415" i="3"/>
  <c r="BA415" i="3"/>
  <c r="AZ415" i="3"/>
  <c r="AX415" i="3"/>
  <c r="AW415" i="3"/>
  <c r="AV415" i="3"/>
  <c r="BP414" i="3"/>
  <c r="BO414" i="3"/>
  <c r="BN414" i="3"/>
  <c r="BM414" i="3"/>
  <c r="BL414" i="3"/>
  <c r="BK414" i="3"/>
  <c r="BJ414" i="3"/>
  <c r="BI414" i="3"/>
  <c r="BH414" i="3"/>
  <c r="BG414" i="3"/>
  <c r="BF414" i="3"/>
  <c r="BE414" i="3"/>
  <c r="BD414" i="3"/>
  <c r="BC414" i="3"/>
  <c r="BA414" i="3"/>
  <c r="AZ414" i="3"/>
  <c r="AX414" i="3"/>
  <c r="AW414" i="3"/>
  <c r="AV414" i="3"/>
  <c r="BP413" i="3"/>
  <c r="BO413" i="3"/>
  <c r="BN413" i="3"/>
  <c r="BM413" i="3"/>
  <c r="BL413" i="3"/>
  <c r="BK413" i="3"/>
  <c r="BJ413" i="3"/>
  <c r="BI413" i="3"/>
  <c r="BH413" i="3"/>
  <c r="BG413" i="3"/>
  <c r="BF413" i="3"/>
  <c r="BE413" i="3"/>
  <c r="BD413" i="3"/>
  <c r="BC413" i="3"/>
  <c r="BA413" i="3"/>
  <c r="AZ413" i="3"/>
  <c r="AX413" i="3"/>
  <c r="AW413" i="3"/>
  <c r="AV413" i="3"/>
  <c r="BP412" i="3"/>
  <c r="BO412" i="3"/>
  <c r="BN412" i="3"/>
  <c r="BM412" i="3"/>
  <c r="BL412" i="3"/>
  <c r="BK412" i="3"/>
  <c r="BJ412" i="3"/>
  <c r="BI412" i="3"/>
  <c r="BH412" i="3"/>
  <c r="BG412" i="3"/>
  <c r="BF412" i="3"/>
  <c r="BE412" i="3"/>
  <c r="BD412" i="3"/>
  <c r="BC412" i="3"/>
  <c r="BA412" i="3"/>
  <c r="AX412" i="3"/>
  <c r="AW412" i="3"/>
  <c r="AV412" i="3"/>
  <c r="BP411" i="3"/>
  <c r="BO411" i="3"/>
  <c r="BN411" i="3"/>
  <c r="BM411" i="3"/>
  <c r="BL411" i="3"/>
  <c r="BK411" i="3"/>
  <c r="BJ411" i="3"/>
  <c r="BI411" i="3"/>
  <c r="BH411" i="3"/>
  <c r="BG411" i="3"/>
  <c r="BF411" i="3"/>
  <c r="BE411" i="3"/>
  <c r="BD411" i="3"/>
  <c r="BC411" i="3"/>
  <c r="BA411" i="3"/>
  <c r="AZ411" i="3"/>
  <c r="AX411" i="3"/>
  <c r="AW411" i="3"/>
  <c r="AV411" i="3"/>
  <c r="BP410" i="3"/>
  <c r="BO410" i="3"/>
  <c r="BN410" i="3"/>
  <c r="BM410" i="3"/>
  <c r="BL410" i="3"/>
  <c r="BK410" i="3"/>
  <c r="BJ410" i="3"/>
  <c r="BI410" i="3"/>
  <c r="BH410" i="3"/>
  <c r="BG410" i="3"/>
  <c r="BF410" i="3"/>
  <c r="BE410" i="3"/>
  <c r="BD410" i="3"/>
  <c r="BC410" i="3"/>
  <c r="BA410" i="3"/>
  <c r="AZ410" i="3"/>
  <c r="AX410" i="3"/>
  <c r="AW410" i="3"/>
  <c r="AV410" i="3"/>
  <c r="BP409" i="3"/>
  <c r="BO409" i="3"/>
  <c r="BN409" i="3"/>
  <c r="BM409" i="3"/>
  <c r="BL409" i="3"/>
  <c r="BK409" i="3"/>
  <c r="BJ409" i="3"/>
  <c r="BI409" i="3"/>
  <c r="BH409" i="3"/>
  <c r="BG409" i="3"/>
  <c r="BF409" i="3"/>
  <c r="BE409" i="3"/>
  <c r="BD409" i="3"/>
  <c r="BC409" i="3"/>
  <c r="BA409" i="3"/>
  <c r="AZ409" i="3"/>
  <c r="AX409" i="3"/>
  <c r="AW409" i="3"/>
  <c r="AV409" i="3"/>
  <c r="BP408" i="3"/>
  <c r="BO408" i="3"/>
  <c r="BN408" i="3"/>
  <c r="BM408" i="3"/>
  <c r="BL408" i="3"/>
  <c r="BK408" i="3"/>
  <c r="BJ408" i="3"/>
  <c r="BI408" i="3"/>
  <c r="BH408" i="3"/>
  <c r="BG408" i="3"/>
  <c r="BF408" i="3"/>
  <c r="BE408" i="3"/>
  <c r="BD408" i="3"/>
  <c r="BC408" i="3"/>
  <c r="BA408" i="3"/>
  <c r="AX408" i="3"/>
  <c r="AW408" i="3"/>
  <c r="AV408" i="3"/>
  <c r="BP407" i="3"/>
  <c r="BO407" i="3"/>
  <c r="BN407" i="3"/>
  <c r="BM407" i="3"/>
  <c r="BL407" i="3"/>
  <c r="BK407" i="3"/>
  <c r="BJ407" i="3"/>
  <c r="BI407" i="3"/>
  <c r="BH407" i="3"/>
  <c r="BG407" i="3"/>
  <c r="BF407" i="3"/>
  <c r="BE407" i="3"/>
  <c r="BD407" i="3"/>
  <c r="BC407" i="3"/>
  <c r="BA407" i="3"/>
  <c r="AZ407" i="3"/>
  <c r="AX407" i="3"/>
  <c r="AW407" i="3"/>
  <c r="AV407" i="3"/>
  <c r="BP406" i="3"/>
  <c r="BO406" i="3"/>
  <c r="BN406" i="3"/>
  <c r="BM406" i="3"/>
  <c r="BL406" i="3"/>
  <c r="BC406" i="3"/>
  <c r="BD406" i="3"/>
  <c r="BE406" i="3"/>
  <c r="BF406" i="3"/>
  <c r="BG406" i="3"/>
  <c r="BH406" i="3"/>
  <c r="BI406" i="3"/>
  <c r="BJ406" i="3"/>
  <c r="BK406" i="3"/>
  <c r="BA406" i="3"/>
  <c r="AZ406" i="3"/>
  <c r="AX406" i="3"/>
  <c r="AW406" i="3"/>
  <c r="AV406" i="3"/>
  <c r="BP405" i="3"/>
  <c r="BO405" i="3"/>
  <c r="BN405" i="3"/>
  <c r="BM405" i="3"/>
  <c r="BL405" i="3"/>
  <c r="BK405" i="3"/>
  <c r="BJ405" i="3"/>
  <c r="BI405" i="3"/>
  <c r="BH405" i="3"/>
  <c r="BG405" i="3"/>
  <c r="BF405" i="3"/>
  <c r="BE405" i="3"/>
  <c r="BD405" i="3"/>
  <c r="BC405" i="3"/>
  <c r="BA405" i="3"/>
  <c r="AZ405" i="3"/>
  <c r="AX405" i="3"/>
  <c r="AW405" i="3"/>
  <c r="AV405" i="3"/>
  <c r="BP404" i="3"/>
  <c r="BO404" i="3"/>
  <c r="BN404" i="3"/>
  <c r="BM404" i="3"/>
  <c r="BL404" i="3"/>
  <c r="BK404" i="3"/>
  <c r="BJ404" i="3"/>
  <c r="BI404" i="3"/>
  <c r="BH404" i="3"/>
  <c r="BG404" i="3"/>
  <c r="BF404" i="3"/>
  <c r="BE404" i="3"/>
  <c r="BD404" i="3"/>
  <c r="BC404" i="3"/>
  <c r="BA404" i="3"/>
  <c r="AZ404" i="3"/>
  <c r="AX404" i="3"/>
  <c r="AW404" i="3"/>
  <c r="AV404" i="3"/>
  <c r="BP403" i="3"/>
  <c r="BO403" i="3"/>
  <c r="BN403" i="3"/>
  <c r="BM403" i="3"/>
  <c r="BL403" i="3"/>
  <c r="BC403" i="3"/>
  <c r="BD403" i="3"/>
  <c r="BE403" i="3"/>
  <c r="BF403" i="3"/>
  <c r="BG403" i="3"/>
  <c r="BH403" i="3"/>
  <c r="BI403" i="3"/>
  <c r="BJ403" i="3"/>
  <c r="BK403" i="3"/>
  <c r="BA403" i="3"/>
  <c r="AZ403" i="3"/>
  <c r="AX403" i="3"/>
  <c r="AW403" i="3"/>
  <c r="AV403" i="3"/>
  <c r="BP402" i="3"/>
  <c r="BO402" i="3"/>
  <c r="BN402" i="3"/>
  <c r="BM402" i="3"/>
  <c r="BL402" i="3"/>
  <c r="BC402" i="3"/>
  <c r="BD402" i="3"/>
  <c r="BE402" i="3"/>
  <c r="BF402" i="3"/>
  <c r="BG402" i="3"/>
  <c r="BH402" i="3"/>
  <c r="BI402" i="3"/>
  <c r="BJ402" i="3"/>
  <c r="BK402" i="3"/>
  <c r="BA402" i="3"/>
  <c r="AZ402" i="3"/>
  <c r="AX402" i="3"/>
  <c r="AW402" i="3"/>
  <c r="AV402" i="3"/>
  <c r="BP401" i="3"/>
  <c r="BO401" i="3"/>
  <c r="BN401" i="3"/>
  <c r="BM401" i="3"/>
  <c r="BL401" i="3"/>
  <c r="BK401" i="3"/>
  <c r="BJ401" i="3"/>
  <c r="BI401" i="3"/>
  <c r="BH401" i="3"/>
  <c r="BG401" i="3"/>
  <c r="BF401" i="3"/>
  <c r="BE401" i="3"/>
  <c r="BD401" i="3"/>
  <c r="BC401" i="3"/>
  <c r="BA401" i="3"/>
  <c r="AX401" i="3"/>
  <c r="AW401" i="3"/>
  <c r="AV401" i="3"/>
  <c r="BP400" i="3"/>
  <c r="BO400" i="3"/>
  <c r="BN400" i="3"/>
  <c r="BM400" i="3"/>
  <c r="BL400" i="3"/>
  <c r="BK400" i="3"/>
  <c r="BJ400" i="3"/>
  <c r="BI400" i="3"/>
  <c r="BH400" i="3"/>
  <c r="BG400" i="3"/>
  <c r="BF400" i="3"/>
  <c r="BE400" i="3"/>
  <c r="BD400" i="3"/>
  <c r="BC400" i="3"/>
  <c r="BA400" i="3"/>
  <c r="AZ400" i="3"/>
  <c r="AX400" i="3"/>
  <c r="AW400" i="3"/>
  <c r="AV400" i="3"/>
  <c r="BP399" i="3"/>
  <c r="BO399" i="3"/>
  <c r="BN399" i="3"/>
  <c r="BM399" i="3"/>
  <c r="BL399" i="3"/>
  <c r="BK399" i="3"/>
  <c r="BJ399" i="3"/>
  <c r="BI399" i="3"/>
  <c r="BH399" i="3"/>
  <c r="BG399" i="3"/>
  <c r="BF399" i="3"/>
  <c r="BE399" i="3"/>
  <c r="BD399" i="3"/>
  <c r="BC399" i="3"/>
  <c r="BA399" i="3"/>
  <c r="AZ399" i="3"/>
  <c r="AX399" i="3"/>
  <c r="AW399" i="3"/>
  <c r="AV399" i="3"/>
  <c r="BP398" i="3"/>
  <c r="BO398" i="3"/>
  <c r="BN398" i="3"/>
  <c r="BM398" i="3"/>
  <c r="BL398" i="3"/>
  <c r="BK398" i="3"/>
  <c r="BJ398" i="3"/>
  <c r="BI398" i="3"/>
  <c r="BH398" i="3"/>
  <c r="BG398" i="3"/>
  <c r="BF398" i="3"/>
  <c r="BE398" i="3"/>
  <c r="BD398" i="3"/>
  <c r="BC398" i="3"/>
  <c r="BA398" i="3"/>
  <c r="AZ398"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H64" i="39"/>
  <c r="I64" i="39"/>
  <c r="H60" i="39"/>
  <c r="I60" i="39"/>
  <c r="H59" i="39"/>
  <c r="I59" i="39"/>
  <c r="H58" i="39"/>
  <c r="I58" i="39"/>
  <c r="H57" i="39"/>
  <c r="I57" i="39"/>
  <c r="H61" i="39"/>
  <c r="I61" i="39"/>
  <c r="H63" i="39"/>
  <c r="I63" i="39"/>
  <c r="H62" i="39"/>
  <c r="I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3" i="1"/>
  <c r="D78" i="9"/>
  <c r="D24" i="15"/>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C17" i="9"/>
  <c r="D17" i="9"/>
  <c r="I55" i="9"/>
  <c r="F55" i="9"/>
  <c r="O53" i="9"/>
  <c r="D89" i="9"/>
  <c r="C89" i="9"/>
  <c r="C87" i="9"/>
  <c r="G12" i="1"/>
  <c r="J55" i="9"/>
  <c r="B31" i="1"/>
  <c r="E19" i="68"/>
  <c r="M20" i="15"/>
  <c r="T4" i="1"/>
  <c r="F15" i="15"/>
  <c r="F17" i="15"/>
  <c r="F18" i="15"/>
  <c r="F20" i="15"/>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C493" i="3"/>
  <c r="BD493" i="3"/>
  <c r="BE493" i="3"/>
  <c r="BF493" i="3"/>
  <c r="BG493" i="3"/>
  <c r="BH493" i="3"/>
  <c r="BI493" i="3"/>
  <c r="BJ493" i="3"/>
  <c r="BK493" i="3"/>
  <c r="BM493" i="3"/>
  <c r="BN493" i="3"/>
  <c r="BO493" i="3"/>
  <c r="BP493" i="3"/>
  <c r="BC494" i="3"/>
  <c r="BD494" i="3"/>
  <c r="BE494" i="3"/>
  <c r="BF494" i="3"/>
  <c r="BG494" i="3"/>
  <c r="BH494" i="3"/>
  <c r="BI494" i="3"/>
  <c r="BJ494" i="3"/>
  <c r="BK494" i="3"/>
  <c r="BM494" i="3"/>
  <c r="BN494" i="3"/>
  <c r="BO494" i="3"/>
  <c r="BP494" i="3"/>
  <c r="BC495" i="3"/>
  <c r="BD495" i="3"/>
  <c r="BE495" i="3"/>
  <c r="BF495" i="3"/>
  <c r="BG495" i="3"/>
  <c r="BH495" i="3"/>
  <c r="BI495" i="3"/>
  <c r="BJ495" i="3"/>
  <c r="BK495" i="3"/>
  <c r="BM495" i="3"/>
  <c r="BN495" i="3"/>
  <c r="BO495" i="3"/>
  <c r="BP495" i="3"/>
  <c r="BC496" i="3"/>
  <c r="BD496" i="3"/>
  <c r="BE496" i="3"/>
  <c r="BF496" i="3"/>
  <c r="BG496" i="3"/>
  <c r="BH496" i="3"/>
  <c r="BI496" i="3"/>
  <c r="BJ496" i="3"/>
  <c r="BK496" i="3"/>
  <c r="BM496" i="3"/>
  <c r="BN496" i="3"/>
  <c r="BO496" i="3"/>
  <c r="BP496" i="3"/>
  <c r="BC497" i="3"/>
  <c r="BD497" i="3"/>
  <c r="BE497" i="3"/>
  <c r="BF497" i="3"/>
  <c r="BG497" i="3"/>
  <c r="BH497" i="3"/>
  <c r="BI497" i="3"/>
  <c r="BJ497" i="3"/>
  <c r="BK497" i="3"/>
  <c r="BM497" i="3"/>
  <c r="BN497" i="3"/>
  <c r="BO497" i="3"/>
  <c r="BP497" i="3"/>
  <c r="BC498" i="3"/>
  <c r="BD498" i="3"/>
  <c r="BE498" i="3"/>
  <c r="BF498" i="3"/>
  <c r="BG498" i="3"/>
  <c r="BH498" i="3"/>
  <c r="BI498" i="3"/>
  <c r="BJ498" i="3"/>
  <c r="BK498" i="3"/>
  <c r="BM498" i="3"/>
  <c r="BN498" i="3"/>
  <c r="BO498" i="3"/>
  <c r="BP498" i="3"/>
  <c r="BC499" i="3"/>
  <c r="BD499" i="3"/>
  <c r="BE499" i="3"/>
  <c r="BF499" i="3"/>
  <c r="BG499" i="3"/>
  <c r="BH499" i="3"/>
  <c r="BI499" i="3"/>
  <c r="BJ499" i="3"/>
  <c r="BK499" i="3"/>
  <c r="BM499" i="3"/>
  <c r="BN499" i="3"/>
  <c r="BO499" i="3"/>
  <c r="BP499" i="3"/>
  <c r="BC500" i="3"/>
  <c r="BD500" i="3"/>
  <c r="BE500" i="3"/>
  <c r="BF500" i="3"/>
  <c r="BG500" i="3"/>
  <c r="BH500" i="3"/>
  <c r="BI500" i="3"/>
  <c r="BJ500" i="3"/>
  <c r="BK500" i="3"/>
  <c r="BM500" i="3"/>
  <c r="BN500" i="3"/>
  <c r="BO500" i="3"/>
  <c r="BP500" i="3"/>
  <c r="BC501" i="3"/>
  <c r="BD501" i="3"/>
  <c r="BE501" i="3"/>
  <c r="BF501" i="3"/>
  <c r="BG501" i="3"/>
  <c r="BH501" i="3"/>
  <c r="BI501" i="3"/>
  <c r="BJ501" i="3"/>
  <c r="BK501" i="3"/>
  <c r="BM501" i="3"/>
  <c r="BN501" i="3"/>
  <c r="BO501" i="3"/>
  <c r="BP501" i="3"/>
  <c r="BC502" i="3"/>
  <c r="BD502" i="3"/>
  <c r="BE502" i="3"/>
  <c r="BF502" i="3"/>
  <c r="BG502" i="3"/>
  <c r="BH502" i="3"/>
  <c r="BI502" i="3"/>
  <c r="BJ502" i="3"/>
  <c r="BK502" i="3"/>
  <c r="BM502" i="3"/>
  <c r="BN502" i="3"/>
  <c r="BO502" i="3"/>
  <c r="BP502" i="3"/>
  <c r="BC503" i="3"/>
  <c r="BD503" i="3"/>
  <c r="BE503" i="3"/>
  <c r="BF503" i="3"/>
  <c r="BG503" i="3"/>
  <c r="BH503" i="3"/>
  <c r="BI503" i="3"/>
  <c r="BJ503" i="3"/>
  <c r="BK503" i="3"/>
  <c r="BM503" i="3"/>
  <c r="BN503" i="3"/>
  <c r="BO503" i="3"/>
  <c r="BP503" i="3"/>
  <c r="BC504" i="3"/>
  <c r="BD504" i="3"/>
  <c r="BE504" i="3"/>
  <c r="BF504" i="3"/>
  <c r="BG504" i="3"/>
  <c r="BH504" i="3"/>
  <c r="BI504" i="3"/>
  <c r="BJ504" i="3"/>
  <c r="BK504" i="3"/>
  <c r="BM504" i="3"/>
  <c r="BN504" i="3"/>
  <c r="BO504" i="3"/>
  <c r="BP504" i="3"/>
  <c r="BC505" i="3"/>
  <c r="BD505" i="3"/>
  <c r="BE505" i="3"/>
  <c r="BF505" i="3"/>
  <c r="BG505" i="3"/>
  <c r="BH505" i="3"/>
  <c r="BI505" i="3"/>
  <c r="BJ505" i="3"/>
  <c r="BK505" i="3"/>
  <c r="BM505" i="3"/>
  <c r="BN505" i="3"/>
  <c r="BO505" i="3"/>
  <c r="BP505" i="3"/>
  <c r="BC506" i="3"/>
  <c r="BD506" i="3"/>
  <c r="BE506" i="3"/>
  <c r="BF506" i="3"/>
  <c r="BG506" i="3"/>
  <c r="BH506" i="3"/>
  <c r="BI506" i="3"/>
  <c r="BJ506" i="3"/>
  <c r="BK506" i="3"/>
  <c r="BM506" i="3"/>
  <c r="BN506" i="3"/>
  <c r="BO506" i="3"/>
  <c r="BP506" i="3"/>
  <c r="BC507" i="3"/>
  <c r="BD507" i="3"/>
  <c r="BE507" i="3"/>
  <c r="BF507" i="3"/>
  <c r="BG507" i="3"/>
  <c r="BH507" i="3"/>
  <c r="BI507" i="3"/>
  <c r="BJ507" i="3"/>
  <c r="BK507" i="3"/>
  <c r="BM507" i="3"/>
  <c r="BN507" i="3"/>
  <c r="BO507" i="3"/>
  <c r="BP507" i="3"/>
  <c r="BC508" i="3"/>
  <c r="BD508" i="3"/>
  <c r="BE508" i="3"/>
  <c r="BF508" i="3"/>
  <c r="BG508" i="3"/>
  <c r="BH508" i="3"/>
  <c r="BI508" i="3"/>
  <c r="BJ508" i="3"/>
  <c r="BK508" i="3"/>
  <c r="BM508" i="3"/>
  <c r="BN508" i="3"/>
  <c r="BO508" i="3"/>
  <c r="BP508" i="3"/>
  <c r="BC509" i="3"/>
  <c r="BD509" i="3"/>
  <c r="BE509" i="3"/>
  <c r="BF509" i="3"/>
  <c r="BG509" i="3"/>
  <c r="BH509" i="3"/>
  <c r="BI509" i="3"/>
  <c r="BJ509" i="3"/>
  <c r="BK509" i="3"/>
  <c r="BM509" i="3"/>
  <c r="BN509" i="3"/>
  <c r="BO509" i="3"/>
  <c r="BP509" i="3"/>
  <c r="BC510" i="3"/>
  <c r="BD510" i="3"/>
  <c r="BE510" i="3"/>
  <c r="BF510" i="3"/>
  <c r="BG510" i="3"/>
  <c r="BH510" i="3"/>
  <c r="BI510" i="3"/>
  <c r="BJ510" i="3"/>
  <c r="BK510" i="3"/>
  <c r="BM510" i="3"/>
  <c r="BN510" i="3"/>
  <c r="BO510" i="3"/>
  <c r="BP510" i="3"/>
  <c r="BC511" i="3"/>
  <c r="BD511" i="3"/>
  <c r="BE511" i="3"/>
  <c r="BF511" i="3"/>
  <c r="BG511" i="3"/>
  <c r="BH511" i="3"/>
  <c r="BI511" i="3"/>
  <c r="BJ511" i="3"/>
  <c r="BK511" i="3"/>
  <c r="BM511" i="3"/>
  <c r="BN511" i="3"/>
  <c r="BO511" i="3"/>
  <c r="BP511" i="3"/>
  <c r="BC512" i="3"/>
  <c r="BD512" i="3"/>
  <c r="BE512" i="3"/>
  <c r="BF512" i="3"/>
  <c r="BG512" i="3"/>
  <c r="BH512" i="3"/>
  <c r="BI512" i="3"/>
  <c r="BJ512" i="3"/>
  <c r="BK512" i="3"/>
  <c r="BM512" i="3"/>
  <c r="BN512" i="3"/>
  <c r="BO512" i="3"/>
  <c r="BP512" i="3"/>
  <c r="BC513" i="3"/>
  <c r="BD513" i="3"/>
  <c r="BE513" i="3"/>
  <c r="BF513" i="3"/>
  <c r="BG513" i="3"/>
  <c r="BH513" i="3"/>
  <c r="BI513" i="3"/>
  <c r="BJ513" i="3"/>
  <c r="BK513" i="3"/>
  <c r="BM513" i="3"/>
  <c r="BN513" i="3"/>
  <c r="BO513" i="3"/>
  <c r="BP513" i="3"/>
  <c r="BC514" i="3"/>
  <c r="BD514" i="3"/>
  <c r="BE514" i="3"/>
  <c r="BF514" i="3"/>
  <c r="BG514" i="3"/>
  <c r="BH514" i="3"/>
  <c r="BI514" i="3"/>
  <c r="BJ514" i="3"/>
  <c r="BK514" i="3"/>
  <c r="BM514" i="3"/>
  <c r="BN514" i="3"/>
  <c r="BO514" i="3"/>
  <c r="BP514" i="3"/>
  <c r="BC515" i="3"/>
  <c r="BD515" i="3"/>
  <c r="BE515" i="3"/>
  <c r="BF515" i="3"/>
  <c r="BG515" i="3"/>
  <c r="BH515" i="3"/>
  <c r="BI515" i="3"/>
  <c r="BJ515" i="3"/>
  <c r="BK515" i="3"/>
  <c r="BM515" i="3"/>
  <c r="BN515" i="3"/>
  <c r="BO515" i="3"/>
  <c r="BP515" i="3"/>
  <c r="BC516" i="3"/>
  <c r="BD516" i="3"/>
  <c r="BE516" i="3"/>
  <c r="BF516" i="3"/>
  <c r="BG516" i="3"/>
  <c r="BH516" i="3"/>
  <c r="BI516" i="3"/>
  <c r="BJ516" i="3"/>
  <c r="BK516" i="3"/>
  <c r="BM516" i="3"/>
  <c r="BN516" i="3"/>
  <c r="BO516" i="3"/>
  <c r="BP516" i="3"/>
  <c r="BC517" i="3"/>
  <c r="BD517" i="3"/>
  <c r="BE517" i="3"/>
  <c r="BF517" i="3"/>
  <c r="BG517" i="3"/>
  <c r="BH517" i="3"/>
  <c r="BI517" i="3"/>
  <c r="BJ517" i="3"/>
  <c r="BK517" i="3"/>
  <c r="BM517" i="3"/>
  <c r="BN517" i="3"/>
  <c r="BO517" i="3"/>
  <c r="BP517" i="3"/>
  <c r="BC518" i="3"/>
  <c r="BD518" i="3"/>
  <c r="BE518" i="3"/>
  <c r="BF518" i="3"/>
  <c r="BG518" i="3"/>
  <c r="BH518" i="3"/>
  <c r="BI518" i="3"/>
  <c r="BJ518" i="3"/>
  <c r="BK518" i="3"/>
  <c r="BM518" i="3"/>
  <c r="BN518" i="3"/>
  <c r="BO518" i="3"/>
  <c r="BP518" i="3"/>
  <c r="BC519" i="3"/>
  <c r="BD519" i="3"/>
  <c r="BE519" i="3"/>
  <c r="BF519" i="3"/>
  <c r="BG519" i="3"/>
  <c r="BH519" i="3"/>
  <c r="BI519" i="3"/>
  <c r="BJ519" i="3"/>
  <c r="BK519" i="3"/>
  <c r="BM519" i="3"/>
  <c r="BN519" i="3"/>
  <c r="BO519" i="3"/>
  <c r="BP519" i="3"/>
  <c r="BC520" i="3"/>
  <c r="BD520" i="3"/>
  <c r="BE520" i="3"/>
  <c r="BF520" i="3"/>
  <c r="BG520" i="3"/>
  <c r="BH520" i="3"/>
  <c r="BI520" i="3"/>
  <c r="BJ520" i="3"/>
  <c r="BK520" i="3"/>
  <c r="BM520" i="3"/>
  <c r="BN520" i="3"/>
  <c r="BO520" i="3"/>
  <c r="BP520" i="3"/>
  <c r="BC521" i="3"/>
  <c r="BD521" i="3"/>
  <c r="BE521" i="3"/>
  <c r="BF521" i="3"/>
  <c r="BG521" i="3"/>
  <c r="BH521" i="3"/>
  <c r="BI521" i="3"/>
  <c r="BJ521" i="3"/>
  <c r="BK521" i="3"/>
  <c r="BM521" i="3"/>
  <c r="BN521" i="3"/>
  <c r="BO521" i="3"/>
  <c r="BP521" i="3"/>
  <c r="BC522" i="3"/>
  <c r="BD522" i="3"/>
  <c r="BE522" i="3"/>
  <c r="BF522" i="3"/>
  <c r="BG522" i="3"/>
  <c r="BH522" i="3"/>
  <c r="BI522" i="3"/>
  <c r="BJ522" i="3"/>
  <c r="BK522" i="3"/>
  <c r="BM522" i="3"/>
  <c r="BN522" i="3"/>
  <c r="BO522" i="3"/>
  <c r="BP522" i="3"/>
  <c r="BC523" i="3"/>
  <c r="BD523" i="3"/>
  <c r="BE523" i="3"/>
  <c r="BF523" i="3"/>
  <c r="BG523" i="3"/>
  <c r="BH523" i="3"/>
  <c r="BI523" i="3"/>
  <c r="BJ523" i="3"/>
  <c r="BK523" i="3"/>
  <c r="BM523" i="3"/>
  <c r="BN523" i="3"/>
  <c r="BO523" i="3"/>
  <c r="BP523" i="3"/>
  <c r="BC524" i="3"/>
  <c r="BD524" i="3"/>
  <c r="BE524" i="3"/>
  <c r="BF524" i="3"/>
  <c r="BG524" i="3"/>
  <c r="BH524" i="3"/>
  <c r="BI524" i="3"/>
  <c r="BJ524" i="3"/>
  <c r="BK524" i="3"/>
  <c r="BM524" i="3"/>
  <c r="BN524" i="3"/>
  <c r="BO524" i="3"/>
  <c r="BP524" i="3"/>
  <c r="BC525" i="3"/>
  <c r="BD525" i="3"/>
  <c r="BE525" i="3"/>
  <c r="BF525" i="3"/>
  <c r="BG525" i="3"/>
  <c r="BH525" i="3"/>
  <c r="BI525" i="3"/>
  <c r="BJ525" i="3"/>
  <c r="BK525" i="3"/>
  <c r="BM525" i="3"/>
  <c r="BN525" i="3"/>
  <c r="BO525" i="3"/>
  <c r="BP525" i="3"/>
  <c r="BC526" i="3"/>
  <c r="BD526" i="3"/>
  <c r="BE526" i="3"/>
  <c r="BF526" i="3"/>
  <c r="BG526" i="3"/>
  <c r="BH526" i="3"/>
  <c r="BI526" i="3"/>
  <c r="BJ526" i="3"/>
  <c r="BK526" i="3"/>
  <c r="BM526" i="3"/>
  <c r="BN526" i="3"/>
  <c r="BO526" i="3"/>
  <c r="BP526" i="3"/>
  <c r="BC527" i="3"/>
  <c r="BD527" i="3"/>
  <c r="BE527" i="3"/>
  <c r="BF527" i="3"/>
  <c r="BG527" i="3"/>
  <c r="BH527" i="3"/>
  <c r="BI527" i="3"/>
  <c r="BJ527" i="3"/>
  <c r="BK527" i="3"/>
  <c r="BM527" i="3"/>
  <c r="BN527" i="3"/>
  <c r="BO527" i="3"/>
  <c r="BP527" i="3"/>
  <c r="BC528" i="3"/>
  <c r="BD528" i="3"/>
  <c r="BE528" i="3"/>
  <c r="BF528" i="3"/>
  <c r="BG528" i="3"/>
  <c r="BH528" i="3"/>
  <c r="BI528" i="3"/>
  <c r="BJ528" i="3"/>
  <c r="BK528" i="3"/>
  <c r="BM528" i="3"/>
  <c r="BN528" i="3"/>
  <c r="BO528" i="3"/>
  <c r="BP528" i="3"/>
  <c r="BC529" i="3"/>
  <c r="BD529" i="3"/>
  <c r="BE529" i="3"/>
  <c r="BF529" i="3"/>
  <c r="BG529" i="3"/>
  <c r="BH529" i="3"/>
  <c r="BI529" i="3"/>
  <c r="BJ529" i="3"/>
  <c r="BK529" i="3"/>
  <c r="BM529" i="3"/>
  <c r="BN529" i="3"/>
  <c r="BO529" i="3"/>
  <c r="BP529" i="3"/>
  <c r="BC530" i="3"/>
  <c r="BD530" i="3"/>
  <c r="BE530" i="3"/>
  <c r="BF530" i="3"/>
  <c r="BG530" i="3"/>
  <c r="BH530" i="3"/>
  <c r="BI530" i="3"/>
  <c r="BJ530" i="3"/>
  <c r="BK530" i="3"/>
  <c r="BM530" i="3"/>
  <c r="BN530" i="3"/>
  <c r="BO530" i="3"/>
  <c r="BP530" i="3"/>
  <c r="BC531" i="3"/>
  <c r="BD531" i="3"/>
  <c r="BE531" i="3"/>
  <c r="BF531" i="3"/>
  <c r="BG531" i="3"/>
  <c r="BH531" i="3"/>
  <c r="BI531" i="3"/>
  <c r="BJ531" i="3"/>
  <c r="BK531" i="3"/>
  <c r="BM531" i="3"/>
  <c r="BN531" i="3"/>
  <c r="BO531" i="3"/>
  <c r="BP531" i="3"/>
  <c r="BC532" i="3"/>
  <c r="BD532" i="3"/>
  <c r="BE532" i="3"/>
  <c r="BF532" i="3"/>
  <c r="BG532" i="3"/>
  <c r="BH532" i="3"/>
  <c r="BI532" i="3"/>
  <c r="BJ532" i="3"/>
  <c r="BK532" i="3"/>
  <c r="BM532" i="3"/>
  <c r="BN532" i="3"/>
  <c r="BO532" i="3"/>
  <c r="BP532" i="3"/>
  <c r="BC533" i="3"/>
  <c r="BD533" i="3"/>
  <c r="BE533" i="3"/>
  <c r="BF533" i="3"/>
  <c r="BG533" i="3"/>
  <c r="BH533" i="3"/>
  <c r="BI533" i="3"/>
  <c r="BJ533" i="3"/>
  <c r="BK533" i="3"/>
  <c r="BM533" i="3"/>
  <c r="BN533" i="3"/>
  <c r="BO533" i="3"/>
  <c r="BP533" i="3"/>
  <c r="BC534" i="3"/>
  <c r="BD534" i="3"/>
  <c r="BE534" i="3"/>
  <c r="BF534" i="3"/>
  <c r="BG534" i="3"/>
  <c r="BH534" i="3"/>
  <c r="BI534" i="3"/>
  <c r="BJ534" i="3"/>
  <c r="BK534" i="3"/>
  <c r="BM534" i="3"/>
  <c r="BN534" i="3"/>
  <c r="BO534" i="3"/>
  <c r="BP534" i="3"/>
  <c r="BC535" i="3"/>
  <c r="BD535" i="3"/>
  <c r="BE535" i="3"/>
  <c r="BF535" i="3"/>
  <c r="BG535" i="3"/>
  <c r="BH535" i="3"/>
  <c r="BI535" i="3"/>
  <c r="BJ535" i="3"/>
  <c r="BK535" i="3"/>
  <c r="BM535" i="3"/>
  <c r="BN535" i="3"/>
  <c r="BO535" i="3"/>
  <c r="BP535" i="3"/>
  <c r="BC536" i="3"/>
  <c r="BD536" i="3"/>
  <c r="BE536" i="3"/>
  <c r="BF536" i="3"/>
  <c r="BG536" i="3"/>
  <c r="BH536" i="3"/>
  <c r="BI536" i="3"/>
  <c r="BJ536" i="3"/>
  <c r="BK536" i="3"/>
  <c r="BM536" i="3"/>
  <c r="BN536" i="3"/>
  <c r="BO536" i="3"/>
  <c r="BP536" i="3"/>
  <c r="BC537" i="3"/>
  <c r="BD537" i="3"/>
  <c r="BE537" i="3"/>
  <c r="BF537" i="3"/>
  <c r="BG537" i="3"/>
  <c r="BH537" i="3"/>
  <c r="BI537" i="3"/>
  <c r="BJ537" i="3"/>
  <c r="BK537" i="3"/>
  <c r="BM537" i="3"/>
  <c r="BN537" i="3"/>
  <c r="BO537" i="3"/>
  <c r="BP537" i="3"/>
  <c r="BC538" i="3"/>
  <c r="BD538" i="3"/>
  <c r="BE538" i="3"/>
  <c r="BF538" i="3"/>
  <c r="BG538" i="3"/>
  <c r="BH538" i="3"/>
  <c r="BI538" i="3"/>
  <c r="BJ538" i="3"/>
  <c r="BK538" i="3"/>
  <c r="BM538" i="3"/>
  <c r="BN538" i="3"/>
  <c r="BO538" i="3"/>
  <c r="BP538" i="3"/>
  <c r="BC539" i="3"/>
  <c r="BD539" i="3"/>
  <c r="BE539" i="3"/>
  <c r="BF539" i="3"/>
  <c r="BG539" i="3"/>
  <c r="BH539" i="3"/>
  <c r="BI539" i="3"/>
  <c r="BJ539" i="3"/>
  <c r="BK539" i="3"/>
  <c r="BM539" i="3"/>
  <c r="BN539" i="3"/>
  <c r="BO539" i="3"/>
  <c r="BP539" i="3"/>
  <c r="BC540" i="3"/>
  <c r="BD540" i="3"/>
  <c r="BE540" i="3"/>
  <c r="BF540" i="3"/>
  <c r="BG540" i="3"/>
  <c r="BH540" i="3"/>
  <c r="BI540" i="3"/>
  <c r="BJ540" i="3"/>
  <c r="BK540" i="3"/>
  <c r="BM540" i="3"/>
  <c r="BN540" i="3"/>
  <c r="BO540" i="3"/>
  <c r="BP540" i="3"/>
  <c r="BC541" i="3"/>
  <c r="BD541" i="3"/>
  <c r="BE541" i="3"/>
  <c r="BF541" i="3"/>
  <c r="BG541" i="3"/>
  <c r="BH541" i="3"/>
  <c r="BI541" i="3"/>
  <c r="BJ541" i="3"/>
  <c r="BK541" i="3"/>
  <c r="BM541" i="3"/>
  <c r="BN541" i="3"/>
  <c r="BO541" i="3"/>
  <c r="BP541" i="3"/>
  <c r="BC542" i="3"/>
  <c r="BD542" i="3"/>
  <c r="BE542" i="3"/>
  <c r="BF542" i="3"/>
  <c r="BG542" i="3"/>
  <c r="BH542" i="3"/>
  <c r="BI542" i="3"/>
  <c r="BJ542" i="3"/>
  <c r="BK542" i="3"/>
  <c r="BM542" i="3"/>
  <c r="BN542" i="3"/>
  <c r="BO542" i="3"/>
  <c r="BP542" i="3"/>
  <c r="BC543" i="3"/>
  <c r="BD543" i="3"/>
  <c r="BE543" i="3"/>
  <c r="BF543" i="3"/>
  <c r="BG543" i="3"/>
  <c r="BH543" i="3"/>
  <c r="BI543" i="3"/>
  <c r="BJ543" i="3"/>
  <c r="BK543" i="3"/>
  <c r="BM543" i="3"/>
  <c r="BN543" i="3"/>
  <c r="BO543" i="3"/>
  <c r="BP543" i="3"/>
  <c r="BC544" i="3"/>
  <c r="BD544" i="3"/>
  <c r="BE544" i="3"/>
  <c r="BF544" i="3"/>
  <c r="BG544" i="3"/>
  <c r="BH544" i="3"/>
  <c r="BI544" i="3"/>
  <c r="BJ544" i="3"/>
  <c r="BK544" i="3"/>
  <c r="BM544" i="3"/>
  <c r="BN544" i="3"/>
  <c r="BO544" i="3"/>
  <c r="BP544" i="3"/>
  <c r="BC545" i="3"/>
  <c r="BD545" i="3"/>
  <c r="BE545" i="3"/>
  <c r="BF545" i="3"/>
  <c r="BG545" i="3"/>
  <c r="BH545" i="3"/>
  <c r="BI545" i="3"/>
  <c r="BJ545" i="3"/>
  <c r="BK545" i="3"/>
  <c r="BM545" i="3"/>
  <c r="BN545" i="3"/>
  <c r="BO545" i="3"/>
  <c r="BP545" i="3"/>
  <c r="BC546" i="3"/>
  <c r="BD546" i="3"/>
  <c r="BE546" i="3"/>
  <c r="BF546" i="3"/>
  <c r="BG546" i="3"/>
  <c r="BH546" i="3"/>
  <c r="BI546" i="3"/>
  <c r="BJ546" i="3"/>
  <c r="BK546" i="3"/>
  <c r="BM546" i="3"/>
  <c r="BN546" i="3"/>
  <c r="BO546" i="3"/>
  <c r="BP546" i="3"/>
  <c r="BC547" i="3"/>
  <c r="BD547" i="3"/>
  <c r="BE547" i="3"/>
  <c r="BF547" i="3"/>
  <c r="BG547" i="3"/>
  <c r="BH547" i="3"/>
  <c r="BI547" i="3"/>
  <c r="BJ547" i="3"/>
  <c r="BK547" i="3"/>
  <c r="BM547" i="3"/>
  <c r="BN547" i="3"/>
  <c r="BO547" i="3"/>
  <c r="BP547" i="3"/>
  <c r="BC548" i="3"/>
  <c r="BD548" i="3"/>
  <c r="BE548" i="3"/>
  <c r="BF548" i="3"/>
  <c r="BG548" i="3"/>
  <c r="BH548" i="3"/>
  <c r="BI548" i="3"/>
  <c r="BJ548" i="3"/>
  <c r="BK548" i="3"/>
  <c r="BM548" i="3"/>
  <c r="BN548" i="3"/>
  <c r="BO548" i="3"/>
  <c r="BP548" i="3"/>
  <c r="BL548" i="3"/>
  <c r="BA548" i="3"/>
  <c r="AZ548" i="3"/>
  <c r="BC549" i="3"/>
  <c r="BD549" i="3"/>
  <c r="BE549" i="3"/>
  <c r="BF549" i="3"/>
  <c r="BG549" i="3"/>
  <c r="BH549" i="3"/>
  <c r="BI549" i="3"/>
  <c r="BJ549" i="3"/>
  <c r="BK549" i="3"/>
  <c r="BM549" i="3"/>
  <c r="BN549" i="3"/>
  <c r="BO549" i="3"/>
  <c r="BP549" i="3"/>
  <c r="BC550" i="3"/>
  <c r="BD550" i="3"/>
  <c r="BE550" i="3"/>
  <c r="BF550" i="3"/>
  <c r="BG550" i="3"/>
  <c r="BH550" i="3"/>
  <c r="BI550" i="3"/>
  <c r="BJ550" i="3"/>
  <c r="BK550" i="3"/>
  <c r="BA550" i="3"/>
  <c r="BM550" i="3"/>
  <c r="BN550" i="3"/>
  <c r="BO550" i="3"/>
  <c r="BP550" i="3"/>
  <c r="BL550" i="3"/>
  <c r="BC551" i="3"/>
  <c r="BD551" i="3"/>
  <c r="BE551" i="3"/>
  <c r="BF551" i="3"/>
  <c r="BG551" i="3"/>
  <c r="BH551" i="3"/>
  <c r="BI551" i="3"/>
  <c r="BJ551" i="3"/>
  <c r="BK551" i="3"/>
  <c r="BA551" i="3"/>
  <c r="BM551" i="3"/>
  <c r="BN551" i="3"/>
  <c r="BO551" i="3"/>
  <c r="BP551" i="3"/>
  <c r="BC552" i="3"/>
  <c r="BD552" i="3"/>
  <c r="BE552" i="3"/>
  <c r="BF552" i="3"/>
  <c r="BG552" i="3"/>
  <c r="BH552" i="3"/>
  <c r="BI552" i="3"/>
  <c r="BJ552" i="3"/>
  <c r="BK552" i="3"/>
  <c r="BM552" i="3"/>
  <c r="BN552" i="3"/>
  <c r="BO552" i="3"/>
  <c r="BP552" i="3"/>
  <c r="BC553" i="3"/>
  <c r="BD553" i="3"/>
  <c r="BE553" i="3"/>
  <c r="BF553" i="3"/>
  <c r="BG553" i="3"/>
  <c r="BH553" i="3"/>
  <c r="BI553" i="3"/>
  <c r="BJ553" i="3"/>
  <c r="BK553" i="3"/>
  <c r="BM553" i="3"/>
  <c r="BN553" i="3"/>
  <c r="BO553" i="3"/>
  <c r="BP553" i="3"/>
  <c r="BC554" i="3"/>
  <c r="BD554" i="3"/>
  <c r="BE554" i="3"/>
  <c r="BF554" i="3"/>
  <c r="BG554" i="3"/>
  <c r="BH554" i="3"/>
  <c r="BI554" i="3"/>
  <c r="BJ554" i="3"/>
  <c r="BK554" i="3"/>
  <c r="BM554" i="3"/>
  <c r="BN554" i="3"/>
  <c r="BO554" i="3"/>
  <c r="BP554" i="3"/>
  <c r="BC555" i="3"/>
  <c r="BD555" i="3"/>
  <c r="BE555" i="3"/>
  <c r="BF555" i="3"/>
  <c r="BG555" i="3"/>
  <c r="BH555" i="3"/>
  <c r="BI555" i="3"/>
  <c r="BJ555" i="3"/>
  <c r="BK555" i="3"/>
  <c r="BM555" i="3"/>
  <c r="BN555" i="3"/>
  <c r="BO555" i="3"/>
  <c r="BP555" i="3"/>
  <c r="BC556" i="3"/>
  <c r="BD556" i="3"/>
  <c r="BE556" i="3"/>
  <c r="BF556" i="3"/>
  <c r="BG556" i="3"/>
  <c r="BH556" i="3"/>
  <c r="BI556" i="3"/>
  <c r="BJ556" i="3"/>
  <c r="BK556" i="3"/>
  <c r="BM556" i="3"/>
  <c r="BN556" i="3"/>
  <c r="BO556" i="3"/>
  <c r="BP556" i="3"/>
  <c r="BC557" i="3"/>
  <c r="BD557" i="3"/>
  <c r="BE557" i="3"/>
  <c r="BF557" i="3"/>
  <c r="BG557" i="3"/>
  <c r="BH557" i="3"/>
  <c r="BI557" i="3"/>
  <c r="BJ557" i="3"/>
  <c r="BK557" i="3"/>
  <c r="BM557" i="3"/>
  <c r="BN557" i="3"/>
  <c r="BO557" i="3"/>
  <c r="BP557" i="3"/>
  <c r="BC558" i="3"/>
  <c r="BD558" i="3"/>
  <c r="BE558" i="3"/>
  <c r="BF558" i="3"/>
  <c r="BG558" i="3"/>
  <c r="BH558" i="3"/>
  <c r="BI558" i="3"/>
  <c r="BJ558" i="3"/>
  <c r="BK558" i="3"/>
  <c r="BM558" i="3"/>
  <c r="BN558" i="3"/>
  <c r="BO558" i="3"/>
  <c r="BP558" i="3"/>
  <c r="BC559" i="3"/>
  <c r="BD559" i="3"/>
  <c r="BE559" i="3"/>
  <c r="BF559" i="3"/>
  <c r="BG559" i="3"/>
  <c r="BH559" i="3"/>
  <c r="BI559" i="3"/>
  <c r="BJ559" i="3"/>
  <c r="BK559" i="3"/>
  <c r="BM559" i="3"/>
  <c r="BN559" i="3"/>
  <c r="BO559" i="3"/>
  <c r="BP559" i="3"/>
  <c r="BC560" i="3"/>
  <c r="BD560" i="3"/>
  <c r="BE560" i="3"/>
  <c r="BF560" i="3"/>
  <c r="BG560" i="3"/>
  <c r="BH560" i="3"/>
  <c r="BI560" i="3"/>
  <c r="BJ560" i="3"/>
  <c r="BK560" i="3"/>
  <c r="BM560" i="3"/>
  <c r="BN560" i="3"/>
  <c r="BO560" i="3"/>
  <c r="BP560" i="3"/>
  <c r="BC561" i="3"/>
  <c r="BD561" i="3"/>
  <c r="BE561" i="3"/>
  <c r="BF561" i="3"/>
  <c r="BG561" i="3"/>
  <c r="BH561" i="3"/>
  <c r="BI561" i="3"/>
  <c r="BJ561" i="3"/>
  <c r="BK561" i="3"/>
  <c r="BM561" i="3"/>
  <c r="BN561" i="3"/>
  <c r="BO561" i="3"/>
  <c r="BP561" i="3"/>
  <c r="BC562" i="3"/>
  <c r="BD562" i="3"/>
  <c r="BE562" i="3"/>
  <c r="BF562" i="3"/>
  <c r="BG562" i="3"/>
  <c r="BH562" i="3"/>
  <c r="BI562" i="3"/>
  <c r="BJ562" i="3"/>
  <c r="BK562" i="3"/>
  <c r="BM562" i="3"/>
  <c r="BN562" i="3"/>
  <c r="BO562" i="3"/>
  <c r="BP562" i="3"/>
  <c r="BC563" i="3"/>
  <c r="BD563" i="3"/>
  <c r="BE563" i="3"/>
  <c r="BF563" i="3"/>
  <c r="BG563" i="3"/>
  <c r="BH563" i="3"/>
  <c r="BI563" i="3"/>
  <c r="BJ563" i="3"/>
  <c r="BK563" i="3"/>
  <c r="BM563" i="3"/>
  <c r="BN563" i="3"/>
  <c r="BO563" i="3"/>
  <c r="BP563" i="3"/>
  <c r="BC564" i="3"/>
  <c r="BD564" i="3"/>
  <c r="BE564" i="3"/>
  <c r="BF564" i="3"/>
  <c r="BG564" i="3"/>
  <c r="BH564" i="3"/>
  <c r="BI564" i="3"/>
  <c r="BJ564" i="3"/>
  <c r="BK564" i="3"/>
  <c r="BM564" i="3"/>
  <c r="BN564" i="3"/>
  <c r="BO564" i="3"/>
  <c r="BP564" i="3"/>
  <c r="BC565" i="3"/>
  <c r="BD565" i="3"/>
  <c r="BE565" i="3"/>
  <c r="BF565" i="3"/>
  <c r="BG565" i="3"/>
  <c r="BH565" i="3"/>
  <c r="BI565" i="3"/>
  <c r="BJ565" i="3"/>
  <c r="BK565" i="3"/>
  <c r="BM565" i="3"/>
  <c r="BN565" i="3"/>
  <c r="BO565" i="3"/>
  <c r="BP565" i="3"/>
  <c r="BC566" i="3"/>
  <c r="BD566" i="3"/>
  <c r="BE566" i="3"/>
  <c r="BF566" i="3"/>
  <c r="BG566" i="3"/>
  <c r="BH566" i="3"/>
  <c r="BI566" i="3"/>
  <c r="BJ566" i="3"/>
  <c r="BK566" i="3"/>
  <c r="BM566" i="3"/>
  <c r="BN566" i="3"/>
  <c r="BO566" i="3"/>
  <c r="BP566" i="3"/>
  <c r="BC567" i="3"/>
  <c r="BD567" i="3"/>
  <c r="BE567" i="3"/>
  <c r="BF567" i="3"/>
  <c r="BG567" i="3"/>
  <c r="BH567" i="3"/>
  <c r="BI567" i="3"/>
  <c r="BJ567" i="3"/>
  <c r="BK567" i="3"/>
  <c r="BM567" i="3"/>
  <c r="BN567" i="3"/>
  <c r="BO567" i="3"/>
  <c r="BP567" i="3"/>
  <c r="BC568" i="3"/>
  <c r="BD568" i="3"/>
  <c r="BE568" i="3"/>
  <c r="BF568" i="3"/>
  <c r="BG568" i="3"/>
  <c r="BH568" i="3"/>
  <c r="BI568" i="3"/>
  <c r="BJ568" i="3"/>
  <c r="BK568" i="3"/>
  <c r="BM568" i="3"/>
  <c r="BN568" i="3"/>
  <c r="BO568" i="3"/>
  <c r="BP568" i="3"/>
  <c r="BC569" i="3"/>
  <c r="BD569" i="3"/>
  <c r="BE569" i="3"/>
  <c r="BF569" i="3"/>
  <c r="BG569" i="3"/>
  <c r="BH569" i="3"/>
  <c r="BI569" i="3"/>
  <c r="BJ569" i="3"/>
  <c r="BK569" i="3"/>
  <c r="BM569" i="3"/>
  <c r="BN569" i="3"/>
  <c r="BO569" i="3"/>
  <c r="BP569" i="3"/>
  <c r="BC570" i="3"/>
  <c r="BD570" i="3"/>
  <c r="BE570" i="3"/>
  <c r="BF570" i="3"/>
  <c r="BG570" i="3"/>
  <c r="BH570" i="3"/>
  <c r="BI570" i="3"/>
  <c r="BJ570" i="3"/>
  <c r="BK570" i="3"/>
  <c r="BM570" i="3"/>
  <c r="BN570" i="3"/>
  <c r="BO570" i="3"/>
  <c r="BP570" i="3"/>
  <c r="BC571" i="3"/>
  <c r="BD571" i="3"/>
  <c r="BE571" i="3"/>
  <c r="BF571" i="3"/>
  <c r="BG571" i="3"/>
  <c r="BH571" i="3"/>
  <c r="BI571" i="3"/>
  <c r="BJ571" i="3"/>
  <c r="BK571" i="3"/>
  <c r="BM571" i="3"/>
  <c r="BN571" i="3"/>
  <c r="BO571" i="3"/>
  <c r="BP571" i="3"/>
  <c r="BC572" i="3"/>
  <c r="BD572" i="3"/>
  <c r="BE572" i="3"/>
  <c r="BF572" i="3"/>
  <c r="BG572" i="3"/>
  <c r="BH572" i="3"/>
  <c r="BI572" i="3"/>
  <c r="BJ572" i="3"/>
  <c r="BK572" i="3"/>
  <c r="BM572" i="3"/>
  <c r="BN572" i="3"/>
  <c r="BO572" i="3"/>
  <c r="BP572" i="3"/>
  <c r="BC573" i="3"/>
  <c r="BD573" i="3"/>
  <c r="BE573" i="3"/>
  <c r="BF573" i="3"/>
  <c r="BG573" i="3"/>
  <c r="BH573" i="3"/>
  <c r="BI573" i="3"/>
  <c r="BJ573" i="3"/>
  <c r="BK573" i="3"/>
  <c r="BM573" i="3"/>
  <c r="BN573" i="3"/>
  <c r="BO573" i="3"/>
  <c r="BP573" i="3"/>
  <c r="BC574" i="3"/>
  <c r="BD574" i="3"/>
  <c r="BE574" i="3"/>
  <c r="BF574" i="3"/>
  <c r="BG574" i="3"/>
  <c r="BH574" i="3"/>
  <c r="BI574" i="3"/>
  <c r="BJ574" i="3"/>
  <c r="BK574" i="3"/>
  <c r="BM574" i="3"/>
  <c r="BN574" i="3"/>
  <c r="BO574" i="3"/>
  <c r="BP574" i="3"/>
  <c r="BC575" i="3"/>
  <c r="BD575" i="3"/>
  <c r="BE575" i="3"/>
  <c r="BF575" i="3"/>
  <c r="BG575" i="3"/>
  <c r="BH575" i="3"/>
  <c r="BI575" i="3"/>
  <c r="BJ575" i="3"/>
  <c r="BK575" i="3"/>
  <c r="BM575" i="3"/>
  <c r="BN575" i="3"/>
  <c r="BO575" i="3"/>
  <c r="BP575" i="3"/>
  <c r="BC576" i="3"/>
  <c r="BD576" i="3"/>
  <c r="BE576" i="3"/>
  <c r="BF576" i="3"/>
  <c r="BG576" i="3"/>
  <c r="BH576" i="3"/>
  <c r="BI576" i="3"/>
  <c r="BJ576" i="3"/>
  <c r="BK576" i="3"/>
  <c r="BM576" i="3"/>
  <c r="BN576" i="3"/>
  <c r="BO576" i="3"/>
  <c r="BP576" i="3"/>
  <c r="BC577" i="3"/>
  <c r="BD577" i="3"/>
  <c r="BE577" i="3"/>
  <c r="BF577" i="3"/>
  <c r="BG577" i="3"/>
  <c r="BH577" i="3"/>
  <c r="BI577" i="3"/>
  <c r="BJ577" i="3"/>
  <c r="BK577" i="3"/>
  <c r="BM577" i="3"/>
  <c r="BN577" i="3"/>
  <c r="BO577" i="3"/>
  <c r="BP577" i="3"/>
  <c r="BC578" i="3"/>
  <c r="BD578" i="3"/>
  <c r="BE578" i="3"/>
  <c r="BF578" i="3"/>
  <c r="BG578" i="3"/>
  <c r="BH578" i="3"/>
  <c r="BI578" i="3"/>
  <c r="BJ578" i="3"/>
  <c r="BK578" i="3"/>
  <c r="BM578" i="3"/>
  <c r="BN578" i="3"/>
  <c r="BO578" i="3"/>
  <c r="BP578" i="3"/>
  <c r="BC579" i="3"/>
  <c r="BD579" i="3"/>
  <c r="BE579" i="3"/>
  <c r="BF579" i="3"/>
  <c r="BG579" i="3"/>
  <c r="BH579" i="3"/>
  <c r="BI579" i="3"/>
  <c r="BJ579" i="3"/>
  <c r="BK579" i="3"/>
  <c r="BM579" i="3"/>
  <c r="BN579" i="3"/>
  <c r="BO579" i="3"/>
  <c r="BP579" i="3"/>
  <c r="BC580" i="3"/>
  <c r="BD580" i="3"/>
  <c r="BE580" i="3"/>
  <c r="BF580" i="3"/>
  <c r="BG580" i="3"/>
  <c r="BH580" i="3"/>
  <c r="BI580" i="3"/>
  <c r="BJ580" i="3"/>
  <c r="BK580" i="3"/>
  <c r="BM580" i="3"/>
  <c r="BN580" i="3"/>
  <c r="BO580" i="3"/>
  <c r="BP580" i="3"/>
  <c r="BC581" i="3"/>
  <c r="BD581" i="3"/>
  <c r="BE581" i="3"/>
  <c r="BF581" i="3"/>
  <c r="BG581" i="3"/>
  <c r="BH581" i="3"/>
  <c r="BI581" i="3"/>
  <c r="BJ581" i="3"/>
  <c r="BK581" i="3"/>
  <c r="BM581" i="3"/>
  <c r="BN581" i="3"/>
  <c r="BO581" i="3"/>
  <c r="BP581" i="3"/>
  <c r="BC582" i="3"/>
  <c r="BD582" i="3"/>
  <c r="BE582" i="3"/>
  <c r="BF582" i="3"/>
  <c r="BG582" i="3"/>
  <c r="BH582" i="3"/>
  <c r="BI582" i="3"/>
  <c r="BJ582" i="3"/>
  <c r="BK582" i="3"/>
  <c r="BM582" i="3"/>
  <c r="BN582" i="3"/>
  <c r="BO582" i="3"/>
  <c r="BP582" i="3"/>
  <c r="BC583" i="3"/>
  <c r="BD583" i="3"/>
  <c r="BE583" i="3"/>
  <c r="BF583" i="3"/>
  <c r="BG583" i="3"/>
  <c r="BH583" i="3"/>
  <c r="BI583" i="3"/>
  <c r="BJ583" i="3"/>
  <c r="BK583" i="3"/>
  <c r="BM583" i="3"/>
  <c r="BN583" i="3"/>
  <c r="BO583" i="3"/>
  <c r="BP583" i="3"/>
  <c r="BC584" i="3"/>
  <c r="BD584" i="3"/>
  <c r="BE584" i="3"/>
  <c r="BF584" i="3"/>
  <c r="BG584" i="3"/>
  <c r="BH584" i="3"/>
  <c r="BI584" i="3"/>
  <c r="BJ584" i="3"/>
  <c r="BK584" i="3"/>
  <c r="BM584" i="3"/>
  <c r="BN584" i="3"/>
  <c r="BO584" i="3"/>
  <c r="BP584" i="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E120" i="39"/>
  <c r="F120" i="39"/>
  <c r="G120" i="39"/>
  <c r="H120" i="39"/>
  <c r="I120" i="39"/>
  <c r="J120" i="39"/>
  <c r="K120" i="39"/>
  <c r="L120" i="39"/>
  <c r="M120" i="39"/>
  <c r="D109" i="39"/>
  <c r="D107" i="39"/>
  <c r="E107" i="39"/>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B127" i="39"/>
  <c r="D126" i="39"/>
  <c r="E126" i="39"/>
  <c r="F126" i="39"/>
  <c r="G126" i="39"/>
  <c r="H126" i="39"/>
  <c r="I126" i="39"/>
  <c r="J126" i="39"/>
  <c r="K126" i="39"/>
  <c r="L126" i="39"/>
  <c r="M126" i="39"/>
  <c r="D122" i="39"/>
  <c r="E122" i="39"/>
  <c r="F122" i="39"/>
  <c r="G122" i="39"/>
  <c r="H122" i="39"/>
  <c r="I122" i="39"/>
  <c r="J122" i="39"/>
  <c r="K122" i="39"/>
  <c r="L122" i="39"/>
  <c r="M122" i="39"/>
  <c r="E97" i="39"/>
  <c r="F97" i="39"/>
  <c r="G97" i="39"/>
  <c r="D93" i="39"/>
  <c r="E93" i="39"/>
  <c r="F93" i="39"/>
  <c r="G93" i="39"/>
  <c r="M79" i="39"/>
  <c r="L79" i="39"/>
  <c r="K79" i="39"/>
  <c r="J79" i="39"/>
  <c r="I79" i="39"/>
  <c r="H79" i="39"/>
  <c r="G79" i="39"/>
  <c r="F79" i="39"/>
  <c r="E79" i="39"/>
  <c r="D79" i="39"/>
  <c r="C79" i="39"/>
  <c r="P48" i="39"/>
  <c r="P47" i="39"/>
  <c r="V46" i="39"/>
  <c r="T46" i="39"/>
  <c r="R46"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E66" i="21"/>
  <c r="F66" i="21"/>
  <c r="G66" i="21"/>
  <c r="H66" i="21"/>
  <c r="I66" i="21"/>
  <c r="D111" i="21"/>
  <c r="E111" i="21"/>
  <c r="F111" i="21"/>
  <c r="C111" i="21"/>
  <c r="F79"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K5" i="3"/>
  <c r="M5" i="3"/>
  <c r="O5" i="3"/>
  <c r="J5" i="3"/>
  <c r="BE10" i="3"/>
  <c r="BC585" i="3"/>
  <c r="BD585" i="3"/>
  <c r="BE585" i="3"/>
  <c r="BF585" i="3"/>
  <c r="BG585" i="3"/>
  <c r="BH585" i="3"/>
  <c r="BI585" i="3"/>
  <c r="BJ585" i="3"/>
  <c r="BK585" i="3"/>
  <c r="BM585" i="3"/>
  <c r="BN585" i="3"/>
  <c r="BO585" i="3"/>
  <c r="BP585" i="3"/>
  <c r="BL585" i="3"/>
  <c r="BA585" i="3"/>
  <c r="AZ585" i="3"/>
  <c r="BC586" i="3"/>
  <c r="BD586" i="3"/>
  <c r="BE586" i="3"/>
  <c r="BF586" i="3"/>
  <c r="BG586" i="3"/>
  <c r="BH586" i="3"/>
  <c r="BI586" i="3"/>
  <c r="BJ586" i="3"/>
  <c r="BK586" i="3"/>
  <c r="BM586" i="3"/>
  <c r="BN586" i="3"/>
  <c r="BO586" i="3"/>
  <c r="BP586" i="3"/>
  <c r="BL586" i="3"/>
  <c r="BC587" i="3"/>
  <c r="BD587" i="3"/>
  <c r="BE587" i="3"/>
  <c r="BF587" i="3"/>
  <c r="BG587" i="3"/>
  <c r="BH587" i="3"/>
  <c r="BI587" i="3"/>
  <c r="BJ587" i="3"/>
  <c r="BK587" i="3"/>
  <c r="BM587" i="3"/>
  <c r="BN587" i="3"/>
  <c r="BO587" i="3"/>
  <c r="BP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F77" i="21"/>
  <c r="S15" i="21"/>
  <c r="W41"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BA557"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A521" i="3"/>
  <c r="BL521" i="3"/>
  <c r="AZ521" i="3"/>
  <c r="BL520" i="3"/>
  <c r="AZ520" i="3"/>
  <c r="BL519" i="3"/>
  <c r="AZ519" i="3"/>
  <c r="BL517" i="3"/>
  <c r="AZ517" i="3"/>
  <c r="BL515" i="3"/>
  <c r="AZ515" i="3"/>
  <c r="BL513" i="3"/>
  <c r="AZ513" i="3"/>
  <c r="BL511" i="3"/>
  <c r="AZ511" i="3"/>
  <c r="BA509" i="3"/>
  <c r="BL509" i="3"/>
  <c r="BL508" i="3"/>
  <c r="AZ508"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W43" i="39"/>
  <c r="U45" i="39"/>
  <c r="U44" i="39"/>
  <c r="G101" i="39"/>
  <c r="W37"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AZ20" i="3"/>
  <c r="AZ24" i="3"/>
  <c r="AZ28" i="3"/>
  <c r="AZ32" i="3"/>
  <c r="AZ497" i="3"/>
  <c r="BL549" i="3"/>
  <c r="AZ494" i="3"/>
  <c r="AZ502" i="3"/>
  <c r="AZ514" i="3"/>
  <c r="AZ522" i="3"/>
  <c r="AZ530" i="3"/>
  <c r="AZ546" i="3"/>
  <c r="BL304" i="3"/>
  <c r="BL306" i="3"/>
  <c r="BA308" i="3"/>
  <c r="AZ308" i="3"/>
  <c r="BA309" i="3"/>
  <c r="BL309" i="3"/>
  <c r="BA311" i="3"/>
  <c r="BL320" i="3"/>
  <c r="BL322" i="3"/>
  <c r="BA324" i="3"/>
  <c r="AZ324" i="3"/>
  <c r="BA325" i="3"/>
  <c r="BL325" i="3"/>
  <c r="BA327" i="3"/>
  <c r="BL336" i="3"/>
  <c r="BL338" i="3"/>
  <c r="BA340" i="3"/>
  <c r="AZ340" i="3"/>
  <c r="BA341" i="3"/>
  <c r="BL341" i="3"/>
  <c r="BA343" i="3"/>
  <c r="BA345" i="3"/>
  <c r="BL355" i="3"/>
  <c r="BL357" i="3"/>
  <c r="BA359" i="3"/>
  <c r="AZ359" i="3"/>
  <c r="BA360" i="3"/>
  <c r="BL360" i="3"/>
  <c r="BA362" i="3"/>
  <c r="BL362" i="3"/>
  <c r="AZ362" i="3"/>
  <c r="BL371" i="3"/>
  <c r="BL373" i="3"/>
  <c r="BA375" i="3"/>
  <c r="AZ375" i="3"/>
  <c r="BA376" i="3"/>
  <c r="BL376" i="3"/>
  <c r="BA378" i="3"/>
  <c r="BL378" i="3"/>
  <c r="AZ378" i="3"/>
  <c r="BA380" i="3"/>
  <c r="BL389" i="3"/>
  <c r="BL391" i="3"/>
  <c r="BA393" i="3"/>
  <c r="AZ393" i="3"/>
  <c r="BA394" i="3"/>
  <c r="BL394" i="3"/>
  <c r="BA115" i="3"/>
  <c r="AZ115" i="3"/>
  <c r="BL116" i="3"/>
  <c r="AZ116" i="3"/>
  <c r="BA119" i="3"/>
  <c r="AZ119" i="3"/>
  <c r="BL120" i="3"/>
  <c r="BA123" i="3"/>
  <c r="AZ123" i="3"/>
  <c r="BL124" i="3"/>
  <c r="AZ124" i="3"/>
  <c r="BA127" i="3"/>
  <c r="AZ127" i="3"/>
  <c r="BL128" i="3"/>
  <c r="BA131" i="3"/>
  <c r="AZ131" i="3"/>
  <c r="BL132" i="3"/>
  <c r="AZ132" i="3"/>
  <c r="BA135" i="3"/>
  <c r="AZ135" i="3"/>
  <c r="BL136" i="3"/>
  <c r="BA139" i="3"/>
  <c r="AZ139" i="3"/>
  <c r="BL140" i="3"/>
  <c r="AZ140" i="3"/>
  <c r="BA143" i="3"/>
  <c r="AZ143" i="3"/>
  <c r="BL144" i="3"/>
  <c r="BA147" i="3"/>
  <c r="AZ147" i="3"/>
  <c r="BL148" i="3"/>
  <c r="AZ148" i="3"/>
  <c r="BA151" i="3"/>
  <c r="AZ151" i="3"/>
  <c r="BL152" i="3"/>
  <c r="BA155" i="3"/>
  <c r="AZ155" i="3"/>
  <c r="BL156" i="3"/>
  <c r="AZ156" i="3"/>
  <c r="BA159" i="3"/>
  <c r="AZ159" i="3"/>
  <c r="BL160" i="3"/>
  <c r="BA163" i="3"/>
  <c r="AZ163" i="3"/>
  <c r="BL164" i="3"/>
  <c r="AZ164" i="3"/>
  <c r="BA167" i="3"/>
  <c r="AZ167" i="3"/>
  <c r="BL168" i="3"/>
  <c r="BA171" i="3"/>
  <c r="AZ171" i="3"/>
  <c r="BL172" i="3"/>
  <c r="AZ172" i="3"/>
  <c r="BA175" i="3"/>
  <c r="AZ175" i="3"/>
  <c r="BL176" i="3"/>
  <c r="BA179" i="3"/>
  <c r="AZ179" i="3"/>
  <c r="BL180" i="3"/>
  <c r="AZ180" i="3"/>
  <c r="BA183" i="3"/>
  <c r="AZ183" i="3"/>
  <c r="BL184" i="3"/>
  <c r="BA187" i="3"/>
  <c r="AZ187" i="3"/>
  <c r="BL188" i="3"/>
  <c r="AZ188" i="3"/>
  <c r="BA191" i="3"/>
  <c r="AZ191" i="3"/>
  <c r="BL192" i="3"/>
  <c r="BA195" i="3"/>
  <c r="AZ195" i="3"/>
  <c r="BL196" i="3"/>
  <c r="AZ196" i="3"/>
  <c r="BA199" i="3"/>
  <c r="AZ199" i="3"/>
  <c r="BL200"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BA304" i="3"/>
  <c r="AZ304" i="3"/>
  <c r="BA305" i="3"/>
  <c r="BL305" i="3"/>
  <c r="AZ305" i="3"/>
  <c r="BL310" i="3"/>
  <c r="BA312" i="3"/>
  <c r="AZ312" i="3"/>
  <c r="BA313" i="3"/>
  <c r="BL313" i="3"/>
  <c r="AZ313" i="3"/>
  <c r="BL318" i="3"/>
  <c r="BA320" i="3"/>
  <c r="AZ320" i="3"/>
  <c r="BA321" i="3"/>
  <c r="BL321" i="3"/>
  <c r="AZ321" i="3"/>
  <c r="BL326" i="3"/>
  <c r="BA328" i="3"/>
  <c r="AZ328" i="3"/>
  <c r="BA329" i="3"/>
  <c r="BL329" i="3"/>
  <c r="AZ329" i="3"/>
  <c r="BL334" i="3"/>
  <c r="BA336" i="3"/>
  <c r="AZ336" i="3"/>
  <c r="BA337" i="3"/>
  <c r="BL337" i="3"/>
  <c r="AZ337" i="3"/>
  <c r="BA342" i="3"/>
  <c r="BL342" i="3"/>
  <c r="AZ342" i="3"/>
  <c r="BA344" i="3"/>
  <c r="BL344" i="3"/>
  <c r="AZ344" i="3"/>
  <c r="BA346" i="3"/>
  <c r="AZ346" i="3"/>
  <c r="BA347" i="3"/>
  <c r="BL347" i="3"/>
  <c r="AZ347" i="3"/>
  <c r="BA351" i="3"/>
  <c r="BL351" i="3"/>
  <c r="AZ351" i="3"/>
  <c r="BA355" i="3"/>
  <c r="AZ355" i="3"/>
  <c r="BA356" i="3"/>
  <c r="BL356" i="3"/>
  <c r="BL361" i="3"/>
  <c r="BA363" i="3"/>
  <c r="AZ363" i="3"/>
  <c r="BA364" i="3"/>
  <c r="BL364" i="3"/>
  <c r="BL369" i="3"/>
  <c r="BA371" i="3"/>
  <c r="AZ371" i="3"/>
  <c r="BA372" i="3"/>
  <c r="BL372" i="3"/>
  <c r="AZ372" i="3"/>
  <c r="BL377" i="3"/>
  <c r="BL379" i="3"/>
  <c r="BA381" i="3"/>
  <c r="AZ381" i="3"/>
  <c r="BA382" i="3"/>
  <c r="BL382" i="3"/>
  <c r="BL387" i="3"/>
  <c r="BA389" i="3"/>
  <c r="AZ389" i="3"/>
  <c r="BA390" i="3"/>
  <c r="BL390" i="3"/>
  <c r="AZ138" i="3"/>
  <c r="AZ142" i="3"/>
  <c r="AZ146" i="3"/>
  <c r="AZ150" i="3"/>
  <c r="AZ154" i="3"/>
  <c r="AZ158" i="3"/>
  <c r="AZ162" i="3"/>
  <c r="AZ166" i="3"/>
  <c r="AZ170" i="3"/>
  <c r="AZ174" i="3"/>
  <c r="AZ178" i="3"/>
  <c r="AZ182" i="3"/>
  <c r="AZ186" i="3"/>
  <c r="AZ190" i="3"/>
  <c r="AZ194" i="3"/>
  <c r="AZ198" i="3"/>
  <c r="AZ202" i="3"/>
  <c r="AZ206" i="3"/>
  <c r="AZ500" i="3"/>
  <c r="BL303" i="3"/>
  <c r="BA306" i="3"/>
  <c r="AZ306" i="3"/>
  <c r="BL307" i="3"/>
  <c r="AZ307" i="3"/>
  <c r="BA310" i="3"/>
  <c r="AZ310" i="3"/>
  <c r="BL311" i="3"/>
  <c r="AZ311" i="3"/>
  <c r="BA314" i="3"/>
  <c r="AZ314" i="3"/>
  <c r="BL315" i="3"/>
  <c r="AZ315" i="3"/>
  <c r="BA318" i="3"/>
  <c r="AZ318" i="3"/>
  <c r="BL319" i="3"/>
  <c r="BA322" i="3"/>
  <c r="AZ322" i="3"/>
  <c r="BL323" i="3"/>
  <c r="AZ323" i="3"/>
  <c r="BA326" i="3"/>
  <c r="AZ326" i="3"/>
  <c r="BL327" i="3"/>
  <c r="AZ327" i="3"/>
  <c r="BA330" i="3"/>
  <c r="AZ330" i="3"/>
  <c r="BL331" i="3"/>
  <c r="AZ331" i="3"/>
  <c r="BA334" i="3"/>
  <c r="AZ334" i="3"/>
  <c r="BL335" i="3"/>
  <c r="BA338" i="3"/>
  <c r="AZ338" i="3"/>
  <c r="BL339" i="3"/>
  <c r="AZ339" i="3"/>
  <c r="BL343" i="3"/>
  <c r="AZ209" i="3"/>
  <c r="AZ214" i="3"/>
  <c r="AZ218" i="3"/>
  <c r="AZ222" i="3"/>
  <c r="AZ303" i="3"/>
  <c r="AZ319" i="3"/>
  <c r="AZ335" i="3"/>
  <c r="BL345" i="3"/>
  <c r="AZ345" i="3"/>
  <c r="AZ348" i="3"/>
  <c r="BL349" i="3"/>
  <c r="AZ349" i="3"/>
  <c r="BL352" i="3"/>
  <c r="BA357" i="3"/>
  <c r="AZ357" i="3"/>
  <c r="BL358" i="3"/>
  <c r="AZ358" i="3"/>
  <c r="BA361" i="3"/>
  <c r="AZ361" i="3"/>
  <c r="BA365" i="3"/>
  <c r="AZ365" i="3"/>
  <c r="BL366" i="3"/>
  <c r="AZ366" i="3"/>
  <c r="BA369" i="3"/>
  <c r="AZ369" i="3"/>
  <c r="BL370" i="3"/>
  <c r="BA373" i="3"/>
  <c r="AZ373" i="3"/>
  <c r="BL374" i="3"/>
  <c r="AZ374" i="3"/>
  <c r="BA377" i="3"/>
  <c r="AZ377" i="3"/>
  <c r="AZ229" i="3"/>
  <c r="AZ233" i="3"/>
  <c r="AZ237" i="3"/>
  <c r="AZ241" i="3"/>
  <c r="AZ245" i="3"/>
  <c r="AZ249" i="3"/>
  <c r="AZ253" i="3"/>
  <c r="AZ257" i="3"/>
  <c r="AZ261" i="3"/>
  <c r="AZ265" i="3"/>
  <c r="AZ269" i="3"/>
  <c r="AZ273" i="3"/>
  <c r="AZ370" i="3"/>
  <c r="BA379" i="3"/>
  <c r="AZ379" i="3"/>
  <c r="BL380" i="3"/>
  <c r="BA383" i="3"/>
  <c r="AZ383" i="3"/>
  <c r="BL384" i="3"/>
  <c r="BA387" i="3"/>
  <c r="AZ387" i="3"/>
  <c r="BL388" i="3"/>
  <c r="BA391" i="3"/>
  <c r="AZ391" i="3"/>
  <c r="BL392" i="3"/>
  <c r="AZ263" i="3"/>
  <c r="AZ275" i="3"/>
  <c r="AZ279" i="3"/>
  <c r="AZ283" i="3"/>
  <c r="AZ287" i="3"/>
  <c r="AZ291" i="3"/>
  <c r="AZ295" i="3"/>
  <c r="AZ299" i="3"/>
  <c r="BO5" i="3"/>
  <c r="BM5" i="3"/>
  <c r="F29" i="6"/>
  <c r="BJ5" i="3"/>
  <c r="BH5" i="3"/>
  <c r="BF5" i="3"/>
  <c r="AZ309" i="3"/>
  <c r="AZ317" i="3"/>
  <c r="AZ325" i="3"/>
  <c r="AZ333" i="3"/>
  <c r="AZ341" i="3"/>
  <c r="AC5" i="3"/>
  <c r="AZ549" i="3"/>
  <c r="AZ506" i="3"/>
  <c r="AZ496" i="3"/>
  <c r="BP5" i="3"/>
  <c r="BN5" i="3"/>
  <c r="AZ343" i="3"/>
  <c r="BK5" i="3"/>
  <c r="BI5" i="3"/>
  <c r="BG5" i="3"/>
  <c r="AZ350" i="3"/>
  <c r="AZ352" i="3"/>
  <c r="AZ356" i="3"/>
  <c r="AZ360" i="3"/>
  <c r="AZ364" i="3"/>
  <c r="AZ368" i="3"/>
  <c r="AZ380" i="3"/>
  <c r="AZ384" i="3"/>
  <c r="AZ388" i="3"/>
  <c r="AZ392" i="3"/>
  <c r="AZ396" i="3"/>
  <c r="AZ394" i="3"/>
  <c r="AZ499" i="3"/>
  <c r="AZ509" i="3"/>
  <c r="BL493" i="3"/>
  <c r="AZ491" i="3"/>
  <c r="AZ376" i="3"/>
  <c r="AZ390" i="3"/>
  <c r="AZ382" i="3"/>
  <c r="AZ493" i="3"/>
  <c r="U36" i="40"/>
  <c r="F36" i="43"/>
  <c r="F81" i="43"/>
  <c r="H83" i="43"/>
  <c r="H113" i="43"/>
  <c r="F48" i="43"/>
  <c r="H52" i="43"/>
  <c r="F70" i="43"/>
  <c r="H73" i="43"/>
  <c r="M11" i="43"/>
  <c r="D17" i="43"/>
  <c r="F39" i="43"/>
  <c r="I17" i="43"/>
  <c r="F35" i="43"/>
  <c r="J17" i="43"/>
  <c r="S14" i="35"/>
  <c r="U43" i="21"/>
  <c r="U35" i="21"/>
  <c r="U10" i="2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H27" i="36"/>
  <c r="U27" i="36"/>
  <c r="F27" i="36"/>
  <c r="AA27" i="36"/>
  <c r="H33" i="34"/>
  <c r="U33" i="34"/>
  <c r="F32" i="37"/>
  <c r="AA32" i="37"/>
  <c r="G96" i="37"/>
  <c r="H96" i="37"/>
  <c r="I96" i="37"/>
  <c r="J96" i="37"/>
  <c r="K96" i="37"/>
  <c r="L96" i="37"/>
  <c r="M96" i="37"/>
  <c r="F20" i="36"/>
  <c r="AA20" i="36"/>
  <c r="J33" i="34"/>
  <c r="AC33" i="34"/>
  <c r="U23" i="39"/>
  <c r="D27" i="9"/>
  <c r="D30" i="9"/>
  <c r="B30" i="9"/>
  <c r="C24" i="9"/>
  <c r="H86" i="43"/>
  <c r="H82" i="43"/>
  <c r="H87" i="43"/>
  <c r="D93" i="9"/>
  <c r="G29" i="6"/>
  <c r="E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B10" i="1"/>
  <c r="E10" i="1"/>
  <c r="D1" i="66"/>
  <c r="E10" i="66"/>
  <c r="AZ80" i="3"/>
  <c r="AZ84" i="3"/>
  <c r="AZ88" i="3"/>
  <c r="AZ107" i="3"/>
  <c r="AZ111" i="3"/>
  <c r="S13" i="1"/>
  <c r="R13" i="1"/>
  <c r="S11"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31" i="39"/>
  <c r="W19" i="39"/>
  <c r="U19"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G77" i="21"/>
  <c r="S23" i="21"/>
  <c r="S8" i="21"/>
  <c r="M3" i="43"/>
  <c r="M1" i="43"/>
  <c r="N8" i="43"/>
  <c r="D120" i="9"/>
  <c r="C18" i="9"/>
  <c r="D18" i="9"/>
  <c r="F34" i="67"/>
  <c r="F62" i="67"/>
  <c r="M20" i="67"/>
  <c r="F34" i="15"/>
  <c r="F62" i="15"/>
  <c r="G30" i="6"/>
  <c r="G31" i="6"/>
  <c r="J56" i="9"/>
  <c r="J57" i="9"/>
  <c r="A24" i="51"/>
  <c r="B18" i="72"/>
  <c r="U29" i="34"/>
  <c r="E32" i="6"/>
  <c r="F30" i="6"/>
  <c r="T12" i="1"/>
  <c r="E19" i="69"/>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B9" i="1"/>
  <c r="E9" i="1"/>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S13" i="39"/>
  <c r="S14" i="39"/>
  <c r="U43" i="39"/>
  <c r="S2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F30" i="68"/>
  <c r="F30" i="11"/>
  <c r="C48" i="11"/>
  <c r="F28" i="67"/>
  <c r="F52" i="9"/>
  <c r="M18" i="67"/>
  <c r="F32" i="67"/>
  <c r="F60" i="67"/>
  <c r="F30" i="69"/>
  <c r="C48" i="69"/>
  <c r="F32" i="15"/>
  <c r="F60" i="15"/>
  <c r="M18" i="15"/>
  <c r="F28" i="15"/>
  <c r="C28" i="15"/>
  <c r="E30" i="6"/>
  <c r="K15" i="1"/>
  <c r="E53" i="3"/>
  <c r="E125" i="3"/>
  <c r="E175" i="3"/>
  <c r="E217" i="3"/>
  <c r="E319" i="3"/>
  <c r="E366" i="3"/>
  <c r="E530" i="3"/>
  <c r="E526" i="3"/>
  <c r="E501" i="3"/>
  <c r="E553" i="3"/>
  <c r="E343" i="3"/>
  <c r="E268" i="3"/>
  <c r="E153" i="3"/>
  <c r="E282" i="3"/>
  <c r="E305" i="3"/>
  <c r="E322" i="3"/>
  <c r="E426" i="3"/>
  <c r="N6" i="3"/>
  <c r="E508" i="3"/>
  <c r="AJ6" i="3"/>
  <c r="E328" i="3"/>
  <c r="E7" i="70"/>
  <c r="AA39" i="40"/>
  <c r="S39" i="40"/>
  <c r="S12" i="33"/>
  <c r="AA12" i="33"/>
  <c r="D68" i="9"/>
  <c r="F54" i="9"/>
  <c r="H107" i="39"/>
  <c r="I107" i="39"/>
  <c r="J107" i="39"/>
  <c r="K107" i="39"/>
  <c r="L107" i="39"/>
  <c r="M107"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W33" i="21"/>
  <c r="S33" i="21"/>
  <c r="W32" i="21"/>
  <c r="U9" i="21"/>
  <c r="S32" i="21"/>
  <c r="W9" i="21"/>
  <c r="U32" i="21"/>
  <c r="S10" i="21"/>
  <c r="C30" i="11"/>
  <c r="E6" i="70"/>
  <c r="A18" i="62"/>
  <c r="B64" i="72"/>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AC11" i="37"/>
  <c r="W11" i="37"/>
  <c r="W11" i="34"/>
  <c r="AC11" i="34"/>
  <c r="F50" i="11"/>
  <c r="F50" i="69"/>
  <c r="F50" i="68"/>
  <c r="AE7" i="1"/>
  <c r="AE8" i="1"/>
  <c r="AE6" i="1"/>
  <c r="AG6" i="1"/>
  <c r="H109" i="9"/>
  <c r="C19" i="68"/>
  <c r="C30" i="68"/>
  <c r="C48" i="68"/>
  <c r="C24" i="12"/>
  <c r="H110" i="9"/>
  <c r="D18" i="53"/>
  <c r="B35" i="72"/>
  <c r="D124" i="9"/>
  <c r="D16" i="53"/>
  <c r="B34" i="72"/>
  <c r="D10" i="52"/>
  <c r="H14" i="74"/>
  <c r="D17" i="53"/>
  <c r="B36" i="72"/>
  <c r="D125" i="9"/>
  <c r="D11" i="52"/>
  <c r="B7" i="74"/>
  <c r="J7" i="33"/>
  <c r="W7" i="33"/>
  <c r="F7" i="33"/>
  <c r="S7" i="33"/>
  <c r="H7" i="33"/>
  <c r="AB7" i="33"/>
  <c r="T48" i="33"/>
  <c r="G48" i="33"/>
  <c r="C32" i="9"/>
  <c r="H118" i="9"/>
  <c r="H101" i="9"/>
  <c r="H107" i="9"/>
  <c r="M49" i="9"/>
  <c r="D45" i="9"/>
  <c r="D53" i="9"/>
  <c r="D48" i="9"/>
  <c r="M52" i="9"/>
  <c r="D55" i="9"/>
  <c r="M53" i="9"/>
  <c r="C85" i="9"/>
  <c r="C93"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AD3" i="71"/>
  <c r="J1" i="73"/>
  <c r="C65" i="40"/>
  <c r="D63" i="40"/>
  <c r="AA7" i="33"/>
  <c r="R48" i="33"/>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10" i="71"/>
  <c r="D11" i="71"/>
  <c r="D12" i="71"/>
  <c r="U12" i="71"/>
  <c r="S12" i="71"/>
  <c r="T12" i="71"/>
  <c r="AB10" i="71"/>
  <c r="X8" i="71"/>
  <c r="X7" i="71"/>
  <c r="AA8" i="71"/>
  <c r="AA7" i="71"/>
  <c r="X11" i="71"/>
  <c r="Z6" i="71"/>
  <c r="Y7" i="71"/>
  <c r="Z7" i="71"/>
  <c r="AB8" i="71"/>
  <c r="AB7" i="71"/>
  <c r="S8" i="71"/>
  <c r="C92" i="9"/>
  <c r="Y8" i="71"/>
  <c r="Z8" i="71"/>
  <c r="AB3" i="71"/>
  <c r="X3" i="71"/>
  <c r="AF3" i="71"/>
  <c r="P24" i="43"/>
  <c r="B66" i="40"/>
  <c r="P21" i="43"/>
  <c r="P22" i="43"/>
  <c r="E22" i="49"/>
  <c r="E9" i="49"/>
  <c r="F31" i="15"/>
  <c r="M17" i="67"/>
  <c r="F59" i="67"/>
  <c r="F59" i="15"/>
  <c r="M17" i="15"/>
  <c r="F31" i="67"/>
  <c r="G20" i="43"/>
  <c r="D65" i="40"/>
  <c r="E63" i="40"/>
  <c r="G17" i="43"/>
  <c r="C16" i="43"/>
  <c r="D5" i="43"/>
  <c r="C5" i="43"/>
  <c r="U7" i="36"/>
  <c r="AB7" i="36"/>
  <c r="T36" i="36"/>
  <c r="G36" i="36"/>
  <c r="AA7" i="35"/>
  <c r="R38" i="35"/>
  <c r="S7" i="35"/>
  <c r="AC7" i="37"/>
  <c r="V42" i="37"/>
  <c r="I42" i="37"/>
  <c r="W7" i="37"/>
  <c r="I52" i="33"/>
  <c r="J52" i="33"/>
  <c r="I53" i="33"/>
  <c r="J53" i="33"/>
  <c r="H59" i="34"/>
  <c r="C49"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P23" i="43"/>
  <c r="D9"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M20" i="43"/>
  <c r="C19" i="43"/>
  <c r="U8" i="71"/>
  <c r="G65" i="40"/>
  <c r="H63" i="40"/>
  <c r="R50" i="34"/>
  <c r="E49" i="34"/>
  <c r="U7" i="34"/>
  <c r="AB7" i="34"/>
  <c r="T49" i="34"/>
  <c r="G49" i="34"/>
  <c r="E52" i="21"/>
  <c r="F52" i="21"/>
  <c r="E53" i="21"/>
  <c r="F53" i="21"/>
  <c r="I53" i="34"/>
  <c r="J53" i="34"/>
  <c r="I54" i="34"/>
  <c r="J54" i="34"/>
  <c r="C48" i="21"/>
  <c r="H65" i="40"/>
  <c r="I63" i="40"/>
  <c r="C50" i="34"/>
  <c r="C49" i="34"/>
  <c r="G53" i="34"/>
  <c r="H53" i="34"/>
  <c r="G54" i="34"/>
  <c r="H54" i="34"/>
  <c r="E54" i="34"/>
  <c r="F54" i="34"/>
  <c r="E53" i="34"/>
  <c r="F53" i="34"/>
  <c r="I65" i="40"/>
  <c r="J63" i="40"/>
  <c r="K63" i="40"/>
  <c r="J65" i="40"/>
  <c r="L63" i="40"/>
  <c r="K65" i="40"/>
  <c r="M63" i="40"/>
  <c r="L65" i="40"/>
  <c r="N63" i="40"/>
  <c r="M65" i="40"/>
  <c r="N65" i="40"/>
  <c r="O63" i="40"/>
  <c r="O65" i="40"/>
  <c r="J7" i="40"/>
  <c r="F7" i="40"/>
  <c r="S7" i="40"/>
  <c r="AA7" i="40"/>
  <c r="R42" i="40"/>
  <c r="E42" i="40"/>
  <c r="E46" i="40"/>
  <c r="F46" i="40"/>
  <c r="H7" i="40"/>
  <c r="W7" i="40"/>
  <c r="AC7" i="40"/>
  <c r="V42" i="40"/>
  <c r="I42" i="40"/>
  <c r="R43" i="40"/>
  <c r="C43" i="40"/>
  <c r="U7" i="40"/>
  <c r="AB7" i="40"/>
  <c r="T42" i="40"/>
  <c r="G42" i="40"/>
  <c r="U7" i="39"/>
  <c r="W7" i="39"/>
  <c r="S7" i="39"/>
  <c r="B5" i="49"/>
  <c r="F8" i="1"/>
  <c r="G8" i="1"/>
  <c r="B14" i="49"/>
  <c r="E6" i="49"/>
  <c r="B13" i="49"/>
  <c r="C4" i="4"/>
  <c r="B7" i="49"/>
  <c r="E4" i="4"/>
  <c r="K4" i="4"/>
  <c r="B46" i="48"/>
  <c r="B4" i="72"/>
  <c r="B4" i="62"/>
  <c r="B71" i="72"/>
  <c r="E13" i="49"/>
  <c r="E4" i="49"/>
  <c r="E5" i="49"/>
  <c r="E11" i="49"/>
  <c r="B4" i="49"/>
  <c r="B6" i="49"/>
  <c r="E7" i="49"/>
  <c r="B5" i="62"/>
  <c r="B73" i="72"/>
  <c r="T14" i="43"/>
  <c r="V14" i="43"/>
  <c r="AR12" i="1"/>
  <c r="AQ12" i="1"/>
  <c r="AQ11" i="1"/>
  <c r="AR13" i="1"/>
  <c r="S29" i="39"/>
  <c r="K14" i="1"/>
  <c r="I4" i="6"/>
  <c r="G3" i="43"/>
  <c r="F99" i="39"/>
  <c r="G99" i="39"/>
  <c r="F95" i="39"/>
  <c r="G95" i="39"/>
  <c r="G91" i="39"/>
  <c r="G89" i="39"/>
  <c r="F81" i="39"/>
  <c r="G81" i="39"/>
  <c r="H81" i="39"/>
  <c r="I81" i="39"/>
  <c r="J81" i="39"/>
  <c r="K81" i="39"/>
  <c r="L81" i="39"/>
  <c r="M81" i="39"/>
  <c r="S9" i="1"/>
  <c r="L20" i="6"/>
  <c r="L27" i="6"/>
  <c r="M9" i="1"/>
  <c r="AR11" i="1"/>
  <c r="C42" i="40"/>
  <c r="B52" i="40"/>
  <c r="F52" i="40"/>
  <c r="B58" i="40"/>
  <c r="B57" i="40"/>
  <c r="B53" i="40"/>
  <c r="F53" i="40"/>
  <c r="B51" i="40"/>
  <c r="B59" i="40"/>
  <c r="B55" i="40"/>
  <c r="F55" i="40"/>
  <c r="B56" i="40"/>
  <c r="B60" i="40"/>
  <c r="B54" i="40"/>
  <c r="F54" i="40"/>
  <c r="I47" i="40"/>
  <c r="J47" i="40"/>
  <c r="I46" i="40"/>
  <c r="J46" i="40"/>
  <c r="T11" i="1"/>
  <c r="K7" i="1"/>
  <c r="G47" i="40"/>
  <c r="H47" i="40"/>
  <c r="G46" i="40"/>
  <c r="H46" i="40"/>
  <c r="E47" i="40"/>
  <c r="F47" i="40"/>
  <c r="C34" i="43"/>
  <c r="T11" i="43"/>
  <c r="V11" i="43"/>
  <c r="T10" i="43"/>
  <c r="V10" i="43"/>
  <c r="T12" i="43"/>
  <c r="V12" i="43"/>
  <c r="T9" i="43"/>
  <c r="V9" i="43"/>
  <c r="C33" i="43"/>
  <c r="T15" i="43"/>
  <c r="V15" i="43"/>
  <c r="T16" i="43"/>
  <c r="V16" i="43"/>
  <c r="C37" i="43"/>
  <c r="T13" i="43"/>
  <c r="V13" i="43"/>
  <c r="C35" i="43"/>
  <c r="T8" i="43"/>
  <c r="V8" i="43"/>
  <c r="C36" i="43"/>
  <c r="C38" i="43"/>
  <c r="C39"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K21" i="6"/>
  <c r="K8" i="1"/>
  <c r="D3" i="21"/>
  <c r="K6" i="1"/>
  <c r="G1" i="67"/>
  <c r="F3" i="35"/>
  <c r="G1" i="68"/>
  <c r="G1" i="78"/>
  <c r="G1" i="15"/>
  <c r="K1" i="12"/>
  <c r="B6" i="1"/>
  <c r="E6" i="1"/>
  <c r="G1" i="69"/>
  <c r="T13" i="1"/>
  <c r="AQ13" i="1"/>
  <c r="C51" i="10"/>
  <c r="A13" i="51"/>
  <c r="B11" i="72"/>
  <c r="Y5" i="71"/>
  <c r="Z5" i="71"/>
  <c r="AA5" i="71"/>
  <c r="B22" i="49"/>
  <c r="E15" i="49"/>
  <c r="B16" i="49"/>
  <c r="B11" i="49"/>
  <c r="E21" i="49"/>
  <c r="B8" i="49"/>
  <c r="E8" i="49"/>
  <c r="B10" i="49"/>
  <c r="E16" i="49"/>
  <c r="B9" i="49"/>
  <c r="E14" i="49"/>
  <c r="E10" i="49"/>
  <c r="B15" i="49"/>
  <c r="S15" i="39"/>
  <c r="E5" i="6"/>
  <c r="J22" i="43"/>
  <c r="U29" i="39"/>
  <c r="W29" i="39"/>
  <c r="S25" i="39"/>
  <c r="U25" i="39"/>
  <c r="W25" i="39"/>
  <c r="S21" i="39"/>
  <c r="U21" i="39"/>
  <c r="W21" i="39"/>
  <c r="W17" i="39"/>
  <c r="S17" i="39"/>
  <c r="W15" i="39"/>
  <c r="D9" i="69"/>
  <c r="C9" i="69"/>
  <c r="D9" i="68"/>
  <c r="C9" i="68"/>
  <c r="D9" i="11"/>
  <c r="C9" i="11"/>
  <c r="E9" i="70"/>
  <c r="T9" i="1"/>
  <c r="AR9" i="1"/>
  <c r="AQ9" i="1"/>
  <c r="E15" i="6"/>
  <c r="E13" i="6"/>
  <c r="E11" i="6"/>
  <c r="E12" i="6"/>
  <c r="E10" i="6"/>
  <c r="E14" i="6"/>
  <c r="AP6" i="1"/>
  <c r="K16" i="1"/>
  <c r="H16" i="1"/>
  <c r="M21" i="6"/>
  <c r="I21" i="6"/>
  <c r="S21" i="6"/>
  <c r="S8" i="1"/>
  <c r="S22" i="6"/>
  <c r="K20" i="6"/>
  <c r="K23" i="6"/>
  <c r="K19" i="6"/>
  <c r="E31" i="6"/>
  <c r="K26" i="6"/>
  <c r="M26" i="6"/>
  <c r="I26" i="6"/>
  <c r="S26" i="6"/>
  <c r="K24" i="6"/>
  <c r="M24" i="6"/>
  <c r="I24" i="6"/>
  <c r="S24" i="6"/>
  <c r="K25" i="6"/>
  <c r="M25" i="6"/>
  <c r="I25" i="6"/>
  <c r="S25" i="6"/>
  <c r="H103" i="43"/>
  <c r="H104" i="43"/>
  <c r="H105" i="43"/>
  <c r="H106" i="43"/>
  <c r="H102" i="43"/>
  <c r="H107" i="43"/>
  <c r="H109" i="43"/>
  <c r="C104" i="43"/>
  <c r="C106" i="43"/>
  <c r="C105" i="43"/>
  <c r="C102" i="43"/>
  <c r="C109" i="43"/>
  <c r="C107" i="43"/>
  <c r="C103" i="43"/>
  <c r="B115" i="43"/>
  <c r="D117" i="43"/>
  <c r="E117" i="43"/>
  <c r="F117" i="43"/>
  <c r="G117" i="43"/>
  <c r="H117" i="43"/>
  <c r="I115" i="43"/>
  <c r="J115" i="43"/>
  <c r="K115" i="43"/>
  <c r="L115" i="43"/>
  <c r="M115" i="43"/>
  <c r="I118" i="43"/>
  <c r="J118" i="43"/>
  <c r="K118" i="43"/>
  <c r="L118" i="43"/>
  <c r="M118" i="43"/>
  <c r="D118" i="43"/>
  <c r="E118" i="43"/>
  <c r="F118" i="43"/>
  <c r="D115" i="43"/>
  <c r="E115" i="43"/>
  <c r="F115" i="43"/>
  <c r="G115" i="43"/>
  <c r="H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02" i="43"/>
  <c r="I107" i="43"/>
  <c r="I109" i="43"/>
  <c r="I103" i="43"/>
  <c r="I104" i="43"/>
  <c r="I105" i="43"/>
  <c r="I106" i="43"/>
  <c r="D104" i="43"/>
  <c r="D106" i="43"/>
  <c r="D109" i="43"/>
  <c r="D102" i="43"/>
  <c r="D103" i="43"/>
  <c r="D105" i="43"/>
  <c r="D107" i="43"/>
  <c r="D22" i="43"/>
  <c r="F107" i="43"/>
  <c r="F106" i="43"/>
  <c r="F104" i="43"/>
  <c r="F102" i="43"/>
  <c r="F103" i="43"/>
  <c r="F105" i="43"/>
  <c r="F109" i="43"/>
  <c r="E39" i="43"/>
  <c r="G39" i="43"/>
  <c r="I39" i="43"/>
  <c r="E33" i="43"/>
  <c r="G33" i="43"/>
  <c r="I33" i="43"/>
  <c r="E34" i="43"/>
  <c r="G34" i="43"/>
  <c r="I34" i="43"/>
  <c r="H6" i="3"/>
  <c r="E6" i="3"/>
  <c r="L109" i="43"/>
  <c r="L103" i="43"/>
  <c r="L104" i="43"/>
  <c r="L105" i="43"/>
  <c r="L102" i="43"/>
  <c r="L106" i="43"/>
  <c r="L107" i="43"/>
  <c r="J104" i="43"/>
  <c r="J103" i="43"/>
  <c r="J106" i="43"/>
  <c r="J105" i="43"/>
  <c r="J107" i="43"/>
  <c r="J102" i="43"/>
  <c r="J109" i="43"/>
  <c r="G105" i="43"/>
  <c r="G103" i="43"/>
  <c r="G109" i="43"/>
  <c r="G102" i="43"/>
  <c r="G107" i="43"/>
  <c r="G104" i="43"/>
  <c r="G106" i="43"/>
  <c r="E102" i="43"/>
  <c r="E103" i="43"/>
  <c r="E105" i="43"/>
  <c r="E107" i="43"/>
  <c r="E104" i="43"/>
  <c r="E106" i="43"/>
  <c r="E109" i="43"/>
  <c r="M102" i="43"/>
  <c r="M106" i="43"/>
  <c r="M107" i="43"/>
  <c r="M109" i="43"/>
  <c r="M103" i="43"/>
  <c r="M104" i="43"/>
  <c r="M105" i="43"/>
  <c r="N103" i="43"/>
  <c r="N106" i="43"/>
  <c r="N104" i="43"/>
  <c r="N102" i="43"/>
  <c r="N105" i="43"/>
  <c r="N107" i="43"/>
  <c r="N109" i="43"/>
  <c r="K107" i="43"/>
  <c r="K104" i="43"/>
  <c r="K106" i="43"/>
  <c r="K103" i="43"/>
  <c r="K102" i="43"/>
  <c r="K105" i="43"/>
  <c r="K109" i="43"/>
  <c r="G38" i="43"/>
  <c r="I38" i="43"/>
  <c r="E38" i="43"/>
  <c r="E36" i="43"/>
  <c r="G36" i="43"/>
  <c r="I36" i="43"/>
  <c r="E35" i="43"/>
  <c r="G35" i="43"/>
  <c r="I35" i="43"/>
  <c r="E37" i="43"/>
  <c r="G37" i="43"/>
  <c r="I37" i="43"/>
  <c r="AE10" i="1"/>
  <c r="AE9" i="1"/>
  <c r="U15" i="39"/>
  <c r="K23" i="1"/>
  <c r="M23" i="1"/>
  <c r="M22" i="1"/>
  <c r="U11" i="39"/>
  <c r="U17" i="39"/>
  <c r="E64" i="39"/>
  <c r="E59" i="40"/>
  <c r="F59" i="40"/>
  <c r="E57" i="40"/>
  <c r="F57" i="40"/>
  <c r="E62" i="39"/>
  <c r="E63" i="39"/>
  <c r="E58" i="40"/>
  <c r="F58" i="40"/>
  <c r="E56" i="39"/>
  <c r="E51" i="40"/>
  <c r="F51" i="40"/>
  <c r="E16" i="6"/>
  <c r="F31" i="6"/>
  <c r="E61" i="39"/>
  <c r="E56" i="40"/>
  <c r="F56" i="40"/>
  <c r="E60" i="40"/>
  <c r="F60" i="40"/>
  <c r="E65" i="39"/>
  <c r="M23" i="6"/>
  <c r="I23" i="6"/>
  <c r="S23" i="6"/>
  <c r="S10"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S6" i="1"/>
  <c r="M20" i="6"/>
  <c r="I20" i="6"/>
  <c r="S20" i="6"/>
  <c r="S7" i="1"/>
  <c r="AQ8" i="1"/>
  <c r="AR8" i="1"/>
  <c r="T8" i="1"/>
  <c r="F27" i="68"/>
  <c r="F27" i="69"/>
  <c r="F27" i="11"/>
  <c r="Q18" i="1"/>
  <c r="E6" i="6"/>
  <c r="M18" i="9"/>
  <c r="B118" i="9"/>
  <c r="B14" i="74"/>
  <c r="D3" i="34"/>
  <c r="D37" i="11"/>
  <c r="D3" i="37"/>
  <c r="D3" i="33"/>
  <c r="D19" i="11"/>
  <c r="C19" i="11"/>
  <c r="C17" i="4"/>
  <c r="B4" i="52"/>
  <c r="B43" i="72"/>
  <c r="L18" i="9"/>
  <c r="C115" i="43"/>
  <c r="D113" i="43"/>
  <c r="M24" i="1"/>
  <c r="L24" i="1"/>
  <c r="E66" i="39"/>
  <c r="T10" i="1"/>
  <c r="AR10" i="1"/>
  <c r="AQ10" i="1"/>
  <c r="E10" i="70"/>
  <c r="E2" i="70"/>
  <c r="C20" i="11"/>
  <c r="C28" i="11"/>
  <c r="C27" i="11"/>
  <c r="C47" i="69"/>
  <c r="D45" i="69"/>
  <c r="C29" i="69"/>
  <c r="D27" i="69"/>
  <c r="AQ7" i="1"/>
  <c r="T7" i="1"/>
  <c r="AR7" i="1"/>
  <c r="B1" i="74"/>
  <c r="C47" i="11"/>
  <c r="D45" i="11"/>
  <c r="C29" i="11"/>
  <c r="D27" i="11"/>
  <c r="C29" i="68"/>
  <c r="D27" i="68"/>
  <c r="C47" i="68"/>
  <c r="D45" i="68"/>
  <c r="B27" i="9"/>
  <c r="D20" i="6"/>
  <c r="H21" i="6"/>
  <c r="D23" i="6"/>
  <c r="M19" i="9"/>
  <c r="C118" i="9"/>
  <c r="C14" i="74"/>
  <c r="D19" i="6"/>
  <c r="H20" i="6"/>
  <c r="D21" i="6"/>
  <c r="R21" i="6"/>
  <c r="R8" i="1"/>
  <c r="H23" i="6"/>
  <c r="D26" i="6"/>
  <c r="C18" i="4"/>
  <c r="D24" i="6"/>
  <c r="D6" i="6"/>
  <c r="D9" i="6"/>
  <c r="D10" i="6"/>
  <c r="L19" i="9"/>
  <c r="D29" i="6"/>
  <c r="H25" i="6"/>
  <c r="H26" i="6"/>
  <c r="D25" i="6"/>
  <c r="D15" i="6"/>
  <c r="D8" i="6"/>
  <c r="D14" i="6"/>
  <c r="D5" i="6"/>
  <c r="D12" i="6"/>
  <c r="D11" i="6"/>
  <c r="D13" i="6"/>
  <c r="D28" i="6"/>
  <c r="E61" i="40"/>
  <c r="F61" i="40"/>
  <c r="B2" i="40"/>
  <c r="B3" i="40"/>
  <c r="H24" i="6"/>
  <c r="D10" i="68"/>
  <c r="D10" i="11"/>
  <c r="C10" i="11"/>
  <c r="D10" i="69"/>
  <c r="AQ6" i="1"/>
  <c r="AR6" i="1"/>
  <c r="T6" i="1"/>
  <c r="S16" i="1"/>
  <c r="I19" i="6"/>
  <c r="M27" i="6"/>
  <c r="T16" i="1"/>
  <c r="D30" i="6"/>
  <c r="R26" i="6"/>
  <c r="R24" i="6"/>
  <c r="S19" i="6"/>
  <c r="S27" i="6"/>
  <c r="I27" i="6"/>
  <c r="C10" i="68"/>
  <c r="D19" i="68"/>
  <c r="D37" i="68"/>
  <c r="F34" i="68"/>
  <c r="C37" i="68"/>
  <c r="D27" i="6"/>
  <c r="D31" i="6"/>
  <c r="B2" i="74"/>
  <c r="H19" i="6"/>
  <c r="H27" i="6"/>
  <c r="D16" i="6"/>
  <c r="R25" i="6"/>
  <c r="A7" i="51"/>
  <c r="B7" i="72"/>
  <c r="C4" i="52"/>
  <c r="B45" i="72"/>
  <c r="A10" i="51"/>
  <c r="B9" i="72"/>
  <c r="R23" i="6"/>
  <c r="R10" i="1"/>
  <c r="R20" i="6"/>
  <c r="R7" i="1"/>
  <c r="C7" i="74"/>
  <c r="C8" i="74"/>
  <c r="AP7" i="1"/>
  <c r="C34" i="69"/>
  <c r="C38" i="69"/>
  <c r="M8" i="1"/>
  <c r="AP8" i="1"/>
  <c r="C25" i="9"/>
  <c r="D7" i="74"/>
  <c r="D8" i="74"/>
  <c r="I6" i="6"/>
  <c r="I5" i="6"/>
  <c r="R19" i="6"/>
  <c r="C36" i="69"/>
  <c r="L16" i="1"/>
  <c r="C35" i="69"/>
  <c r="R6" i="1"/>
  <c r="R16" i="1"/>
  <c r="R27" i="6"/>
  <c r="O16" i="1"/>
  <c r="C34" i="68"/>
  <c r="C38" i="68"/>
  <c r="F34" i="11"/>
  <c r="C37" i="11"/>
  <c r="C36" i="11"/>
  <c r="C34" i="11"/>
  <c r="C38" i="11"/>
  <c r="C35" i="11"/>
  <c r="C33" i="11"/>
  <c r="C39" i="11"/>
  <c r="C46" i="11"/>
  <c r="C45" i="11"/>
  <c r="AB5" i="71"/>
  <c r="C23" i="43"/>
  <c r="C21" i="43"/>
  <c r="C29" i="43"/>
  <c r="E29" i="43"/>
  <c r="C26" i="43"/>
  <c r="B2" i="43"/>
  <c r="B3" i="43"/>
  <c r="C30" i="43"/>
  <c r="E30" i="43"/>
  <c r="C27" i="43"/>
  <c r="S3" i="43"/>
  <c r="T3" i="43"/>
  <c r="V3" i="43"/>
  <c r="S7" i="43"/>
  <c r="T7" i="43"/>
  <c r="V7" i="43"/>
  <c r="S4" i="43"/>
  <c r="T4" i="43"/>
  <c r="V4" i="43"/>
  <c r="S5" i="43"/>
  <c r="T5" i="43"/>
  <c r="V5" i="43"/>
  <c r="S2" i="43"/>
  <c r="T2" i="43"/>
  <c r="V2" i="43"/>
  <c r="S6" i="43"/>
  <c r="T6" i="43"/>
  <c r="V6"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8" i="68"/>
  <c r="C27" i="68"/>
  <c r="B3" i="39"/>
  <c r="C47" i="39"/>
  <c r="E47" i="39"/>
  <c r="G47" i="39"/>
  <c r="E52" i="39"/>
  <c r="F52" i="39"/>
  <c r="E51" i="39"/>
  <c r="F51" i="39"/>
  <c r="I47" i="39"/>
  <c r="I51" i="39"/>
  <c r="J51" i="39"/>
  <c r="I52" i="39"/>
  <c r="J52" i="39"/>
  <c r="G51" i="39"/>
  <c r="H51" i="39"/>
  <c r="G52" i="39"/>
  <c r="H52" i="39"/>
  <c r="F10" i="40"/>
  <c r="AA10" i="40"/>
  <c r="S10" i="40"/>
  <c r="U10" i="39"/>
  <c r="H10" i="40"/>
  <c r="U10" i="40"/>
  <c r="AB10" i="40"/>
  <c r="S10" i="39"/>
  <c r="W10" i="39"/>
  <c r="J10" i="40"/>
  <c r="AC10" i="40"/>
  <c r="W10" i="40"/>
  <c r="AO8" i="1"/>
  <c r="E11" i="76"/>
  <c r="B9" i="76"/>
  <c r="D2" i="82"/>
  <c r="F26" i="78"/>
  <c r="M29" i="67"/>
  <c r="F42" i="67"/>
  <c r="J15" i="67"/>
  <c r="F35" i="15"/>
  <c r="F6" i="78"/>
  <c r="F6" i="67"/>
  <c r="F40" i="78"/>
  <c r="F43" i="67"/>
  <c r="M29" i="15"/>
  <c r="F13" i="78"/>
  <c r="M21" i="67"/>
  <c r="AO10" i="1"/>
  <c r="F4" i="73"/>
  <c r="E2" i="69"/>
  <c r="F3" i="73"/>
  <c r="E2" i="68"/>
  <c r="F5" i="73"/>
  <c r="L48" i="67"/>
  <c r="C14" i="78"/>
  <c r="F40" i="67"/>
  <c r="F8" i="78"/>
  <c r="F37" i="67"/>
  <c r="F38" i="67"/>
  <c r="F43" i="15"/>
  <c r="M23" i="15"/>
  <c r="F26" i="15"/>
  <c r="F42" i="15"/>
  <c r="M9" i="78"/>
  <c r="B11" i="76"/>
  <c r="AO12" i="1"/>
  <c r="D7" i="73"/>
  <c r="F6" i="73"/>
  <c r="B8" i="76"/>
  <c r="C14" i="15"/>
  <c r="F13" i="15"/>
  <c r="M23" i="78"/>
  <c r="M9" i="67"/>
  <c r="F38" i="15"/>
  <c r="L47" i="67"/>
  <c r="F7" i="78"/>
  <c r="M9" i="15"/>
  <c r="M21" i="15"/>
  <c r="M8" i="67"/>
  <c r="F41" i="78"/>
  <c r="F41" i="15"/>
  <c r="B12" i="76"/>
  <c r="B13" i="76"/>
  <c r="D3" i="73"/>
  <c r="E9" i="76"/>
  <c r="F20" i="31"/>
  <c r="C76" i="67"/>
  <c r="M21" i="78"/>
  <c r="M27" i="67"/>
  <c r="M6" i="78"/>
  <c r="F9" i="67"/>
  <c r="F8" i="15"/>
  <c r="F9" i="15"/>
  <c r="F8" i="67"/>
  <c r="M27" i="78"/>
  <c r="M27" i="15"/>
  <c r="M24" i="67"/>
  <c r="F7" i="73"/>
  <c r="D2" i="34"/>
  <c r="AO13" i="1"/>
  <c r="B7" i="76"/>
  <c r="E8" i="76"/>
  <c r="J15" i="78"/>
  <c r="F16" i="67"/>
  <c r="L47" i="78"/>
  <c r="F38" i="78"/>
  <c r="F6" i="15"/>
  <c r="C76" i="78"/>
  <c r="F36" i="78"/>
  <c r="F13" i="67"/>
  <c r="M23" i="67"/>
  <c r="M22" i="67"/>
  <c r="C76" i="15"/>
  <c r="F41" i="67"/>
  <c r="E12" i="76"/>
  <c r="F16" i="15"/>
  <c r="M28" i="78"/>
  <c r="F37" i="78"/>
  <c r="F26" i="67"/>
  <c r="E7" i="76"/>
  <c r="E13" i="76"/>
  <c r="F36" i="15"/>
  <c r="M24" i="78"/>
  <c r="F7" i="15"/>
  <c r="M6" i="67"/>
  <c r="C20" i="9"/>
  <c r="AO9" i="1"/>
  <c r="D2" i="21"/>
  <c r="AO11" i="1"/>
  <c r="M26" i="78"/>
  <c r="M22" i="15"/>
  <c r="M8" i="78"/>
  <c r="F37" i="15"/>
  <c r="F35" i="67"/>
  <c r="B6" i="76"/>
  <c r="D4" i="73"/>
  <c r="F40" i="15"/>
  <c r="F42" i="78"/>
  <c r="M24" i="15"/>
  <c r="F36" i="67"/>
  <c r="E10" i="76"/>
  <c r="D2" i="36"/>
  <c r="M8" i="15"/>
  <c r="M26" i="15"/>
  <c r="M29" i="78"/>
  <c r="M22" i="78"/>
  <c r="B10" i="76"/>
  <c r="D2" i="35"/>
  <c r="F43" i="78"/>
  <c r="J15" i="15"/>
  <c r="L47" i="15"/>
  <c r="M28" i="15"/>
  <c r="AO6" i="1"/>
  <c r="D2" i="33"/>
  <c r="M6" i="15"/>
  <c r="F9" i="78"/>
  <c r="F35" i="78"/>
  <c r="F7" i="67"/>
  <c r="D2" i="37"/>
  <c r="AO7" i="1"/>
  <c r="F16" i="78"/>
  <c r="L48" i="15"/>
  <c r="M26" i="67"/>
  <c r="M28" i="67"/>
  <c r="L48" i="78"/>
  <c r="E6" i="76"/>
  <c r="E2" i="76"/>
  <c r="L57" i="78"/>
  <c r="L46" i="78"/>
  <c r="J53" i="78"/>
  <c r="J59" i="78"/>
  <c r="J60" i="78"/>
  <c r="Q48" i="78"/>
  <c r="I54" i="78"/>
  <c r="L60" i="78"/>
  <c r="L56" i="78"/>
  <c r="J57" i="78"/>
  <c r="J55" i="78"/>
  <c r="J58" i="78"/>
  <c r="Q50" i="78"/>
  <c r="J53" i="15"/>
  <c r="J60" i="15"/>
  <c r="Q48" i="15"/>
  <c r="L56" i="15"/>
  <c r="L46" i="15"/>
  <c r="L60" i="15"/>
  <c r="I54" i="15"/>
  <c r="J59" i="15"/>
  <c r="L57" i="15"/>
  <c r="J57" i="15"/>
  <c r="J55" i="15"/>
  <c r="J58" i="15"/>
  <c r="Q50" i="15"/>
  <c r="B7" i="70"/>
  <c r="B2" i="37"/>
  <c r="B3" i="37"/>
  <c r="F50" i="67"/>
  <c r="M7" i="67"/>
  <c r="C34" i="78"/>
  <c r="F63" i="78"/>
  <c r="C62" i="78"/>
  <c r="B2" i="33"/>
  <c r="B3" i="33"/>
  <c r="B6" i="70"/>
  <c r="M59" i="15"/>
  <c r="L59" i="15"/>
  <c r="N59" i="15"/>
  <c r="L58" i="15"/>
  <c r="F71" i="78"/>
  <c r="B2" i="35"/>
  <c r="B3" i="35"/>
  <c r="B2" i="36"/>
  <c r="B3" i="36"/>
  <c r="F64" i="67"/>
  <c r="F68" i="15"/>
  <c r="E20" i="43"/>
  <c r="B2" i="76"/>
  <c r="B3" i="76"/>
  <c r="F63" i="67"/>
  <c r="C62" i="67"/>
  <c r="C34" i="67"/>
  <c r="F65" i="15"/>
  <c r="B11" i="70"/>
  <c r="B9" i="70"/>
  <c r="C102" i="9"/>
  <c r="C21" i="9"/>
  <c r="C103" i="9"/>
  <c r="J6" i="67"/>
  <c r="F50" i="15"/>
  <c r="M7" i="15"/>
  <c r="J6" i="15"/>
  <c r="F64" i="15"/>
  <c r="C27" i="67"/>
  <c r="F65" i="78"/>
  <c r="F69" i="67"/>
  <c r="Q71" i="15"/>
  <c r="F64" i="78"/>
  <c r="Q71" i="78"/>
  <c r="C6" i="15"/>
  <c r="F66" i="78"/>
  <c r="N59" i="78"/>
  <c r="L58" i="78"/>
  <c r="M59" i="78"/>
  <c r="L59" i="78"/>
  <c r="B13" i="70"/>
  <c r="B2" i="34"/>
  <c r="B3" i="34"/>
  <c r="F51" i="67"/>
  <c r="C49" i="67"/>
  <c r="F51" i="15"/>
  <c r="M7" i="78"/>
  <c r="J6" i="78"/>
  <c r="J20" i="78"/>
  <c r="Q71" i="67"/>
  <c r="B20" i="31"/>
  <c r="F69" i="15"/>
  <c r="F69" i="78"/>
  <c r="J20" i="15"/>
  <c r="F50" i="78"/>
  <c r="N59" i="67"/>
  <c r="L58" i="67"/>
  <c r="M59" i="67"/>
  <c r="L59" i="67"/>
  <c r="F66" i="15"/>
  <c r="C18" i="15"/>
  <c r="C19" i="15"/>
  <c r="C15" i="15"/>
  <c r="B12" i="70"/>
  <c r="C27" i="15"/>
  <c r="F71" i="15"/>
  <c r="F66" i="67"/>
  <c r="F65" i="67"/>
  <c r="F51" i="78"/>
  <c r="F68" i="67"/>
  <c r="C15" i="78"/>
  <c r="C19" i="78"/>
  <c r="C18" i="78"/>
  <c r="L56" i="67"/>
  <c r="J57" i="67"/>
  <c r="J55" i="67"/>
  <c r="J58" i="67"/>
  <c r="Q50" i="67"/>
  <c r="I54" i="67"/>
  <c r="J53" i="67"/>
  <c r="I1" i="73"/>
  <c r="B39" i="1"/>
  <c r="B10" i="70"/>
  <c r="J20" i="67"/>
  <c r="F71" i="67"/>
  <c r="F68" i="78"/>
  <c r="C6" i="67"/>
  <c r="C6" i="78"/>
  <c r="C34" i="15"/>
  <c r="F63" i="15"/>
  <c r="C62" i="15"/>
  <c r="F70" i="67"/>
  <c r="C27" i="78"/>
  <c r="B8" i="70"/>
  <c r="C36" i="68"/>
  <c r="C35" i="68"/>
  <c r="C33" i="68"/>
  <c r="C10" i="69"/>
  <c r="C8" i="69"/>
  <c r="C5" i="69"/>
  <c r="D19" i="69"/>
  <c r="C17" i="78"/>
  <c r="C16" i="15"/>
  <c r="C14" i="67"/>
  <c r="C16" i="78"/>
  <c r="C17" i="67"/>
  <c r="C17" i="15"/>
  <c r="C16" i="67"/>
  <c r="C15" i="67"/>
  <c r="C18" i="67"/>
  <c r="C19" i="67"/>
  <c r="J18" i="15"/>
  <c r="C39" i="68"/>
  <c r="C46" i="68"/>
  <c r="C45" i="68"/>
  <c r="F22" i="69"/>
  <c r="F24" i="67"/>
  <c r="C24" i="67"/>
  <c r="F24" i="15"/>
  <c r="C24" i="15"/>
  <c r="F22" i="68"/>
  <c r="F22" i="11"/>
  <c r="F24" i="78"/>
  <c r="C24" i="78"/>
  <c r="Q61" i="15"/>
  <c r="Q74" i="15"/>
  <c r="Q57" i="15"/>
  <c r="Q66" i="15"/>
  <c r="Q61" i="67"/>
  <c r="Q74" i="67"/>
  <c r="B2" i="70"/>
  <c r="B3" i="70"/>
  <c r="M11" i="67"/>
  <c r="J10" i="67"/>
  <c r="J5" i="67"/>
  <c r="J18" i="67"/>
  <c r="D37" i="69"/>
  <c r="C37" i="69"/>
  <c r="C33" i="69"/>
  <c r="C19" i="69"/>
  <c r="C24" i="69"/>
  <c r="Q52" i="67"/>
  <c r="F1" i="67"/>
  <c r="C20" i="78"/>
  <c r="C26" i="78"/>
  <c r="Q73" i="67"/>
  <c r="Q60" i="67"/>
  <c r="Q74" i="78"/>
  <c r="Q61" i="78"/>
  <c r="C23" i="69"/>
  <c r="Q73" i="78"/>
  <c r="Q60" i="78"/>
  <c r="F1" i="15"/>
  <c r="Q52" i="15"/>
  <c r="Q52" i="78"/>
  <c r="F1" i="78"/>
  <c r="J18" i="78"/>
  <c r="M11" i="78"/>
  <c r="J10" i="78"/>
  <c r="J5" i="78"/>
  <c r="C32" i="78"/>
  <c r="C33" i="78"/>
  <c r="C31" i="78"/>
  <c r="C49" i="78"/>
  <c r="C20" i="15"/>
  <c r="C23" i="15"/>
  <c r="C26" i="15"/>
  <c r="C29" i="15"/>
  <c r="C49" i="15"/>
  <c r="Q73" i="15"/>
  <c r="Q60" i="15"/>
  <c r="C32" i="67"/>
  <c r="F11" i="15"/>
  <c r="M11" i="15"/>
  <c r="J10" i="15"/>
  <c r="J5" i="15"/>
  <c r="F11" i="67"/>
  <c r="F11" i="78"/>
  <c r="C33" i="15"/>
  <c r="C32" i="15"/>
  <c r="C31" i="15"/>
  <c r="P28" i="43"/>
  <c r="O28" i="43"/>
  <c r="M28" i="43"/>
  <c r="N28" i="43"/>
  <c r="Q57" i="78"/>
  <c r="Q66" i="78"/>
  <c r="J19" i="15"/>
  <c r="C13" i="15"/>
  <c r="C57" i="15"/>
  <c r="J14" i="15"/>
  <c r="C36" i="15"/>
  <c r="Q49" i="15"/>
  <c r="J26" i="15"/>
  <c r="J29" i="15"/>
  <c r="J24" i="15"/>
  <c r="J26" i="78"/>
  <c r="J29" i="78"/>
  <c r="J24" i="78"/>
  <c r="C20" i="67"/>
  <c r="C26" i="67"/>
  <c r="C23" i="67"/>
  <c r="C29" i="67"/>
  <c r="C42" i="69"/>
  <c r="C39" i="69"/>
  <c r="C43" i="69"/>
  <c r="C25" i="11"/>
  <c r="C43" i="11"/>
  <c r="C24" i="11"/>
  <c r="C42" i="11"/>
  <c r="C44" i="11"/>
  <c r="D41" i="11"/>
  <c r="C26" i="11"/>
  <c r="D22" i="11"/>
  <c r="C23" i="11"/>
  <c r="C43" i="68"/>
  <c r="C20" i="69"/>
  <c r="C25" i="69"/>
  <c r="C22" i="69"/>
  <c r="C26" i="68"/>
  <c r="D22" i="68"/>
  <c r="C44" i="68"/>
  <c r="D41" i="68"/>
  <c r="C24" i="68"/>
  <c r="C25" i="68"/>
  <c r="C23" i="68"/>
  <c r="C22" i="68"/>
  <c r="J17" i="15"/>
  <c r="C53" i="15"/>
  <c r="C48" i="15"/>
  <c r="C10" i="15"/>
  <c r="C5" i="15"/>
  <c r="J24" i="67"/>
  <c r="J26" i="67"/>
  <c r="J29" i="67"/>
  <c r="C10" i="67"/>
  <c r="C5" i="67"/>
  <c r="C53" i="67"/>
  <c r="C48" i="67"/>
  <c r="C23" i="78"/>
  <c r="C29" i="78"/>
  <c r="C44" i="69"/>
  <c r="D41" i="69"/>
  <c r="C26" i="69"/>
  <c r="D22" i="69"/>
  <c r="C53" i="78"/>
  <c r="C48" i="78"/>
  <c r="C10" i="78"/>
  <c r="C5" i="78"/>
  <c r="C42" i="68"/>
  <c r="C41" i="68"/>
  <c r="C49" i="68"/>
  <c r="C51" i="68"/>
  <c r="D102" i="9"/>
  <c r="D21" i="9"/>
  <c r="D22" i="9"/>
  <c r="C60" i="78"/>
  <c r="C66" i="78"/>
  <c r="C36" i="67"/>
  <c r="J19" i="67"/>
  <c r="J17" i="67"/>
  <c r="Q49" i="67"/>
  <c r="C13" i="67"/>
  <c r="C57" i="67"/>
  <c r="C33" i="67"/>
  <c r="C31" i="67"/>
  <c r="J14" i="67"/>
  <c r="J59" i="67"/>
  <c r="J60" i="67"/>
  <c r="C66" i="15"/>
  <c r="C60" i="15"/>
  <c r="C60" i="67"/>
  <c r="C66" i="67"/>
  <c r="C38" i="15"/>
  <c r="C38" i="67"/>
  <c r="C36" i="78"/>
  <c r="J14" i="78"/>
  <c r="J19" i="78"/>
  <c r="J17" i="78"/>
  <c r="Q49" i="78"/>
  <c r="C57" i="78"/>
  <c r="C13" i="78"/>
  <c r="C46" i="69"/>
  <c r="C45" i="69"/>
  <c r="C31" i="68"/>
  <c r="C52" i="68"/>
  <c r="B2" i="68"/>
  <c r="C22" i="11"/>
  <c r="C31" i="11"/>
  <c r="J13" i="15"/>
  <c r="J23" i="15"/>
  <c r="J22" i="15"/>
  <c r="J16" i="15"/>
  <c r="J25" i="15"/>
  <c r="B3" i="12"/>
  <c r="M4" i="12"/>
  <c r="C41" i="69"/>
  <c r="C64" i="15"/>
  <c r="C61" i="15"/>
  <c r="C49" i="69"/>
  <c r="C51" i="69"/>
  <c r="C56" i="15"/>
  <c r="C65" i="15"/>
  <c r="Q70" i="15"/>
  <c r="C37" i="15"/>
  <c r="C75" i="15"/>
  <c r="C38" i="78"/>
  <c r="C28" i="69"/>
  <c r="C27" i="69"/>
  <c r="C31" i="69"/>
  <c r="C52" i="69"/>
  <c r="B2" i="69"/>
  <c r="B3" i="69"/>
  <c r="C41" i="11"/>
  <c r="C49" i="11"/>
  <c r="C51" i="11"/>
  <c r="D20" i="9"/>
  <c r="D103" i="9"/>
  <c r="G20" i="9"/>
  <c r="Q48" i="67"/>
  <c r="L46" i="67"/>
  <c r="C61" i="78"/>
  <c r="C59" i="78"/>
  <c r="C64" i="78"/>
  <c r="C56" i="78"/>
  <c r="C65" i="78"/>
  <c r="C58" i="78"/>
  <c r="C67" i="78"/>
  <c r="C68" i="78"/>
  <c r="J22" i="67"/>
  <c r="J13" i="67"/>
  <c r="J23" i="67"/>
  <c r="C57" i="69"/>
  <c r="C56" i="69"/>
  <c r="C52" i="11"/>
  <c r="B2" i="11"/>
  <c r="B3" i="11"/>
  <c r="J13" i="78"/>
  <c r="J23" i="78"/>
  <c r="J22" i="78"/>
  <c r="J16" i="78"/>
  <c r="J25" i="78"/>
  <c r="C61" i="67"/>
  <c r="C59" i="67"/>
  <c r="C64" i="67"/>
  <c r="C56" i="67"/>
  <c r="C65" i="67"/>
  <c r="C58" i="67"/>
  <c r="C67" i="67"/>
  <c r="C68" i="67"/>
  <c r="C56" i="11"/>
  <c r="C57" i="11"/>
  <c r="B3" i="68"/>
  <c r="C57" i="68"/>
  <c r="C56" i="68"/>
  <c r="Q70" i="67"/>
  <c r="C37" i="67"/>
  <c r="C30" i="67"/>
  <c r="C39" i="67"/>
  <c r="C75" i="67"/>
  <c r="G21" i="9"/>
  <c r="I21" i="9"/>
  <c r="C75" i="78"/>
  <c r="Q70" i="78"/>
  <c r="C37" i="78"/>
  <c r="C30" i="78"/>
  <c r="C39" i="78"/>
  <c r="C30" i="15"/>
  <c r="C39" i="15"/>
  <c r="C59" i="15"/>
  <c r="C58" i="15"/>
  <c r="C67" i="15"/>
  <c r="C68" i="15"/>
  <c r="J16" i="67"/>
  <c r="J25" i="67"/>
  <c r="D35" i="9"/>
  <c r="D34" i="9"/>
  <c r="C71" i="67"/>
  <c r="C40" i="78"/>
  <c r="Q69" i="78"/>
  <c r="Q68" i="78"/>
  <c r="Q69" i="67"/>
  <c r="Q68" i="67"/>
  <c r="C40" i="67"/>
  <c r="C71" i="15"/>
  <c r="C40" i="15"/>
  <c r="C46" i="15"/>
  <c r="Q69" i="15"/>
  <c r="Q68" i="15"/>
  <c r="C80" i="78"/>
  <c r="C79" i="78"/>
  <c r="C46" i="78"/>
  <c r="C71" i="78"/>
  <c r="C80" i="15"/>
  <c r="C79" i="15"/>
  <c r="C35" i="9"/>
  <c r="F118" i="9"/>
  <c r="C80" i="67"/>
  <c r="C79" i="67"/>
  <c r="L51" i="78"/>
  <c r="L51" i="15"/>
  <c r="L51" i="67"/>
  <c r="Q67" i="67"/>
  <c r="L57" i="67"/>
  <c r="L60" i="67"/>
  <c r="Q67" i="15"/>
  <c r="Q67" i="78"/>
  <c r="Q65" i="67"/>
  <c r="C43" i="67"/>
  <c r="Q47" i="67"/>
  <c r="Q53" i="67"/>
  <c r="D2" i="67"/>
  <c r="Q56" i="67"/>
  <c r="C83" i="67"/>
  <c r="C82" i="67"/>
  <c r="I118" i="9"/>
  <c r="D14" i="74"/>
  <c r="H119" i="9"/>
  <c r="H5" i="52"/>
  <c r="H4" i="52"/>
  <c r="C104" i="9"/>
  <c r="Q65" i="15"/>
  <c r="Q75" i="15"/>
  <c r="B2" i="15"/>
  <c r="B3" i="15"/>
  <c r="Q47" i="15"/>
  <c r="Q53" i="15"/>
  <c r="Q56" i="15"/>
  <c r="Q62" i="15"/>
  <c r="C43" i="15"/>
  <c r="C83" i="15"/>
  <c r="C82" i="15"/>
  <c r="C34" i="9"/>
  <c r="D118" i="9"/>
  <c r="Q47" i="78"/>
  <c r="Q53" i="78"/>
  <c r="B2" i="78"/>
  <c r="B3" i="78"/>
  <c r="Q56" i="78"/>
  <c r="Q62" i="78"/>
  <c r="C43" i="78"/>
  <c r="Q65" i="78"/>
  <c r="Q75" i="78"/>
  <c r="C83" i="78"/>
  <c r="C82" i="78"/>
  <c r="F119" i="9"/>
  <c r="F5" i="52"/>
  <c r="B53" i="72"/>
  <c r="G118" i="9"/>
  <c r="G4" i="52"/>
  <c r="B52" i="72"/>
  <c r="F4" i="52"/>
  <c r="B51" i="72"/>
  <c r="C45" i="67"/>
  <c r="C46" i="67"/>
  <c r="B2" i="67"/>
  <c r="B3" i="67"/>
  <c r="D4" i="52"/>
  <c r="B47" i="72"/>
  <c r="D119" i="9"/>
  <c r="D5" i="52"/>
  <c r="B49" i="72"/>
  <c r="E14" i="74"/>
  <c r="B5" i="74"/>
  <c r="F14" i="74"/>
  <c r="Q66" i="67"/>
  <c r="Q75" i="67"/>
  <c r="M48" i="9"/>
  <c r="D5" i="53"/>
  <c r="E118" i="9"/>
  <c r="E4" i="52"/>
  <c r="B48" i="72"/>
  <c r="H102" i="9"/>
  <c r="D7" i="53"/>
  <c r="B21" i="72"/>
  <c r="I4" i="52"/>
  <c r="C105" i="9"/>
  <c r="Q57" i="67"/>
  <c r="Q62" i="67"/>
  <c r="D5" i="74"/>
  <c r="C5" i="74"/>
  <c r="D6" i="53"/>
  <c r="B22" i="72"/>
  <c r="B20" i="72"/>
  <c r="D122" i="9"/>
  <c r="H108" i="9"/>
  <c r="D15" i="53"/>
  <c r="B31" i="72"/>
  <c r="D13" i="53"/>
  <c r="C78" i="9"/>
  <c r="C73" i="9"/>
  <c r="D52" i="9"/>
  <c r="C72" i="9"/>
  <c r="C79" i="9"/>
  <c r="C64" i="9"/>
  <c r="C63" i="9"/>
  <c r="C67" i="9"/>
  <c r="C68" i="9"/>
  <c r="D54" i="9"/>
  <c r="C80" i="9"/>
  <c r="E80" i="9"/>
  <c r="E81" i="9"/>
  <c r="C81" i="9"/>
  <c r="D8" i="52"/>
  <c r="G14" i="74"/>
  <c r="B6" i="74"/>
  <c r="D123" i="9"/>
  <c r="D9" i="52"/>
  <c r="D14" i="53"/>
  <c r="B32" i="72"/>
  <c r="B30" i="72"/>
  <c r="L65" i="9"/>
  <c r="M65" i="9"/>
  <c r="L67" i="9"/>
  <c r="M67" i="9"/>
  <c r="L63" i="9"/>
  <c r="M63" i="9"/>
  <c r="L68" i="9"/>
  <c r="M68" i="9"/>
  <c r="L64" i="9"/>
  <c r="M64" i="9"/>
  <c r="L66" i="9"/>
  <c r="M66" i="9"/>
  <c r="E96" i="9"/>
  <c r="E97" i="9"/>
  <c r="M69" i="9"/>
  <c r="N69" i="9"/>
  <c r="D6" i="74"/>
  <c r="C6" i="74"/>
  <c r="P57"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L6" authorId="0">
      <text>
        <r>
          <rPr>
            <b/>
            <sz val="9"/>
            <color indexed="81"/>
            <rFont val="宋体"/>
            <family val="3"/>
            <charset val="134"/>
          </rPr>
          <t>USER:</t>
        </r>
        <r>
          <rPr>
            <sz val="9"/>
            <color indexed="81"/>
            <rFont val="宋体"/>
            <family val="3"/>
            <charset val="134"/>
          </rPr>
          <t xml:space="preserve">
项目整体（容积率整体不超2）</t>
        </r>
      </text>
    </comment>
    <comment ref="L11" authorId="0">
      <text>
        <r>
          <rPr>
            <b/>
            <sz val="9"/>
            <color indexed="81"/>
            <rFont val="宋体"/>
            <family val="3"/>
            <charset val="134"/>
          </rPr>
          <t>USER:</t>
        </r>
        <r>
          <rPr>
            <sz val="9"/>
            <color indexed="81"/>
            <rFont val="宋体"/>
            <family val="3"/>
            <charset val="134"/>
          </rPr>
          <t xml:space="preserve">
B地块抵押范围</t>
        </r>
      </text>
    </comment>
    <comment ref="L21" authorId="0">
      <text>
        <r>
          <rPr>
            <b/>
            <sz val="9"/>
            <color indexed="81"/>
            <rFont val="宋体"/>
            <family val="3"/>
            <charset val="134"/>
          </rPr>
          <t>USER:</t>
        </r>
        <r>
          <rPr>
            <sz val="9"/>
            <color indexed="81"/>
            <rFont val="宋体"/>
            <family val="3"/>
            <charset val="134"/>
          </rPr>
          <t xml:space="preserve">
合同约定</t>
        </r>
      </text>
    </comment>
    <comment ref="N21" authorId="0">
      <text>
        <r>
          <rPr>
            <b/>
            <sz val="9"/>
            <color indexed="81"/>
            <rFont val="宋体"/>
            <family val="3"/>
            <charset val="134"/>
          </rPr>
          <t>USER:</t>
        </r>
        <r>
          <rPr>
            <sz val="9"/>
            <color indexed="81"/>
            <rFont val="宋体"/>
            <family val="3"/>
            <charset val="134"/>
          </rPr>
          <t xml:space="preserve">
土地面积</t>
        </r>
      </text>
    </comment>
    <comment ref="O21" authorId="0">
      <text>
        <r>
          <rPr>
            <b/>
            <sz val="9"/>
            <color indexed="81"/>
            <rFont val="宋体"/>
            <family val="3"/>
            <charset val="134"/>
          </rPr>
          <t>USER:</t>
        </r>
        <r>
          <rPr>
            <sz val="9"/>
            <color indexed="81"/>
            <rFont val="宋体"/>
            <family val="3"/>
            <charset val="134"/>
          </rPr>
          <t xml:space="preserve">
计容规划建筑面积</t>
        </r>
      </text>
    </comment>
  </commentList>
</comments>
</file>

<file path=xl/comments5.xml><?xml version="1.0" encoding="utf-8"?>
<comments xmlns="http://schemas.openxmlformats.org/spreadsheetml/2006/main">
  <authors>
    <author>作者</author>
  </authors>
  <commentList>
    <comment ref="C14" authorId="0">
      <text>
        <r>
          <rPr>
            <b/>
            <sz val="9"/>
            <color indexed="81"/>
            <rFont val="宋体"/>
            <family val="3"/>
            <charset val="134"/>
          </rPr>
          <t>作者:</t>
        </r>
        <r>
          <rPr>
            <sz val="9"/>
            <color indexed="81"/>
            <rFont val="宋体"/>
            <family val="3"/>
            <charset val="134"/>
          </rPr>
          <t xml:space="preserve">
扣除尾气井3400m2，扣3727的超容积率面积</t>
        </r>
      </text>
    </comment>
    <comment ref="J14" authorId="0">
      <text>
        <r>
          <rPr>
            <b/>
            <sz val="9"/>
            <rFont val="宋体"/>
            <family val="3"/>
            <charset val="134"/>
          </rPr>
          <t>作者:</t>
        </r>
        <r>
          <rPr>
            <sz val="9"/>
            <rFont val="宋体"/>
            <family val="3"/>
            <charset val="134"/>
          </rPr>
          <t xml:space="preserve">
用地上建筑面积除以层数得到，下同</t>
        </r>
      </text>
    </comment>
    <comment ref="L14" authorId="0">
      <text>
        <r>
          <rPr>
            <b/>
            <sz val="9"/>
            <color indexed="81"/>
            <rFont val="宋体"/>
            <family val="3"/>
            <charset val="134"/>
          </rPr>
          <t>作者:</t>
        </r>
        <r>
          <rPr>
            <sz val="9"/>
            <color indexed="81"/>
            <rFont val="宋体"/>
            <family val="3"/>
            <charset val="134"/>
          </rPr>
          <t xml:space="preserve">
不含访客车位</t>
        </r>
      </text>
    </comment>
    <comment ref="C15" authorId="0">
      <text>
        <r>
          <rPr>
            <b/>
            <sz val="9"/>
            <color indexed="81"/>
            <rFont val="宋体"/>
            <family val="3"/>
            <charset val="134"/>
          </rPr>
          <t>作者:</t>
        </r>
        <r>
          <rPr>
            <sz val="9"/>
            <color indexed="81"/>
            <rFont val="宋体"/>
            <family val="3"/>
            <charset val="134"/>
          </rPr>
          <t xml:space="preserve">
扣除尾气井300m2</t>
        </r>
      </text>
    </comment>
    <comment ref="C17" authorId="0">
      <text>
        <r>
          <rPr>
            <b/>
            <sz val="9"/>
            <color indexed="81"/>
            <rFont val="宋体"/>
            <family val="3"/>
            <charset val="134"/>
          </rPr>
          <t>作者:</t>
        </r>
        <r>
          <rPr>
            <sz val="9"/>
            <color indexed="81"/>
            <rFont val="宋体"/>
            <family val="3"/>
            <charset val="134"/>
          </rPr>
          <t xml:space="preserve">
扣尾气井150m2</t>
        </r>
      </text>
    </comment>
    <comment ref="C18" authorId="0">
      <text>
        <r>
          <rPr>
            <b/>
            <sz val="9"/>
            <color indexed="81"/>
            <rFont val="宋体"/>
            <family val="3"/>
            <charset val="134"/>
          </rPr>
          <t>作者:</t>
        </r>
        <r>
          <rPr>
            <sz val="9"/>
            <color indexed="81"/>
            <rFont val="宋体"/>
            <family val="3"/>
            <charset val="134"/>
          </rPr>
          <t xml:space="preserve">
扣尾气井100m2</t>
        </r>
      </text>
    </comment>
    <comment ref="G24" authorId="0">
      <text>
        <r>
          <rPr>
            <b/>
            <sz val="9"/>
            <color rgb="FF000000"/>
            <rFont val="宋体"/>
            <family val="3"/>
            <charset val="134"/>
          </rPr>
          <t>作者</t>
        </r>
        <r>
          <rPr>
            <b/>
            <sz val="9"/>
            <color rgb="FF000000"/>
            <rFont val="宋体"/>
            <family val="3"/>
            <charset val="134"/>
          </rPr>
          <t>:</t>
        </r>
        <r>
          <rPr>
            <sz val="9"/>
            <color rgb="FF000000"/>
            <rFont val="宋体"/>
            <family val="3"/>
            <charset val="134"/>
          </rPr>
          <t xml:space="preserve">
</t>
        </r>
        <r>
          <rPr>
            <sz val="9"/>
            <color rgb="FF000000"/>
            <rFont val="宋体"/>
            <family val="3"/>
            <charset val="134"/>
          </rPr>
          <t>修改</t>
        </r>
        <r>
          <rPr>
            <sz val="9"/>
            <color rgb="FF000000"/>
            <rFont val="宋体"/>
            <family val="3"/>
            <charset val="134"/>
          </rPr>
          <t>C</t>
        </r>
        <r>
          <rPr>
            <sz val="9"/>
            <color rgb="FF000000"/>
            <rFont val="宋体"/>
            <family val="3"/>
            <charset val="134"/>
          </rPr>
          <t>地块的地库面积</t>
        </r>
        <r>
          <rPr>
            <sz val="9"/>
            <color rgb="FF000000"/>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sharedStrings.xml><?xml version="1.0" encoding="utf-8"?>
<sst xmlns="http://schemas.openxmlformats.org/spreadsheetml/2006/main" count="9878" uniqueCount="3981">
  <si>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</si>
  <si>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</si>
  <si>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</si>
  <si>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</si>
  <si>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</si>
  <si>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</si>
  <si>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</si>
  <si>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</si>
  <si>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</si>
  <si>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</si>
  <si>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</si>
  <si>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</si>
  <si>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</si>
  <si>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</si>
  <si>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</si>
  <si>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</si>
  <si>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</si>
  <si>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</si>
  <si>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</si>
  <si>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</si>
  <si>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</si>
  <si>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</si>
  <si>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</si>
  <si>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</si>
  <si>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</si>
  <si>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</si>
  <si>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</si>
  <si>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</si>
  <si>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</si>
  <si>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</si>
  <si>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</si>
  <si>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</si>
  <si>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</si>
  <si>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</si>
  <si>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</si>
  <si>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</si>
  <si>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</si>
  <si>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</si>
  <si>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</si>
  <si>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</si>
  <si>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</si>
  <si>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</si>
  <si>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</si>
  <si>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</si>
  <si>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</si>
  <si>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</si>
  <si>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</si>
  <si>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</si>
  <si>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</si>
  <si>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</si>
  <si>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</si>
  <si>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</si>
  <si>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</si>
  <si>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</si>
  <si>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</si>
  <si>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</si>
  <si>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</si>
  <si>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</si>
  <si>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</si>
  <si>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</si>
  <si>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</si>
  <si>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</si>
  <si>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</si>
  <si>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</si>
  <si>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</si>
  <si>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</si>
  <si>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</si>
  <si>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</si>
  <si>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</si>
  <si>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</si>
  <si>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</si>
  <si>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</si>
  <si>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</si>
  <si>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</si>
  <si>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</si>
  <si>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</si>
  <si>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</si>
  <si>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</si>
  <si>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</si>
  <si>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</si>
  <si>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</si>
  <si>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</si>
  <si>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</si>
  <si>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</si>
  <si>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</si>
  <si>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</si>
  <si>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</si>
  <si>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</si>
  <si>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</si>
  <si>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</si>
  <si>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</si>
  <si>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</si>
  <si>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</si>
  <si>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</si>
  <si>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</si>
  <si>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</si>
  <si>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</si>
  <si>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</si>
  <si>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</si>
  <si>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</si>
  <si>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</si>
  <si>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</si>
  <si>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</si>
  <si>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</si>
  <si>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</si>
  <si>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</si>
  <si>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</si>
  <si>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</si>
  <si>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</si>
  <si>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</si>
  <si>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</si>
  <si>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</si>
  <si>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</si>
  <si>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</si>
  <si>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</si>
  <si>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</si>
  <si>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</si>
  <si>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</si>
  <si>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</si>
  <si>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</si>
  <si>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</si>
  <si>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</si>
  <si>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</si>
  <si>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</si>
  <si>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</si>
  <si>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</si>
  <si>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</si>
  <si>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</si>
  <si>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</si>
  <si>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</si>
  <si>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</si>
  <si>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</si>
  <si>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</si>
  <si>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</si>
  <si>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</si>
  <si>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</si>
  <si>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</si>
  <si>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</si>
  <si>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</si>
  <si>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</si>
  <si>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</si>
  <si>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</si>
  <si>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</si>
  <si>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</si>
  <si>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</si>
  <si>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</si>
  <si>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</si>
  <si>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</si>
  <si>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</si>
  <si>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</si>
  <si>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</si>
  <si>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</si>
  <si>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</si>
  <si>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</si>
  <si>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</si>
  <si>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</si>
  <si>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</si>
  <si>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</si>
  <si>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</si>
  <si>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</si>
  <si>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</si>
  <si>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</si>
  <si>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</si>
  <si>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</si>
  <si>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</si>
  <si>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</si>
  <si>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</si>
  <si>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</si>
  <si>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</si>
  <si>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</si>
  <si>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</si>
  <si>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</si>
  <si>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</si>
  <si>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</si>
  <si>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</si>
  <si>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</si>
  <si>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</si>
  <si>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</si>
  <si>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</si>
  <si>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</si>
  <si>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</si>
  <si>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</si>
  <si>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</si>
  <si>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</si>
  <si>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</si>
  <si>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</si>
  <si>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</si>
  <si>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</si>
  <si>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</si>
  <si>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</si>
  <si>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</si>
  <si>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</si>
  <si>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</si>
  <si>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</si>
  <si>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</si>
  <si>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</si>
  <si>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</si>
  <si>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</si>
  <si>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</si>
  <si>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</si>
  <si>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</si>
  <si>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</si>
  <si>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</si>
  <si>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</si>
  <si>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</si>
  <si>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</si>
  <si>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</si>
  <si>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</si>
  <si>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</si>
  <si>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</si>
  <si>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</si>
  <si>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</si>
  <si>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</si>
  <si>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</si>
  <si>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</si>
  <si>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</si>
  <si>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</si>
  <si>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</si>
  <si>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</si>
  <si>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</si>
  <si>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</si>
  <si>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</si>
  <si>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</si>
  <si>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</si>
  <si>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</si>
  <si>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</si>
  <si>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</si>
  <si>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</si>
  <si>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</si>
  <si>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</si>
  <si>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</si>
  <si>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</si>
  <si>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</si>
  <si>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</si>
  <si>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</si>
  <si>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</si>
  <si>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</si>
  <si>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</si>
  <si>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</si>
  <si>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</si>
  <si>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</si>
  <si>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</si>
  <si>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</si>
  <si>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</si>
  <si>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</si>
  <si>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</si>
  <si>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</si>
  <si>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</si>
  <si>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</si>
  <si>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</si>
  <si>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</si>
  <si>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</si>
  <si>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</si>
  <si>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</si>
  <si>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</si>
  <si>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</si>
  <si>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</si>
  <si>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</si>
  <si>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</si>
  <si>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</si>
  <si>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</si>
  <si>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</si>
  <si>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</si>
  <si>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</si>
  <si>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</si>
  <si>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</si>
  <si>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</si>
  <si>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</si>
  <si>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</si>
  <si>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</si>
  <si>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</si>
  <si>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</si>
  <si>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</si>
  <si>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</si>
  <si>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</si>
  <si>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</si>
  <si>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</si>
  <si>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</si>
  <si>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</si>
  <si>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</si>
  <si>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</si>
  <si>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</si>
  <si>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</si>
  <si>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</si>
  <si>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</si>
  <si>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</si>
  <si>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</si>
  <si>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</si>
  <si>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</si>
  <si>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</si>
  <si>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</si>
  <si>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</si>
  <si>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</si>
  <si>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</si>
  <si>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</si>
  <si>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</si>
  <si>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</si>
  <si>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</si>
  <si>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</si>
  <si>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</si>
  <si>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</si>
  <si>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</si>
  <si>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</si>
  <si>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</si>
  <si>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</si>
  <si>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</si>
  <si>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</si>
  <si>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</si>
  <si>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</si>
  <si>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</si>
  <si>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</si>
  <si>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</si>
  <si>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</si>
  <si>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</si>
  <si>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</si>
  <si>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</si>
  <si>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</si>
  <si>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</si>
  <si>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</si>
  <si>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</si>
  <si>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</si>
  <si>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</si>
  <si>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</si>
  <si>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</si>
  <si>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</si>
  <si>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</si>
  <si>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</si>
  <si>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</si>
  <si>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</si>
  <si>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</si>
  <si>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</si>
  <si>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</si>
  <si>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</si>
  <si>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</si>
  <si>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</si>
  <si>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</si>
  <si>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</si>
  <si>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</si>
  <si>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</si>
  <si>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</si>
  <si>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</si>
  <si>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</si>
  <si>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</si>
  <si>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</si>
  <si>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</si>
  <si>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</si>
  <si>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</si>
  <si>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</si>
  <si>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</si>
  <si>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</si>
  <si>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</si>
  <si>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</si>
  <si>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</si>
  <si>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</si>
  <si>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</si>
  <si>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</si>
  <si>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</si>
  <si>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</si>
  <si>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</si>
  <si>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</si>
  <si>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</si>
  <si>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</si>
  <si>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</si>
  <si>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</si>
  <si>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</si>
  <si>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</si>
  <si>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</si>
  <si>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</si>
  <si>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</si>
  <si>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</si>
  <si>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</si>
  <si>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</si>
  <si>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</si>
  <si>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</si>
  <si>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</si>
  <si>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</si>
  <si>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</si>
  <si>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</si>
  <si>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</si>
  <si>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</si>
  <si>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</si>
  <si>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</si>
  <si>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</si>
  <si>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</si>
  <si>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</si>
  <si>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</si>
  <si>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</si>
  <si>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</si>
  <si>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</si>
  <si>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</si>
  <si>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</si>
  <si>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</si>
  <si>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</si>
  <si>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</si>
  <si>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</si>
  <si>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</si>
  <si>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</si>
  <si>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</si>
  <si>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</si>
  <si>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</si>
  <si>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</si>
  <si>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</si>
  <si>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</si>
  <si>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</si>
  <si>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</si>
  <si>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</si>
  <si>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</si>
  <si>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</si>
  <si>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</si>
  <si>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</si>
  <si>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</si>
  <si>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</si>
  <si>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</si>
  <si>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</si>
  <si>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</si>
  <si>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</si>
  <si>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</si>
  <si>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</si>
  <si>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</si>
  <si>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</si>
  <si>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</si>
  <si>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</si>
  <si>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</si>
  <si>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</si>
  <si>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</si>
  <si>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</si>
  <si>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</si>
  <si>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</si>
  <si>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</si>
  <si>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</si>
  <si>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</si>
  <si>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</si>
  <si>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</si>
  <si>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</si>
  <si>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</si>
  <si>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</si>
  <si>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</si>
  <si>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</si>
  <si>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</si>
  <si>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</si>
  <si>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</si>
  <si>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</si>
  <si>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</si>
  <si>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</si>
  <si>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</si>
  <si>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</si>
  <si>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</si>
  <si>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</si>
  <si>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</si>
  <si>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</si>
  <si>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</si>
  <si>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</si>
  <si>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</si>
  <si>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</si>
  <si>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</si>
  <si>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</si>
  <si>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</si>
  <si>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</si>
  <si>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</si>
  <si>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</si>
  <si>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</si>
  <si>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</si>
  <si>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</si>
  <si>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</si>
  <si>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</si>
  <si>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</si>
  <si>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</si>
  <si>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</si>
  <si>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</si>
  <si>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</si>
  <si>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</si>
  <si>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</si>
  <si>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</si>
  <si>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</si>
  <si>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</si>
  <si>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</si>
  <si>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</si>
  <si>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</si>
  <si>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</si>
  <si>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</si>
  <si>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</si>
  <si>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</si>
  <si>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</si>
  <si>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</si>
  <si>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</si>
  <si>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</si>
  <si>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</si>
  <si>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</si>
  <si>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</si>
  <si>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</si>
  <si>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</si>
  <si>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</si>
  <si>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</si>
  <si>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</si>
  <si>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</si>
  <si>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</si>
  <si>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</si>
  <si>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</si>
  <si>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</si>
  <si>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</si>
  <si>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</si>
  <si>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</si>
  <si>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</si>
  <si>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</si>
  <si>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</si>
  <si>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</si>
  <si>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</si>
  <si>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</si>
  <si>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</si>
  <si>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</si>
  <si>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</si>
  <si>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</si>
  <si>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</si>
  <si>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</si>
  <si>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</si>
  <si>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</si>
  <si>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</si>
  <si>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</si>
  <si>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</si>
  <si>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</si>
  <si>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</si>
  <si>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</si>
  <si>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</si>
  <si>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</si>
  <si>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</si>
  <si>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</si>
  <si>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</si>
  <si>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</si>
  <si>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</si>
  <si>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</si>
  <si>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</si>
  <si>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</si>
  <si>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</si>
  <si>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</si>
  <si>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</si>
  <si>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</si>
  <si>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</si>
  <si>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</si>
  <si>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</si>
  <si>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</si>
  <si>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</si>
  <si>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</si>
  <si>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</si>
  <si>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</si>
  <si>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</si>
  <si>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</si>
  <si>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</si>
  <si>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</si>
  <si>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</si>
  <si>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</si>
  <si>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</si>
  <si>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</si>
  <si>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</si>
  <si>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</si>
  <si>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</si>
  <si>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</si>
  <si>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</si>
  <si>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</si>
  <si>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</si>
  <si>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</si>
  <si>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</si>
  <si>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</si>
  <si>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</si>
  <si>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</si>
  <si>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</si>
  <si>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</si>
  <si>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</si>
  <si>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</si>
  <si>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</si>
  <si>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</si>
  <si>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</si>
  <si>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</si>
  <si>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</si>
  <si>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</si>
  <si>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</si>
  <si>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</si>
  <si>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</si>
  <si>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</si>
  <si>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</si>
  <si>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</si>
  <si>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</si>
  <si>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</si>
  <si>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</si>
  <si>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</si>
  <si>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</si>
  <si>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</si>
  <si>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</si>
  <si>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</si>
  <si>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</si>
  <si>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</si>
  <si>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</si>
  <si>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</si>
  <si>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</si>
  <si>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</si>
  <si>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</si>
  <si>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</si>
  <si>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</si>
  <si>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</si>
  <si>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</si>
  <si>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</si>
  <si>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</si>
  <si>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</si>
  <si>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</si>
  <si>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</si>
  <si>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</si>
  <si>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</si>
  <si>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</si>
  <si>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</si>
  <si>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</si>
  <si>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</si>
  <si>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</si>
  <si>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</si>
  <si>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</si>
  <si>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</si>
  <si>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</si>
  <si>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</si>
  <si>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</si>
  <si>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</si>
  <si>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</si>
  <si>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</si>
  <si>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</si>
  <si>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</si>
  <si>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</si>
  <si>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</si>
  <si>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</si>
  <si>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</si>
  <si>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</si>
  <si>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</si>
  <si>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</si>
  <si>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</si>
  <si>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</si>
  <si>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</si>
  <si>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</si>
  <si>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</si>
  <si>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</si>
  <si>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</si>
  <si>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</si>
  <si>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</si>
  <si>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</si>
  <si>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</si>
  <si>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</si>
  <si>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</si>
  <si>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</si>
  <si>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</si>
  <si>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</si>
  <si>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</si>
  <si>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</si>
  <si>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</si>
  <si>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</si>
  <si>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</si>
  <si>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</si>
  <si>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</si>
  <si>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</si>
  <si>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</si>
  <si>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</si>
  <si>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</si>
  <si>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</si>
  <si>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</si>
  <si>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</si>
  <si>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</si>
  <si>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</si>
  <si>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</si>
  <si>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</si>
  <si>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</si>
  <si>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</si>
  <si>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</si>
  <si>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</si>
  <si>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</si>
  <si>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</si>
  <si>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</si>
  <si>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</si>
  <si>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</si>
  <si>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</si>
  <si>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</si>
  <si>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</si>
  <si>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</si>
  <si>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</si>
  <si>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</si>
  <si>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</si>
  <si>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</si>
  <si>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</si>
  <si>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</si>
  <si>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</si>
  <si>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</si>
  <si>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</si>
  <si>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</si>
  <si>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</si>
  <si>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</si>
  <si>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</si>
  <si>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</si>
  <si>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</si>
  <si>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</si>
  <si>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</si>
  <si>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</si>
  <si>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</si>
  <si>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</si>
  <si>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</si>
  <si>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</si>
  <si>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</si>
  <si>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</si>
  <si>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</si>
  <si>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</si>
  <si>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</si>
  <si>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</si>
  <si>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</si>
  <si>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</si>
  <si>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</si>
  <si>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</si>
  <si>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</si>
  <si>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</si>
  <si>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</si>
  <si>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</si>
  <si>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</si>
  <si>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</si>
  <si>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</si>
  <si>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</si>
  <si>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</si>
  <si>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</si>
  <si>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</si>
  <si>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</si>
  <si>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</si>
  <si>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</si>
  <si>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</si>
  <si>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</si>
  <si>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</si>
  <si>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</si>
  <si>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</si>
  <si>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</si>
  <si>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</si>
  <si>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</si>
  <si>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</si>
  <si>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</si>
  <si>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</si>
  <si>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</si>
  <si>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</si>
  <si>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</si>
  <si>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</si>
  <si>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</si>
  <si>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</si>
  <si>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</si>
  <si>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</si>
  <si>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</si>
  <si>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</si>
  <si>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</si>
  <si>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</si>
  <si>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</si>
  <si>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</si>
  <si>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</si>
  <si>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</si>
  <si>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</si>
  <si>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</si>
  <si>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</si>
  <si>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</si>
  <si>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</si>
  <si>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</si>
  <si>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</si>
  <si>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</si>
  <si>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</si>
  <si>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</si>
  <si>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</si>
  <si>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</si>
  <si>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</si>
  <si>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</si>
  <si>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</si>
  <si>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</si>
  <si>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</si>
  <si>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</si>
  <si>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</si>
  <si>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</si>
  <si>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</si>
  <si>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</si>
  <si>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</si>
  <si>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</si>
  <si>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</si>
  <si>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</si>
  <si>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</si>
  <si>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</si>
  <si>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</si>
  <si>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</si>
  <si>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</si>
  <si>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</si>
  <si>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</si>
  <si>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</si>
  <si>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</si>
  <si>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</si>
  <si>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</si>
  <si>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</si>
  <si>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</si>
  <si>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</si>
  <si>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</si>
  <si>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</si>
  <si>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</si>
  <si>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</si>
  <si>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</si>
  <si>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</si>
  <si>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</si>
  <si>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</si>
  <si>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</si>
  <si>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</si>
  <si>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</si>
  <si>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</si>
  <si>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</si>
  <si>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</si>
  <si>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</si>
  <si>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</si>
  <si>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</si>
  <si>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</si>
  <si>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</si>
  <si>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</si>
  <si>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</si>
  <si>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</si>
  <si>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</si>
  <si>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</si>
  <si>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</si>
  <si>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</si>
  <si>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</si>
  <si>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</si>
  <si>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</si>
  <si>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</si>
  <si>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</si>
  <si>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</si>
  <si>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</si>
  <si>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</si>
  <si>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</si>
  <si>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</si>
  <si>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</si>
  <si>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</si>
  <si>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</si>
  <si>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</si>
  <si>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</si>
  <si>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</si>
  <si>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</si>
  <si>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</si>
  <si>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</si>
  <si>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</si>
  <si>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</si>
  <si>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</si>
  <si>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</si>
  <si>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</si>
  <si>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</si>
  <si>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</si>
  <si>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</si>
  <si>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</si>
  <si>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</si>
  <si>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</si>
  <si>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</si>
  <si>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</si>
  <si>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</si>
  <si>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</si>
  <si>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</si>
  <si>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</si>
  <si>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</si>
  <si>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</si>
  <si>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</si>
  <si>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</si>
  <si>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</si>
  <si>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</si>
  <si>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</si>
  <si>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</si>
  <si>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</si>
  <si>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</si>
  <si>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</si>
  <si>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</si>
  <si>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</si>
  <si>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</si>
  <si>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</si>
  <si>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</si>
  <si>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</si>
  <si>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</si>
  <si>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</si>
  <si>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</si>
  <si>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</si>
  <si>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</si>
  <si>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</si>
  <si>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</si>
  <si>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</si>
  <si>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</si>
  <si>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</si>
  <si>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</si>
  <si>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</si>
  <si>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</si>
  <si>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</si>
  <si>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</si>
  <si>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</si>
  <si>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</si>
  <si>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</si>
  <si>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</si>
  <si>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</si>
  <si>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</si>
  <si>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</si>
  <si>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</si>
  <si>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</si>
  <si>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</si>
  <si>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</si>
  <si>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</si>
  <si>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</si>
  <si>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</si>
  <si>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</si>
  <si>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</si>
  <si>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</si>
  <si>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</si>
  <si>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</si>
  <si>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</si>
  <si>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</si>
  <si>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</si>
  <si>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</si>
  <si>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</si>
  <si>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</si>
  <si>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</si>
  <si>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</si>
  <si>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</si>
  <si>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</si>
  <si>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</si>
  <si>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</si>
  <si>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</si>
  <si>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</si>
  <si>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</si>
  <si>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</si>
  <si>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</si>
  <si>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</si>
  <si>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</si>
  <si>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</si>
  <si>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</si>
  <si>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</si>
  <si>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</si>
  <si>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</si>
  <si>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</si>
  <si>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</si>
  <si>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</si>
  <si>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</si>
  <si>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</si>
  <si>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</si>
  <si>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</si>
  <si>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</si>
  <si>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</si>
  <si>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</si>
  <si>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</si>
  <si>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</si>
  <si>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</si>
  <si>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</si>
  <si>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</si>
  <si>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</si>
  <si>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</si>
  <si>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</si>
  <si>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</si>
  <si>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</si>
  <si>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</si>
  <si>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</si>
  <si>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</si>
  <si>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</si>
  <si>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</si>
  <si>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</si>
  <si>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</si>
  <si>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</si>
  <si>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</si>
  <si>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</si>
  <si>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</si>
  <si>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</si>
  <si>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</si>
  <si>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</si>
  <si>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</si>
  <si>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</si>
  <si>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</si>
  <si>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</si>
  <si>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</si>
  <si>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</si>
  <si>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</si>
  <si>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</si>
  <si>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</si>
  <si>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</si>
  <si>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</si>
  <si>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</si>
  <si>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</si>
  <si>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</si>
  <si>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</si>
  <si>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</si>
  <si>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</si>
  <si>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</si>
  <si>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</si>
  <si>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</si>
  <si>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</si>
  <si>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</si>
  <si>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</si>
  <si>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</si>
  <si>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</si>
  <si>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</si>
  <si>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</si>
  <si>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</si>
  <si>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</si>
  <si>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</si>
  <si>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</si>
  <si>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</si>
  <si>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</si>
  <si>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</si>
  <si>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</si>
  <si>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</si>
  <si>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</si>
  <si>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</si>
  <si>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</si>
  <si>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</si>
  <si>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</si>
  <si>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</si>
  <si>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</si>
  <si>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</si>
  <si>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</si>
  <si>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</si>
  <si>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</si>
  <si>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</si>
  <si>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</si>
  <si>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</si>
  <si>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</si>
  <si>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</si>
  <si>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</si>
  <si>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</si>
  <si>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</si>
  <si>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</si>
  <si>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</si>
  <si>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</si>
  <si>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</si>
  <si>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</si>
  <si>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</si>
  <si>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</si>
  <si>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</si>
  <si>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</si>
  <si>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</si>
  <si>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</si>
  <si>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</si>
  <si>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</si>
  <si>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</si>
  <si>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</si>
  <si>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</si>
  <si>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</si>
  <si>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</si>
  <si>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</si>
  <si>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</si>
  <si>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</si>
  <si>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</si>
  <si>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</si>
  <si>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</si>
  <si>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</si>
  <si>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</si>
  <si>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</si>
  <si>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</si>
  <si>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</si>
  <si>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</si>
  <si>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</si>
  <si>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</si>
  <si>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</si>
  <si>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</si>
  <si>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</si>
  <si>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</si>
  <si>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</si>
  <si>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</si>
  <si>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</si>
  <si>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</si>
  <si>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</si>
  <si>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</si>
  <si>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</si>
  <si>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</si>
  <si>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</si>
  <si>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</si>
  <si>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</si>
  <si>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</si>
  <si>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</si>
  <si>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</si>
  <si>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</si>
  <si>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</si>
  <si>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</si>
  <si>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</si>
  <si>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</si>
  <si>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</si>
  <si>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</si>
  <si>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</si>
  <si>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</si>
  <si>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</si>
  <si>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</si>
  <si>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</si>
  <si>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</si>
  <si>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</si>
  <si>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</si>
  <si>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</si>
  <si>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</si>
  <si>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</si>
  <si>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</si>
  <si>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</si>
  <si>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</si>
  <si>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</si>
  <si>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</si>
  <si>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</si>
  <si>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</si>
  <si>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</si>
  <si>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</si>
  <si>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</si>
  <si>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</si>
  <si>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</si>
  <si>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</si>
  <si>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</si>
  <si>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</si>
  <si>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</si>
  <si>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</si>
  <si>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</si>
  <si>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</si>
  <si>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</si>
  <si>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</si>
  <si>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</si>
  <si>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</si>
  <si>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</si>
  <si>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</si>
  <si>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</si>
  <si>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</si>
  <si>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</si>
  <si>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</si>
  <si>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</si>
  <si>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</si>
  <si>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</si>
  <si>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</si>
  <si>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</si>
  <si>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</si>
  <si>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</si>
  <si>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</si>
  <si>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</si>
  <si>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</si>
  <si>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</si>
  <si>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</si>
  <si>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</si>
  <si>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</si>
  <si>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</si>
  <si>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</si>
  <si>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</si>
  <si>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</si>
  <si>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</si>
  <si>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</si>
  <si>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</si>
  <si>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</si>
  <si>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</si>
  <si>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</si>
  <si>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</si>
  <si>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</si>
  <si>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</si>
  <si>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</si>
  <si>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</si>
  <si>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</si>
  <si>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</si>
  <si>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</si>
  <si>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</si>
  <si>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</si>
  <si>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</si>
  <si>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</si>
  <si>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</si>
  <si>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</si>
  <si>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</si>
  <si>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</si>
  <si>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</si>
  <si>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</si>
  <si>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</si>
  <si>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</si>
  <si>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</si>
  <si>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</si>
  <si>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</si>
  <si>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</si>
  <si>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</si>
  <si>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</si>
  <si>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</si>
  <si>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</si>
  <si>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</si>
  <si>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</si>
  <si>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</si>
  <si>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</si>
  <si>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</si>
  <si>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</si>
  <si>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</si>
  <si>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</si>
  <si>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</si>
  <si>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</si>
  <si>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</si>
  <si>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</si>
  <si>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</si>
  <si>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</si>
  <si>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</si>
  <si>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</si>
  <si>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</si>
  <si>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</si>
  <si>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</si>
  <si>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</si>
  <si>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</si>
  <si>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</si>
  <si>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</si>
  <si>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</si>
  <si>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</si>
  <si>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</si>
  <si>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</si>
  <si>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</si>
  <si>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</si>
  <si>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</si>
  <si>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</si>
  <si>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</si>
  <si>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</si>
  <si>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</si>
  <si>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</si>
  <si>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</si>
  <si>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</si>
  <si>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</si>
  <si>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</si>
  <si>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</si>
  <si>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</si>
  <si>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</si>
  <si>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</si>
  <si>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</si>
  <si>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</si>
  <si>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</si>
  <si>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</si>
  <si>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</si>
  <si>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</si>
  <si>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</si>
  <si>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</si>
  <si>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</si>
  <si>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</si>
  <si>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</si>
  <si>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</si>
  <si>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</si>
  <si>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</si>
  <si>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</si>
  <si>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</si>
  <si>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</si>
  <si>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</si>
  <si>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</si>
  <si>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</si>
  <si>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</si>
  <si>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</si>
  <si>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</si>
  <si>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</si>
  <si>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</si>
  <si>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</si>
  <si>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</si>
  <si>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</si>
  <si>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</si>
  <si>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</si>
  <si>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</si>
  <si>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</si>
  <si>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</si>
  <si>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</si>
  <si>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</si>
  <si>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</si>
  <si>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</si>
  <si>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</si>
  <si>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</si>
  <si>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</si>
  <si>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</si>
  <si>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</si>
  <si>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</si>
  <si>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</si>
  <si>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</si>
  <si>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</si>
  <si>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</si>
  <si>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</si>
  <si>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</si>
  <si>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</si>
  <si>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</si>
  <si>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</si>
  <si>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</si>
  <si>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</si>
  <si>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</si>
  <si>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</si>
  <si>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</si>
  <si>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</si>
  <si>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</si>
  <si>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</si>
  <si>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</si>
  <si>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</si>
  <si>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</si>
  <si>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</si>
  <si>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</si>
  <si>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</si>
  <si>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</si>
  <si>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</si>
  <si>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</si>
  <si>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</si>
  <si>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</si>
  <si>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</si>
  <si>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</si>
  <si>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</si>
  <si>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</si>
  <si>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</si>
  <si>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</si>
  <si>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</si>
  <si>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</si>
  <si>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</si>
  <si>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</si>
  <si>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</si>
  <si>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</si>
  <si>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</si>
  <si>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</si>
  <si>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</si>
  <si>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</si>
  <si>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</si>
  <si>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</si>
  <si>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</si>
  <si>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</si>
  <si>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</si>
  <si>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</si>
  <si>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</si>
  <si>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</si>
  <si>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</si>
  <si>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</si>
  <si>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</si>
  <si>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</si>
  <si>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</si>
  <si>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</si>
  <si>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</si>
  <si>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</si>
  <si>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</si>
  <si>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</si>
  <si>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</si>
  <si>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</si>
  <si>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</si>
  <si>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</si>
  <si>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</si>
  <si>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</si>
  <si>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</si>
  <si>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</si>
  <si>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</si>
  <si>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</si>
  <si>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</si>
  <si>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</si>
  <si>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</si>
  <si>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</si>
  <si>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</si>
  <si>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</si>
  <si>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</si>
  <si>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</si>
  <si>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</si>
  <si>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</si>
  <si>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</si>
  <si>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</si>
  <si>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</si>
  <si>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</si>
  <si>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</si>
  <si>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</si>
  <si>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</si>
  <si>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</si>
  <si>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</si>
  <si>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</si>
  <si>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</si>
  <si>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</si>
  <si>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</si>
  <si>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</si>
  <si>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</si>
  <si>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</si>
  <si>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</si>
  <si>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</si>
  <si>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</si>
  <si>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</si>
  <si>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</si>
  <si>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</si>
  <si>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</si>
  <si>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</si>
  <si>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</si>
  <si>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</si>
  <si>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</si>
  <si>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</si>
  <si>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</si>
  <si>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</si>
  <si>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</si>
  <si>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</si>
  <si>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</si>
  <si>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</si>
  <si>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</si>
  <si>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</si>
  <si>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</si>
  <si>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</si>
  <si>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</si>
  <si>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</si>
  <si>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</si>
  <si>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</si>
  <si>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</si>
  <si>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</si>
  <si>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</si>
  <si>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</si>
  <si>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</si>
  <si>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</si>
  <si>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</si>
  <si>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</si>
  <si>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</si>
  <si>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</si>
  <si>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</si>
  <si>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</si>
  <si>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</si>
  <si>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</si>
  <si>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</si>
  <si>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</si>
  <si>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</si>
  <si>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</si>
  <si>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</si>
  <si>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</si>
  <si>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</si>
  <si>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</si>
  <si>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</si>
  <si>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</si>
  <si>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</si>
  <si>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</si>
  <si>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</si>
  <si>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</si>
  <si>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</si>
  <si>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</si>
  <si>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</si>
  <si>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</si>
  <si>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</si>
  <si>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</si>
  <si>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</si>
  <si>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</si>
  <si>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</si>
  <si>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</si>
  <si>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</si>
  <si>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</si>
  <si>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</si>
  <si>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</si>
  <si>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</si>
  <si>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</si>
  <si>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</si>
  <si>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</si>
  <si>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</si>
  <si>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</si>
  <si>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</si>
  <si>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</si>
  <si>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</si>
  <si>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</si>
  <si>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</si>
  <si>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</si>
  <si>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</si>
  <si>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</si>
  <si>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</si>
  <si>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</si>
  <si>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</si>
  <si>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</si>
  <si>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</si>
  <si>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</si>
  <si>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</si>
  <si>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</si>
  <si>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</si>
  <si>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</si>
  <si>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</si>
  <si>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</si>
  <si>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</si>
  <si>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</si>
  <si>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</si>
  <si>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</si>
  <si>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</si>
  <si>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</si>
  <si>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</si>
  <si>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</si>
  <si>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</si>
  <si>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</si>
  <si>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</si>
  <si>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</si>
  <si>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</si>
  <si>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</si>
  <si>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</si>
  <si>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</si>
  <si>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</si>
  <si>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</si>
  <si>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</si>
  <si>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</si>
  <si>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</si>
  <si>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</si>
  <si>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</si>
  <si>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</si>
  <si>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</si>
  <si>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</si>
  <si>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</si>
  <si>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</si>
  <si>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</si>
  <si>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</si>
  <si>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</si>
  <si>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</si>
  <si>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</si>
  <si>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</si>
  <si>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</si>
  <si>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</si>
  <si>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</si>
  <si>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</si>
  <si>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</si>
  <si>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</si>
  <si>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</si>
  <si>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</si>
  <si>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</si>
  <si>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</si>
  <si>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</si>
  <si>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</si>
  <si>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</si>
  <si>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</si>
  <si>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</si>
  <si>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</si>
  <si>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</si>
  <si>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</si>
  <si>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</si>
  <si>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</si>
  <si>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</si>
  <si>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</si>
  <si>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</si>
  <si>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</si>
  <si>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</si>
  <si>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</si>
  <si>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</si>
  <si>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</si>
  <si>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</si>
  <si>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</si>
  <si>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</si>
  <si>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</si>
  <si>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</si>
  <si>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</si>
  <si>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</si>
  <si>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</si>
  <si>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</si>
  <si>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</si>
  <si>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</si>
  <si>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</si>
  <si>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</si>
  <si>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</si>
  <si>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</si>
  <si>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</si>
  <si>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</si>
  <si>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</si>
  <si>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</si>
  <si>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</si>
  <si>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</si>
  <si>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</si>
  <si>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</si>
  <si>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</si>
  <si>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</si>
  <si>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</si>
  <si>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</si>
  <si>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</si>
  <si>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</si>
  <si>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</si>
  <si>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</si>
  <si>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</si>
  <si>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</si>
  <si>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</si>
  <si>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</si>
  <si>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</si>
  <si>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</si>
  <si>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</si>
  <si>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</si>
  <si>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</si>
  <si>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</si>
  <si>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</si>
  <si>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</si>
  <si>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</si>
  <si>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</si>
  <si>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</si>
  <si>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</si>
  <si>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</si>
  <si>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</si>
  <si>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</si>
  <si>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</si>
  <si>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</si>
  <si>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</si>
  <si>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</si>
  <si>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</si>
  <si>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</si>
  <si>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</si>
  <si>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</si>
  <si>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</si>
  <si>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</si>
  <si>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</si>
  <si>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</si>
  <si>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</si>
  <si>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</si>
  <si>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</si>
  <si>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</si>
  <si>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</si>
  <si>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</si>
  <si>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</si>
  <si>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</si>
  <si>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</si>
  <si>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</si>
  <si>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</si>
  <si>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</si>
  <si>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</si>
  <si>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</si>
  <si>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</si>
  <si>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</si>
  <si>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</si>
  <si>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</si>
  <si>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</si>
  <si>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</si>
  <si>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</si>
  <si>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</si>
  <si>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</si>
  <si>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</si>
  <si>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</si>
  <si>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</si>
  <si>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</si>
  <si>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</si>
  <si>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</si>
  <si>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</si>
  <si>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</si>
  <si>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</si>
  <si>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</si>
  <si>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</si>
  <si>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</si>
  <si>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</si>
  <si>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</si>
  <si>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</si>
  <si>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</si>
  <si>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</si>
  <si>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</si>
  <si>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</si>
  <si>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</si>
  <si>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</si>
  <si>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</si>
  <si>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</si>
  <si>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</si>
  <si>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</si>
  <si>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</si>
  <si>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</si>
  <si>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</si>
  <si>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</si>
  <si>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</si>
  <si>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</si>
  <si>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</si>
  <si>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</si>
  <si>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</si>
  <si>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</si>
  <si>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</si>
  <si>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</si>
  <si>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</si>
  <si>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</si>
  <si>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</si>
  <si>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</si>
  <si>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</si>
  <si>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</si>
  <si>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</si>
  <si>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</si>
  <si>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</si>
  <si>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</si>
  <si>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</si>
  <si>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</si>
  <si>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</si>
  <si>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</si>
  <si>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</si>
  <si>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</si>
  <si>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</si>
  <si>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</si>
  <si>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</si>
  <si>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</si>
  <si>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</si>
  <si>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</si>
  <si>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</si>
  <si>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</si>
  <si>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</si>
  <si>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</si>
  <si>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</si>
  <si>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</si>
  <si>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</si>
  <si>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</si>
  <si>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</si>
  <si>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</si>
  <si>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</si>
  <si>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</si>
  <si>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</si>
  <si>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</si>
  <si>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</si>
  <si>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</si>
  <si>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</si>
  <si>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</si>
  <si>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</si>
  <si>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</si>
  <si>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</si>
  <si>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</si>
  <si>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</si>
  <si>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</si>
  <si>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</si>
  <si>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</si>
  <si>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</si>
  <si>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</si>
  <si>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</si>
  <si>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</si>
  <si>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</si>
  <si>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</si>
  <si>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</si>
  <si>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</si>
  <si>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</si>
  <si>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</si>
  <si>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</si>
  <si>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</si>
  <si>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</si>
  <si>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</si>
  <si>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</si>
  <si>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</si>
  <si>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</si>
  <si>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</si>
  <si>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</si>
  <si>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</si>
  <si>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</si>
  <si>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</si>
  <si>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</si>
  <si>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</si>
  <si>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</si>
  <si>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</si>
  <si>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</si>
  <si>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</si>
  <si>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</si>
  <si>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</si>
  <si>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</si>
  <si>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</si>
  <si>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</si>
  <si>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</si>
  <si>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</si>
  <si>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</si>
  <si>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</si>
  <si>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</si>
  <si>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</si>
  <si>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</si>
  <si>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</si>
  <si>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</si>
  <si>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</si>
  <si>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</si>
  <si>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</si>
  <si>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</si>
  <si>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</si>
  <si>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</si>
  <si>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</si>
  <si>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</si>
  <si>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</si>
  <si>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</si>
  <si>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</si>
  <si>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</si>
  <si>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</si>
  <si>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</si>
  <si>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</si>
  <si>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</si>
  <si>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</si>
  <si>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</si>
  <si>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</si>
  <si>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</si>
  <si>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</si>
  <si>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</si>
  <si>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</si>
  <si>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</si>
  <si>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</si>
  <si>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</si>
  <si>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</si>
  <si>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</si>
  <si>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</si>
  <si>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</si>
  <si>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</si>
  <si>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</si>
  <si>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</si>
  <si>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</si>
  <si>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</si>
  <si>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</si>
  <si>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</si>
  <si>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</si>
  <si>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</si>
  <si>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</si>
  <si>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</si>
  <si>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</si>
  <si>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</si>
  <si>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</si>
  <si>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</si>
  <si>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</si>
  <si>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</si>
  <si>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</si>
  <si>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</si>
  <si>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</si>
  <si>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</si>
  <si>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</si>
  <si>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</si>
  <si>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</si>
  <si>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</si>
  <si>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</si>
  <si>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</si>
  <si>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</si>
  <si>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</si>
  <si>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</si>
  <si>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</si>
  <si>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</si>
  <si>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</si>
  <si>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</si>
  <si>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</si>
  <si>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</si>
  <si>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</si>
  <si>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</si>
  <si>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</si>
  <si>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</si>
  <si>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</si>
  <si>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</si>
  <si>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</si>
  <si>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</si>
  <si>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</si>
  <si>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</si>
  <si>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</si>
  <si>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</si>
  <si>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</si>
  <si>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</si>
  <si>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</si>
  <si>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</si>
  <si>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</si>
  <si>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</si>
  <si>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</si>
  <si>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</si>
  <si>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</si>
  <si>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</si>
  <si>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</si>
  <si>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</si>
  <si>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</si>
  <si>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</si>
  <si>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</si>
  <si>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</si>
  <si>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</si>
  <si>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</si>
  <si>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</si>
  <si>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</si>
  <si>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</si>
  <si>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</si>
  <si>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</si>
  <si>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</si>
  <si>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</si>
  <si>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</si>
  <si>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</si>
  <si>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</si>
  <si>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</si>
  <si>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</si>
  <si>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</si>
  <si>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</si>
  <si>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</si>
  <si>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</si>
  <si>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</si>
  <si>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</si>
  <si>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</si>
  <si>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</si>
  <si>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</si>
  <si>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</si>
  <si>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</si>
  <si>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</si>
  <si>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</si>
  <si>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</si>
  <si>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</si>
  <si>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</si>
  <si>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</si>
  <si>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</si>
  <si>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</si>
  <si>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</si>
  <si>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</si>
  <si>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</si>
  <si>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</si>
  <si>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</si>
  <si>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</si>
  <si>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</si>
  <si>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</si>
  <si>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</si>
  <si>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</si>
  <si>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</si>
  <si>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</si>
  <si>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</si>
  <si>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</si>
  <si>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</si>
  <si>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</si>
  <si>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</si>
  <si>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</si>
  <si>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</si>
  <si>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</si>
  <si>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</si>
  <si>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</si>
  <si>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</si>
  <si>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</si>
  <si>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</si>
  <si>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</si>
  <si>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</si>
  <si>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</si>
  <si>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</si>
  <si>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</si>
  <si>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</si>
  <si>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</si>
  <si>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</si>
  <si>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</si>
  <si>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</si>
  <si>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</si>
  <si>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</si>
  <si>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</si>
  <si>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</si>
  <si>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</si>
  <si>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</si>
  <si>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</si>
  <si>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</si>
  <si>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</si>
  <si>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</si>
  <si>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</si>
  <si>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</si>
  <si>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</si>
  <si>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</si>
  <si>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</si>
  <si>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</si>
  <si>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</si>
  <si>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</si>
  <si>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</si>
  <si>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</si>
  <si>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</si>
  <si>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</si>
  <si>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</si>
  <si>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</si>
  <si>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</si>
  <si>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</si>
  <si>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</si>
  <si>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</si>
  <si>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</si>
  <si>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</si>
  <si>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</si>
  <si>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</si>
  <si>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</si>
  <si>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</si>
  <si>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</si>
  <si>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</si>
  <si>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</si>
  <si>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</si>
  <si>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</si>
  <si>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</si>
  <si>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</si>
  <si>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</si>
  <si>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</si>
  <si>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</si>
  <si>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</si>
  <si>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</si>
  <si>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</si>
  <si>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</si>
  <si>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</si>
  <si>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</si>
  <si>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</si>
  <si>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</si>
  <si>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</si>
  <si>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</si>
  <si>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</si>
  <si>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</si>
  <si>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</si>
  <si>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</si>
  <si>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</si>
  <si>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</si>
  <si>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</si>
  <si>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</si>
  <si>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</si>
  <si>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</si>
  <si>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</si>
  <si>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</si>
  <si>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</si>
  <si>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</si>
  <si>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</si>
  <si>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</si>
  <si>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</si>
  <si>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</si>
  <si>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</si>
  <si>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</si>
  <si>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</si>
  <si>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</si>
  <si>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</si>
  <si>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</si>
  <si>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</si>
  <si>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</si>
  <si>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</si>
  <si>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</si>
  <si>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</si>
  <si>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</si>
  <si>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</si>
  <si>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</si>
  <si>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</si>
  <si>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</si>
  <si>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</si>
  <si>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</si>
  <si>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</si>
  <si>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</si>
  <si>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</si>
  <si>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</si>
  <si>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</si>
  <si>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</si>
  <si>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</si>
  <si>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</si>
  <si>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</si>
  <si>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</si>
  <si>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</si>
  <si>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</si>
  <si>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</si>
  <si>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</si>
  <si>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</si>
  <si>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</si>
  <si>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</si>
  <si>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</si>
  <si>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</si>
  <si>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</si>
  <si>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</si>
  <si>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</si>
  <si>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</si>
  <si>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</si>
  <si>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</si>
  <si>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</si>
  <si>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</si>
  <si>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</si>
  <si>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</si>
  <si>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</si>
  <si>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</si>
  <si>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</si>
  <si>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</si>
  <si>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</si>
  <si>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</si>
  <si>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</si>
  <si>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</si>
  <si>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</si>
  <si>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</si>
  <si>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</si>
  <si>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</si>
  <si>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</si>
  <si>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</si>
  <si>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</si>
  <si>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</si>
  <si>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</si>
  <si>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</si>
  <si>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</si>
  <si>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</si>
  <si>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</si>
  <si>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</si>
  <si>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</si>
  <si>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</si>
  <si>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</si>
  <si>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</si>
  <si>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</si>
  <si>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</si>
  <si>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</si>
  <si>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</si>
  <si>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</si>
  <si>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</si>
  <si>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</si>
  <si>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</si>
  <si>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</si>
  <si>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</si>
  <si>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</si>
  <si>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</si>
  <si>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</si>
  <si>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</si>
  <si>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</si>
  <si>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</si>
  <si>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</si>
  <si>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</si>
  <si>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</si>
  <si>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</si>
  <si>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</si>
  <si>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</si>
  <si>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</si>
  <si>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</si>
  <si>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</si>
  <si>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</si>
  <si>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</si>
  <si>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</si>
  <si>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</si>
  <si>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</si>
  <si>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</si>
  <si>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</si>
  <si>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</si>
  <si>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</si>
  <si>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</si>
  <si>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</si>
  <si>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</si>
  <si>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</si>
  <si>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</si>
  <si>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</si>
  <si>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</si>
  <si>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</si>
  <si>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</si>
  <si>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</si>
  <si>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</si>
  <si>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</si>
  <si>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</si>
  <si>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</si>
  <si>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</si>
  <si>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</si>
  <si>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</si>
  <si>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</si>
  <si>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</si>
  <si>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</si>
  <si>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</si>
  <si>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</si>
  <si>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</si>
  <si>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</si>
  <si>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</si>
  <si>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</si>
  <si>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</si>
  <si>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</si>
  <si>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</si>
  <si>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</si>
  <si>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</si>
  <si>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</si>
  <si>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</si>
  <si>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</si>
  <si>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</si>
  <si>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</si>
  <si>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</si>
  <si>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</si>
  <si>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</si>
  <si>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</si>
  <si>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</si>
  <si>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</si>
  <si>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</si>
  <si>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</si>
  <si>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</si>
  <si>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</si>
  <si>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</si>
  <si>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</si>
  <si>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</si>
  <si>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</si>
  <si>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</si>
  <si>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</si>
  <si>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</si>
  <si>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</si>
  <si>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</si>
  <si>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</si>
  <si>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</si>
  <si>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</si>
  <si>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</si>
  <si>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</si>
  <si>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</si>
  <si>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</si>
  <si>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</si>
  <si>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</si>
  <si>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</si>
  <si>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</si>
  <si>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</si>
  <si>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</si>
  <si>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</si>
  <si>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</si>
  <si>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</si>
  <si>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</si>
  <si>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</si>
  <si>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</si>
  <si>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</si>
  <si>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</si>
  <si>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</si>
  <si>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</si>
  <si>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</si>
  <si>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</si>
  <si>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</si>
  <si>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</si>
  <si>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</si>
  <si>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</si>
  <si>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</si>
  <si>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</si>
  <si>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</si>
  <si>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</si>
  <si>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</si>
  <si>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</si>
  <si>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</si>
  <si>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</si>
  <si>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</si>
  <si>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</si>
  <si>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</si>
  <si>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</si>
  <si>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</si>
  <si>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</si>
  <si>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</si>
  <si>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</si>
  <si>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</si>
  <si>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</si>
  <si>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</si>
  <si>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</si>
  <si>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</si>
  <si>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</si>
  <si>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</si>
  <si>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</si>
  <si>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</si>
  <si>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</si>
  <si>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</si>
  <si>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</si>
  <si>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</si>
  <si>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</si>
  <si>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</si>
  <si>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</si>
  <si>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</si>
  <si>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</si>
  <si>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</si>
  <si>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</si>
  <si>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</si>
  <si>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</si>
  <si>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</si>
  <si>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</si>
  <si>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</si>
  <si>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</si>
  <si>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</si>
  <si>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</si>
  <si>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</si>
  <si>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</si>
  <si>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</si>
  <si>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</si>
  <si>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</si>
  <si>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</si>
  <si>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</si>
  <si>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</si>
  <si>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</si>
  <si>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</si>
  <si>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</si>
  <si>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</si>
  <si>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</si>
  <si>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</si>
  <si>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</si>
  <si>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</si>
  <si>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</si>
  <si>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</si>
  <si>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</si>
  <si>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</si>
  <si>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</si>
  <si>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</si>
  <si>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</si>
  <si>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</si>
  <si>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</si>
  <si>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</si>
  <si>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</si>
  <si>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</si>
  <si>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</si>
  <si>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</si>
  <si>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</si>
  <si>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</si>
  <si>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</si>
  <si>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</si>
  <si>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</si>
  <si>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</si>
  <si>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</si>
  <si>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</si>
  <si>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</si>
  <si>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</si>
  <si>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</si>
  <si>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</si>
  <si>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</si>
  <si>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</si>
  <si>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</si>
  <si>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</si>
  <si>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</si>
  <si>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</si>
  <si>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</si>
  <si>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</si>
  <si>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</si>
  <si>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</si>
  <si>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</si>
  <si>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</si>
  <si>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</si>
  <si>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</si>
  <si>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</si>
  <si>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</si>
  <si>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</si>
  <si>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</si>
  <si>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</si>
  <si>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</si>
  <si>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</si>
  <si>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</si>
  <si>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</si>
  <si>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</si>
  <si>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</si>
  <si>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</si>
  <si>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</si>
  <si>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</si>
  <si>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</si>
  <si>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</si>
  <si>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</si>
  <si>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</si>
  <si>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</si>
  <si>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</si>
  <si>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</si>
  <si>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</si>
  <si>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</si>
  <si>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</si>
  <si>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</si>
  <si>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</si>
  <si>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</si>
  <si>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</si>
  <si>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</si>
  <si>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</si>
  <si>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</si>
  <si>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</si>
  <si>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</si>
  <si>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</si>
  <si>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</si>
  <si>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</si>
  <si>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</si>
  <si>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</si>
  <si>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</si>
  <si>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</si>
  <si>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</si>
  <si>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</si>
  <si>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</si>
  <si>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</si>
  <si>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</si>
  <si>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</si>
  <si>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</si>
  <si>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</si>
  <si>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</si>
  <si>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</si>
  <si>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</si>
  <si>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</si>
  <si>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</si>
  <si>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</si>
  <si>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</si>
  <si>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</si>
  <si>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</si>
  <si>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</si>
  <si>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</si>
  <si>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</si>
  <si>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</si>
  <si>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</si>
  <si>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</si>
  <si>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</si>
  <si>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</si>
  <si>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</si>
  <si>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</si>
  <si>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</si>
  <si>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</si>
  <si>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</si>
  <si>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</si>
  <si>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</si>
  <si>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</si>
  <si>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</si>
  <si>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</si>
  <si>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</si>
  <si>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</si>
  <si>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</si>
  <si>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</si>
  <si>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</si>
  <si>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</si>
  <si>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</si>
  <si>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</si>
  <si>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</si>
  <si>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</si>
  <si>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</si>
  <si>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</si>
  <si>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</si>
  <si>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</si>
  <si>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</si>
  <si>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</si>
  <si>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</si>
  <si>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</si>
  <si>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</si>
  <si>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</si>
  <si>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</si>
  <si>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</si>
  <si>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</si>
  <si>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</si>
  <si>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</si>
  <si>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</si>
  <si>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</si>
  <si>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</si>
  <si>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</si>
  <si>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</si>
  <si>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</si>
  <si>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</si>
  <si>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</si>
  <si>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</si>
  <si>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</si>
  <si>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</si>
  <si>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</si>
  <si>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</si>
  <si>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</si>
  <si>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</si>
  <si>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</si>
  <si>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</si>
  <si>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</si>
  <si>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</si>
  <si>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</si>
  <si>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</si>
  <si>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</si>
  <si>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</si>
  <si>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</si>
  <si>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</si>
  <si>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</si>
  <si>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</si>
  <si>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</si>
  <si>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</si>
  <si>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</si>
  <si>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</si>
  <si>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</si>
  <si>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</si>
  <si>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</si>
  <si>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</si>
  <si>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</si>
  <si>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</si>
  <si>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</si>
  <si>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</si>
  <si>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</si>
  <si>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</si>
  <si>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</si>
  <si>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</si>
  <si>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</si>
  <si>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</si>
  <si>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</si>
  <si>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</si>
  <si>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</si>
  <si>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</si>
  <si>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</si>
  <si>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</si>
  <si>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</si>
  <si>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</si>
  <si>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</si>
  <si>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</si>
  <si>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</si>
  <si>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</si>
  <si>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</si>
  <si>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</si>
  <si>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</si>
  <si>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</si>
  <si>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</si>
  <si>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</si>
  <si>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</si>
  <si>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</si>
  <si>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</si>
  <si>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</si>
  <si>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</si>
  <si>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</si>
  <si>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</si>
  <si>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</si>
  <si>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</si>
  <si>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</si>
  <si>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</si>
  <si>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</si>
  <si>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</si>
  <si>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</si>
  <si>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</si>
  <si>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</si>
  <si>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</si>
  <si>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</si>
  <si>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</si>
  <si>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</si>
  <si>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</si>
  <si>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</si>
  <si>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</si>
  <si>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</si>
  <si>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</si>
  <si>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</si>
  <si>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</si>
  <si>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</si>
  <si>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</si>
  <si>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</si>
  <si>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</si>
  <si>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</si>
  <si>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</si>
  <si>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</si>
  <si>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</si>
  <si>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</si>
  <si>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</si>
  <si>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</si>
  <si>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</si>
  <si>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</si>
  <si>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</si>
  <si>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</si>
  <si>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</si>
  <si>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</si>
  <si>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</si>
  <si>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</si>
  <si>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</si>
  <si>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</si>
  <si>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</si>
  <si>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</si>
  <si>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</si>
  <si>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</si>
  <si>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</si>
  <si>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</si>
  <si>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</si>
  <si>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</si>
  <si>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</si>
  <si>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</si>
  <si>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</si>
  <si>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</si>
  <si>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</si>
  <si>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</si>
  <si>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</si>
  <si>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</si>
  <si>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</si>
  <si>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</si>
  <si>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</si>
  <si>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</si>
  <si>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</si>
  <si>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</si>
  <si>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</si>
  <si>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</si>
  <si>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</si>
  <si>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</si>
  <si>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</si>
  <si>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</si>
  <si>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</si>
  <si>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</si>
  <si>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</si>
  <si>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</si>
  <si>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</si>
  <si>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</si>
  <si>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</si>
  <si>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</si>
  <si>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</si>
  <si>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</si>
  <si>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</si>
  <si>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</si>
  <si>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</si>
  <si>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</si>
  <si>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</si>
  <si>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</si>
  <si>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</si>
  <si>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</si>
  <si>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</si>
  <si>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</si>
  <si>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</si>
  <si>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</si>
  <si>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</si>
  <si>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</si>
  <si>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</si>
  <si>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</si>
  <si>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</si>
  <si>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</si>
  <si>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</si>
  <si>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</si>
  <si>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</si>
  <si>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</si>
  <si>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</si>
  <si>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</si>
  <si>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</si>
  <si>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</si>
  <si>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</si>
  <si>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</si>
  <si>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</si>
  <si>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</si>
  <si>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</si>
  <si>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</si>
  <si>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</si>
  <si>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</si>
  <si>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</si>
  <si>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</si>
  <si>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</si>
  <si>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</si>
  <si>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</si>
  <si>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</si>
  <si>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</si>
  <si>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</si>
  <si>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</si>
  <si>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</si>
  <si>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</si>
  <si>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</si>
  <si>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</si>
  <si>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</si>
  <si>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</si>
  <si>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</si>
  <si>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</si>
  <si>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</si>
  <si>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</si>
  <si>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</si>
  <si>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</si>
  <si>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</si>
  <si>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</si>
  <si>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</si>
  <si>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</si>
  <si>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</si>
  <si>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</si>
  <si>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</si>
  <si>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</si>
  <si>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</si>
  <si>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</si>
  <si>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</si>
  <si>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</si>
  <si>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</si>
  <si>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</si>
  <si>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</si>
  <si>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</si>
  <si>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</si>
  <si>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</si>
  <si>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</si>
  <si>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</si>
  <si>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</si>
  <si>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</si>
  <si>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</si>
  <si>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</si>
  <si>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</si>
  <si>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</si>
  <si>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</si>
  <si>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</si>
  <si>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</si>
  <si>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</si>
  <si>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</si>
  <si>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</si>
  <si>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</si>
  <si>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</si>
  <si>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</si>
  <si>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</si>
  <si>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</si>
  <si>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</si>
  <si>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</si>
  <si>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</si>
  <si>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</si>
  <si>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</si>
  <si>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</si>
  <si>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</si>
  <si>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</si>
  <si>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</si>
  <si>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</si>
  <si>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</si>
  <si>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</si>
  <si>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</si>
  <si>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</si>
  <si>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</si>
  <si>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</si>
  <si>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</si>
  <si>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</si>
  <si>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</si>
  <si>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</si>
  <si>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</si>
  <si>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</si>
  <si>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</si>
  <si>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</si>
  <si>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</si>
  <si>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</si>
  <si>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</si>
  <si>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</si>
  <si>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</si>
  <si>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</si>
  <si>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</si>
  <si>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</si>
  <si>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</si>
  <si>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</si>
  <si>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</si>
  <si>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</si>
  <si>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</si>
  <si>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</si>
  <si>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</si>
  <si>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</si>
  <si>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</si>
  <si>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</si>
  <si>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</si>
  <si>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</si>
  <si>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</si>
  <si>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</si>
  <si>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</si>
  <si>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</si>
  <si>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</si>
  <si>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</si>
  <si>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</si>
  <si>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</si>
  <si>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</si>
  <si>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</si>
  <si>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</si>
  <si>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</si>
  <si>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</si>
  <si>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</si>
  <si>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</si>
  <si>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</si>
  <si>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</si>
  <si>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</si>
  <si>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</si>
  <si>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</si>
  <si>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</si>
  <si>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</si>
  <si>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</si>
  <si>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</si>
  <si>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</si>
  <si>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</si>
  <si>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</si>
  <si>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</si>
  <si>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</si>
  <si>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</si>
  <si>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</si>
  <si>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</si>
  <si>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</si>
  <si>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</si>
  <si>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</si>
  <si>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</si>
  <si>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</si>
  <si>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</si>
  <si>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</si>
  <si>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</si>
  <si>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</si>
  <si>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</si>
  <si>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</si>
  <si>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</si>
  <si>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</si>
  <si>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</si>
  <si>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</si>
  <si>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</si>
  <si>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</si>
  <si>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</si>
  <si>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</si>
  <si>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</si>
  <si>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</si>
  <si>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</si>
  <si>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</si>
  <si>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</si>
  <si>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</si>
  <si>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</si>
  <si>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</si>
  <si>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</si>
  <si>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</si>
  <si>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</si>
  <si>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</si>
  <si>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</si>
  <si>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</si>
  <si>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</si>
  <si>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</si>
  <si>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</si>
  <si>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</si>
  <si>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</si>
  <si>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</si>
  <si>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</si>
  <si>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</si>
  <si>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</si>
  <si>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</si>
  <si>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</si>
  <si>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</si>
  <si>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</si>
  <si>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</si>
  <si>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</si>
  <si>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</si>
  <si>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</si>
  <si>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</si>
  <si>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</si>
  <si>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</si>
  <si>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</si>
  <si>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</si>
  <si>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</si>
  <si>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</si>
  <si>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</si>
  <si>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</si>
  <si>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</si>
  <si>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</si>
  <si>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</si>
  <si>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</si>
  <si>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</si>
  <si>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</si>
  <si>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</si>
  <si>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</si>
  <si>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</si>
  <si>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</si>
  <si>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</si>
  <si>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</si>
  <si>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</si>
  <si>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</si>
  <si>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</si>
  <si>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</si>
  <si>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</si>
  <si>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</si>
  <si>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</si>
  <si>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</si>
  <si>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</si>
  <si>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</si>
  <si>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</si>
  <si>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</si>
  <si>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</si>
  <si>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</si>
  <si>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</si>
  <si>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</si>
  <si>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</si>
  <si>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</si>
  <si>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</si>
  <si>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</si>
  <si>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</si>
  <si>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</si>
  <si>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</si>
  <si>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</si>
  <si>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</si>
  <si>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</si>
  <si>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</si>
  <si>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</si>
  <si>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</si>
  <si>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</si>
  <si>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</si>
  <si>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</si>
  <si>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</si>
  <si>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</si>
  <si>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</si>
  <si>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</si>
  <si>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</si>
  <si>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</si>
  <si>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</si>
  <si>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</si>
  <si>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</si>
  <si>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</si>
  <si>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</si>
  <si>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</si>
  <si>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</si>
  <si>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</si>
  <si>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</si>
  <si>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</si>
  <si>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</si>
  <si>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</si>
  <si>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</si>
  <si>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</si>
  <si>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</si>
  <si>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</si>
  <si>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</si>
  <si>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</si>
  <si>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</si>
  <si>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</si>
  <si>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</si>
  <si>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</si>
  <si>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</si>
  <si>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</si>
  <si>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</si>
  <si>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</si>
  <si>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</si>
  <si>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</si>
  <si>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</si>
  <si>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</si>
  <si>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</si>
  <si>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</si>
  <si>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</si>
  <si>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</si>
  <si>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</si>
  <si>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</si>
  <si>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</si>
  <si>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</si>
  <si>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</si>
  <si>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</si>
  <si>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</si>
  <si>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</si>
  <si>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</si>
  <si>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</si>
  <si>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</si>
  <si>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</si>
  <si>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</si>
  <si>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</si>
  <si>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</si>
  <si>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</si>
  <si>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</si>
  <si>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</si>
  <si>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</si>
  <si>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</si>
  <si>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</si>
  <si>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</si>
  <si>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</si>
  <si>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</si>
  <si>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</si>
  <si>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</si>
  <si>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</si>
  <si>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</si>
  <si>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</si>
  <si>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</si>
  <si>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</si>
  <si>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</si>
  <si>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</si>
  <si>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</si>
  <si>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</si>
  <si>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</si>
  <si>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</si>
  <si>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</si>
  <si>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</si>
  <si>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</si>
  <si>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</si>
  <si>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</si>
  <si>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</si>
  <si>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</si>
  <si>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</si>
  <si>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</si>
  <si>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</si>
  <si>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</si>
  <si>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</si>
  <si>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</si>
  <si>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</si>
  <si>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</si>
  <si>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</si>
  <si>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</si>
  <si>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</si>
  <si>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</si>
  <si>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</si>
  <si>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</si>
  <si>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</si>
  <si>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</si>
  <si>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</si>
  <si>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</si>
  <si>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</si>
  <si>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</si>
  <si>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</si>
  <si>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</si>
  <si>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</si>
  <si>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</si>
  <si>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</si>
  <si>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</si>
  <si>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</si>
  <si>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</si>
  <si>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</si>
  <si>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</si>
  <si>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</si>
  <si>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</si>
  <si>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</si>
  <si>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</si>
  <si>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</si>
  <si>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</si>
  <si>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</si>
  <si>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</si>
  <si>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</si>
  <si>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</si>
  <si>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</si>
  <si>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</si>
  <si>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</si>
  <si>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</si>
  <si>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</si>
  <si>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</si>
  <si>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</si>
  <si>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</si>
  <si>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</si>
  <si>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</si>
  <si>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</si>
  <si>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</si>
  <si>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</si>
  <si>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</si>
  <si>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</si>
  <si>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</si>
  <si>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</si>
  <si>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</si>
  <si>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</si>
  <si>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</si>
  <si>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</si>
  <si>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</si>
  <si>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</si>
  <si>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</si>
  <si>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</si>
  <si>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</si>
  <si>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</si>
  <si>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</si>
  <si>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</si>
  <si>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</si>
  <si>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</si>
  <si>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</si>
  <si>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</si>
  <si>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</si>
  <si>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</si>
  <si>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</si>
  <si>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</si>
  <si>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</si>
  <si>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</si>
  <si>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</si>
  <si>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</si>
  <si>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</si>
  <si>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</si>
  <si>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</si>
  <si>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</si>
  <si>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</si>
  <si>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</si>
  <si>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</si>
  <si>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</si>
  <si>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</si>
  <si>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</si>
  <si>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</si>
  <si>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</si>
  <si>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</si>
  <si>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</si>
  <si>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</si>
  <si>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</si>
  <si>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</si>
  <si>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</si>
  <si>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</si>
  <si>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</si>
  <si>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</si>
  <si>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</si>
  <si>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</si>
  <si>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</si>
  <si>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</si>
  <si>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</si>
  <si>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</si>
  <si>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</si>
  <si>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</si>
  <si>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</si>
  <si>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</si>
  <si>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</si>
  <si>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</si>
  <si>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</si>
  <si>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</si>
  <si>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</si>
  <si>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</si>
  <si>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</si>
  <si>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</si>
  <si>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</si>
  <si>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</si>
  <si>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</si>
  <si>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</si>
  <si>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</si>
  <si>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</si>
  <si>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</si>
  <si>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</si>
  <si>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</si>
  <si>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</si>
  <si>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</si>
  <si>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</si>
  <si>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</si>
  <si>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</si>
  <si>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</si>
  <si>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</si>
  <si>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</si>
  <si>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</si>
  <si>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</si>
  <si>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</si>
  <si>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</si>
  <si>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</si>
  <si>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</si>
  <si>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</si>
  <si>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</si>
  <si>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</si>
  <si>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</si>
  <si>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</si>
  <si>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</si>
  <si>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</si>
  <si>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</si>
  <si>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</si>
  <si>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</si>
  <si>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</si>
  <si>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</si>
  <si>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</si>
  <si>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</si>
  <si>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</si>
  <si>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</si>
  <si>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</si>
  <si>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</si>
  <si>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</si>
  <si>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</si>
  <si>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</si>
  <si>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</si>
  <si>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</si>
  <si>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</si>
  <si>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</si>
  <si>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</si>
  <si>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</si>
  <si>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</si>
  <si>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</si>
  <si>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</si>
  <si>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</si>
  <si>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</si>
  <si>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</si>
  <si>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</si>
  <si>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</si>
  <si>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</si>
  <si>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</si>
  <si>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</si>
  <si>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</si>
  <si>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</si>
  <si>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</si>
  <si>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</si>
  <si>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</si>
  <si>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</si>
  <si>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</si>
  <si>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</si>
  <si>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</si>
  <si>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</si>
  <si>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</si>
  <si>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</si>
  <si>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</si>
  <si>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</si>
  <si>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</si>
  <si>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</si>
  <si>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</si>
  <si>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</si>
  <si>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</si>
  <si>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144" type="noConversion"/>
  </si>
  <si>
    <t>赵璠</t>
    <phoneticPr fontId="4" type="noConversion"/>
  </si>
  <si>
    <t>2019A-027</t>
    <phoneticPr fontId="137" type="noConversion"/>
  </si>
  <si>
    <t>假设开发法</t>
  </si>
  <si>
    <t>成本法</t>
  </si>
  <si>
    <t>郑燚</t>
  </si>
  <si>
    <t>王鹏</t>
  </si>
  <si>
    <t>中信信托有限责任公司</t>
    <phoneticPr fontId="7" type="noConversion"/>
  </si>
  <si>
    <t>抵押</t>
  </si>
  <si>
    <t>房地产抵押价值</t>
  </si>
  <si>
    <t>其他：</t>
  </si>
  <si>
    <t>企业</t>
  </si>
  <si>
    <t>浙江省杭州市萧山区</t>
    <phoneticPr fontId="7" type="noConversion"/>
  </si>
  <si>
    <t>出让</t>
  </si>
  <si>
    <t>住宅</t>
  </si>
  <si>
    <r>
      <rPr>
        <sz val="12"/>
        <color theme="9" tint="-0.249977111117893"/>
        <rFont val="宋体"/>
        <family val="3"/>
        <charset val="134"/>
      </rPr>
      <t>住宅</t>
    </r>
    <r>
      <rPr>
        <sz val="12"/>
        <color theme="9" tint="-0.249977111117893"/>
        <rFont val="Arial"/>
        <family val="2"/>
      </rPr>
      <t>57.87</t>
    </r>
    <r>
      <rPr>
        <sz val="12"/>
        <color theme="9" tint="-0.249977111117893"/>
        <rFont val="宋体"/>
        <family val="3"/>
        <charset val="134"/>
      </rPr>
      <t>年</t>
    </r>
    <phoneticPr fontId="7" type="noConversion"/>
  </si>
  <si>
    <t>居住项目</t>
  </si>
  <si>
    <t>在建</t>
  </si>
  <si>
    <t>土地</t>
  </si>
  <si>
    <t>通路</t>
  </si>
  <si>
    <t>通电</t>
  </si>
  <si>
    <t>通上水</t>
  </si>
  <si>
    <t>地上</t>
  </si>
  <si>
    <t>联排</t>
  </si>
  <si>
    <t>地下</t>
  </si>
  <si>
    <t>车库</t>
  </si>
  <si>
    <t>是</t>
  </si>
  <si>
    <t>省会市名称</t>
  </si>
  <si>
    <t>建筑型式</t>
  </si>
  <si>
    <t>多层</t>
  </si>
  <si>
    <t>小高层</t>
  </si>
  <si>
    <t>高层</t>
  </si>
  <si>
    <r>
      <rPr>
        <sz val="10"/>
        <rFont val="宋体"/>
        <family val="3"/>
        <charset val="134"/>
      </rPr>
      <t>杭州</t>
    </r>
  </si>
  <si>
    <t xml:space="preserve"> </t>
    <phoneticPr fontId="4" type="noConversion"/>
  </si>
  <si>
    <t>1580</t>
  </si>
  <si>
    <t>1824</t>
  </si>
  <si>
    <t>请录依据文件名称：http://www.hangzhou.gov.cn/art/2019/9/4/art_1256306_8269471.html 市政基础设施配套费收费</t>
    <phoneticPr fontId="4" type="noConversion"/>
  </si>
  <si>
    <t>在建（套用方法）</t>
  </si>
  <si>
    <t>按租金收入计税</t>
  </si>
  <si>
    <t>钢混</t>
  </si>
  <si>
    <t>非生产用房</t>
  </si>
  <si>
    <t>收益法（商业）</t>
  </si>
  <si>
    <t>收益法（地下车库）</t>
  </si>
  <si>
    <t>地下室</t>
  </si>
  <si>
    <t>碧桂园•越溪府</t>
  </si>
  <si>
    <t>临浦镇东藩路与临北路交叉口</t>
  </si>
  <si>
    <t>中天卓越·风荷锦庭</t>
  </si>
  <si>
    <t>义桥镇新峡路与油虎线交叉口</t>
  </si>
  <si>
    <t>住宅</t>
    <phoneticPr fontId="26" type="noConversion"/>
  </si>
  <si>
    <t>50-60（含）</t>
  </si>
  <si>
    <t>正常</t>
  </si>
  <si>
    <t>60-70（含）</t>
  </si>
  <si>
    <t>较差</t>
  </si>
  <si>
    <t>一般</t>
  </si>
  <si>
    <t>六通</t>
  </si>
  <si>
    <t>较好</t>
  </si>
  <si>
    <t>高层</t>
    <phoneticPr fontId="4" type="noConversion"/>
  </si>
  <si>
    <t>多层/小高层</t>
    <phoneticPr fontId="4" type="noConversion"/>
  </si>
  <si>
    <t>钢混</t>
    <phoneticPr fontId="26" type="noConversion"/>
  </si>
  <si>
    <t>中档</t>
  </si>
  <si>
    <t>中档</t>
    <phoneticPr fontId="26" type="noConversion"/>
  </si>
  <si>
    <t>精装修</t>
  </si>
  <si>
    <t>精装修</t>
    <phoneticPr fontId="26" type="noConversion"/>
  </si>
  <si>
    <t>专业</t>
  </si>
  <si>
    <t>专业</t>
    <phoneticPr fontId="26" type="noConversion"/>
  </si>
  <si>
    <t>六通</t>
    <phoneticPr fontId="26" type="noConversion"/>
  </si>
  <si>
    <t>平层</t>
  </si>
  <si>
    <t>平层</t>
    <phoneticPr fontId="26" type="noConversion"/>
  </si>
  <si>
    <t>毛坯</t>
    <phoneticPr fontId="26" type="noConversion"/>
  </si>
  <si>
    <t>简装</t>
    <phoneticPr fontId="26" type="noConversion"/>
  </si>
  <si>
    <t>精装</t>
  </si>
  <si>
    <t>精装</t>
    <phoneticPr fontId="26"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</si>
  <si>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</si>
  <si>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</si>
  <si>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</si>
  <si>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</si>
  <si>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</si>
  <si>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</si>
  <si>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</si>
  <si>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</si>
  <si>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</si>
  <si>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</si>
  <si>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</si>
  <si>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</si>
  <si>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</si>
  <si>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</si>
  <si>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</si>
  <si>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</si>
  <si>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</si>
  <si>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</si>
  <si>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</si>
  <si>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</si>
  <si>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地铁5号线停车场上盖区</t>
  </si>
  <si>
    <t>杭州市</t>
  </si>
  <si>
    <t>综合用地(含住宅)</t>
  </si>
  <si>
    <t>东至杭金衢高速,南至榜眼路,西至A-25地块,北至彩虹大道</t>
  </si>
  <si>
    <t>挂牌</t>
  </si>
  <si>
    <t>萧政储出(2019)*36号</t>
  </si>
  <si>
    <t>A-26地块为服务设施用地(R22);A-28地块(上盖区)为公共交通场站/住宅/商业/商务用地(S41/R21/B1/B2)</t>
  </si>
  <si>
    <t>a-26地块:≤0.7;a-28地块:≤1.6</t>
  </si>
  <si>
    <t>2019-11-07</t>
  </si>
  <si>
    <t>萧土资告【2019】01015号</t>
  </si>
  <si>
    <t>杭州市地铁集团有限责任公司</t>
  </si>
  <si>
    <t>70、40</t>
  </si>
  <si>
    <t>5星</t>
  </si>
  <si>
    <t>奥体博览中心BJ1705*11/12/13地块</t>
  </si>
  <si>
    <t>住宅用地</t>
  </si>
  <si>
    <t>东至利丰路,南至书音路,西至盈丰路,北至金鸡路</t>
  </si>
  <si>
    <t>萧政储出(2019)*34号</t>
  </si>
  <si>
    <t>BJ1705-13区块为居住用地;BJ1705-11区块为公园绿地(地下附建社会停车场)用地;BJ1705-12区块为幼儿园用地</t>
  </si>
  <si>
    <t>bj1705-13区块:≤3%;bj1705-12区块:≤1%</t>
  </si>
  <si>
    <t>2019-10-18</t>
  </si>
  <si>
    <t>萧土资告【2019】01014号</t>
  </si>
  <si>
    <t>杭州滨颂企业管理有限公司</t>
  </si>
  <si>
    <t>萧山城区市北东单元F-03-2地块</t>
  </si>
  <si>
    <t>东至规划居住用地,南至规划绿地,西至规划经六路,北至建设二路</t>
  </si>
  <si>
    <t>萧政储出(2019)32号</t>
  </si>
  <si>
    <t>居住用地(R2,含代建社区公园及地下停车场)</t>
  </si>
  <si>
    <t>＞1≤2.5</t>
  </si>
  <si>
    <t>2019-10-08</t>
  </si>
  <si>
    <t>萧土资告【2019】01013号</t>
  </si>
  <si>
    <t>杭州滨嵘企业管理有限公司</t>
  </si>
  <si>
    <t>70年</t>
  </si>
  <si>
    <t>市北东单元-F-03地块</t>
  </si>
  <si>
    <t>东至宁东路、南至庆丰路、西至绿地、规划居住用地、北至建设二路</t>
  </si>
  <si>
    <t>萧政储出(2019)*31号</t>
  </si>
  <si>
    <t>居住用地(含配套幼儿园)</t>
  </si>
  <si>
    <t>2019-09-27</t>
  </si>
  <si>
    <t>萧土资告【2019】01012号</t>
  </si>
  <si>
    <t>浙江保利房地产开发有限公司</t>
  </si>
  <si>
    <t>萧政储出(2019)33号</t>
  </si>
  <si>
    <t>东至A-28-1地块;南至萧绍运河;西至03省道,北至彩虹大道</t>
  </si>
  <si>
    <t>A-25地块为公共交通场站/社会停车场/公园绿地(S41/S42/G1);A-28地块(盖下区)为公共交通场站/住宅/商业/商务用地(R21/B1/B2)</t>
  </si>
  <si>
    <t>≤2.6</t>
  </si>
  <si>
    <t>2019-09-26</t>
  </si>
  <si>
    <t>萧土资告【2019】01011号</t>
  </si>
  <si>
    <t>杭州元腾置业有限公司</t>
  </si>
  <si>
    <t>70年、40年</t>
  </si>
  <si>
    <t>4星</t>
  </si>
  <si>
    <t>萧政储出(2019)29号</t>
  </si>
  <si>
    <t>东至东灵路辅路,南至建设四路,西至政通路,北至新安路。</t>
  </si>
  <si>
    <t>05-16地块为商业商务用地,05-20地块为商住用地</t>
  </si>
  <si>
    <t>＞1.0≤3.0</t>
  </si>
  <si>
    <t>2019-09-23</t>
  </si>
  <si>
    <t>萧土资告【2019】01010号</t>
  </si>
  <si>
    <t>浙江金纬房地产开发有限公司</t>
  </si>
  <si>
    <t>住宅70年,商业40年</t>
  </si>
  <si>
    <t>2星</t>
  </si>
  <si>
    <t>萧政储出(2019)27号</t>
  </si>
  <si>
    <t>东至规划居住用地,南至天得路,西至宁税路,北至规划建设三路。</t>
  </si>
  <si>
    <t>居住用地(R2)</t>
  </si>
  <si>
    <t>＞1.0≤2.2</t>
  </si>
  <si>
    <t>杭州滨奇投资管理有限公司</t>
  </si>
  <si>
    <t>住宅70年</t>
  </si>
  <si>
    <t>萧政储出(2019)30号</t>
  </si>
  <si>
    <t>东至规划铺一路、规划居住用地,南至规划纬三路,西至宁东河,北至解放河、规划居住用地。</t>
  </si>
  <si>
    <t>人才专项租赁住房</t>
  </si>
  <si>
    <t>杭州萧山经济技术开发区国有资产经营有限公司</t>
  </si>
  <si>
    <t>萧政储出(2019)28号</t>
  </si>
  <si>
    <t>东至03省道,南至南四路,西至育才路,北至姚江河。</t>
  </si>
  <si>
    <t>居住用地(含配套商业)</t>
  </si>
  <si>
    <t>＞1.0≤2.6</t>
  </si>
  <si>
    <t>深圳市聚佳融实业有限公司</t>
  </si>
  <si>
    <t>市北西单元兴议区块B-23地块</t>
  </si>
  <si>
    <t>东至规划萧邮路,南至规划兴九路,西至规划风情大道防护绿带,北至规划B6路。</t>
  </si>
  <si>
    <t>萧政储出(2019)23号</t>
  </si>
  <si>
    <t>居住用地</t>
  </si>
  <si>
    <t>＞1.0≤2.4</t>
  </si>
  <si>
    <t>2019-07-29</t>
  </si>
  <si>
    <t>萧土资告【2019】01009号</t>
  </si>
  <si>
    <t>杭州滨禹企业管理有限公司</t>
  </si>
  <si>
    <t>70年,40年</t>
  </si>
  <si>
    <t>蜀山西单元C-07地块</t>
  </si>
  <si>
    <t>东至规划崇化路,南至规划沿河绿地,西至规划小白线,北至南环路。</t>
  </si>
  <si>
    <t>萧政储出(2019)22号</t>
  </si>
  <si>
    <t>商住用地</t>
  </si>
  <si>
    <t>杭州东原益丰科技有限公司</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</si>
  <si>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</si>
  <si>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</si>
  <si>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</si>
  <si>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</si>
  <si>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</si>
  <si>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</si>
  <si>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</si>
  <si>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</si>
  <si>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</si>
  <si>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</si>
  <si>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</si>
  <si>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杭州兴耀投资有限公司</t>
  </si>
  <si>
    <t>3星</t>
  </si>
  <si>
    <t>钱塘新区新湾街道</t>
  </si>
  <si>
    <t>位于钱塘新区新湾街道,东至新湾大道,南至复兴路,西至抢险湾绿化带,北至横一路。</t>
  </si>
  <si>
    <t>杭钱塘储出〔2019〕3号</t>
  </si>
  <si>
    <t>住宅(设配套公建)、商业商务</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</si>
  <si>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</si>
  <si>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</si>
  <si>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</si>
  <si>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</si>
  <si>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</si>
  <si>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</si>
  <si>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</si>
  <si>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2019-06-24</t>
  </si>
  <si>
    <t>萧土资告【2019】01008号</t>
  </si>
  <si>
    <t>杭州滨谷企业管理有限公司</t>
  </si>
  <si>
    <t>城厢单元A-44、A-45地块</t>
  </si>
  <si>
    <t>东至通惠路,西至洄澜北路,南至徐家河公寓,北至育才东苑。</t>
  </si>
  <si>
    <t>萧政储出(2019)18号</t>
  </si>
  <si>
    <t>＞1.0≤1.72</t>
  </si>
  <si>
    <t>中天美好集团有限公司</t>
  </si>
  <si>
    <t>杭州南站综合交通枢纽区D-56地块</t>
  </si>
  <si>
    <t>东至高新五路,南至官河,西至郎家浜河,北至商聚街。</t>
  </si>
  <si>
    <t>萧政储出(2019)19号</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</si>
  <si>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</si>
  <si>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</si>
  <si>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</si>
  <si>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</si>
  <si>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</si>
  <si>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</si>
  <si>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</si>
  <si>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</si>
  <si>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</si>
  <si>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</si>
  <si>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</si>
  <si>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</si>
  <si>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</si>
  <si>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</si>
  <si>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</si>
  <si>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2019-05-09</t>
  </si>
  <si>
    <t>萧土资告【2019】01006号</t>
  </si>
  <si>
    <t>蜀山单元良种场区块</t>
  </si>
  <si>
    <t>东至通城快速路,南至规划新螺路,西至通惠南路,北至南环路。</t>
  </si>
  <si>
    <t>萧政储出(2019)9号</t>
  </si>
  <si>
    <t>D-21-1地块为商业/*商务用地、D-21-2地块为居住用地、D-22地块为居住用地、D-20地块为防护绿地。</t>
  </si>
  <si>
    <t>2019-04-29</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</si>
  <si>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</si>
  <si>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</si>
  <si>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</si>
  <si>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</si>
  <si>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</si>
  <si>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</si>
  <si>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</si>
  <si>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</si>
  <si>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</si>
  <si>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</si>
  <si>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</si>
  <si>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</si>
  <si>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</si>
  <si>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≥1.01≤2.5</t>
  </si>
  <si>
    <t>2019-03-29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</si>
  <si>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</si>
  <si>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</si>
  <si>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</si>
  <si>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</si>
  <si>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</si>
  <si>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</si>
  <si>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</si>
  <si>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</si>
  <si>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戴村镇市政路恒达路交叉口东侧住宅A区块</t>
  </si>
  <si>
    <t>戴村镇市政路恒达路交叉口东侧住宅A区块。东至规划校前大道、南至华诚路、西至规划市政路、北至恒达路。</t>
  </si>
  <si>
    <t>萧政储出(2019)6号</t>
  </si>
  <si>
    <t>A-1地块为居住用地(含配套商业),A-2地块为服务设施用地</t>
  </si>
  <si>
    <t>≥1.01≤1.8</t>
  </si>
  <si>
    <t>杭州凯燊投资管理有限公司</t>
  </si>
  <si>
    <t>1星</t>
  </si>
  <si>
    <t>大江东产业集聚区核心区</t>
  </si>
  <si>
    <t>位于大江东产业集聚区核心区,东至青六路,南至北一路,西至通慧湖绿化带,北至国环三路。</t>
  </si>
  <si>
    <t>杭大江东储出〔2018〕4号</t>
  </si>
  <si>
    <t>住宅(设配套公建)、商业兼容商务</t>
  </si>
  <si>
    <t>≥1.2≤3.8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</si>
  <si>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</si>
  <si>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</si>
  <si>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</si>
  <si>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</si>
  <si>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</si>
  <si>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</si>
  <si>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</si>
  <si>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</si>
  <si>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2018-08-06</t>
  </si>
  <si>
    <t>萧土资告【2018】01012号</t>
  </si>
  <si>
    <t>深圳安创投资管理有限公司</t>
  </si>
  <si>
    <t>萧山区蜀山单元F-06-1地块</t>
  </si>
  <si>
    <t>东至通惠路、南至南三路、西至王有史河、北至规划一路</t>
  </si>
  <si>
    <t>萧政储出[2018]23号</t>
  </si>
  <si>
    <t>≥1≤2.8</t>
  </si>
  <si>
    <t>2018-07-30</t>
  </si>
  <si>
    <t>萧土资告【2018】01011号</t>
  </si>
  <si>
    <t>杭州盛锋商务信息咨询有限公司</t>
  </si>
  <si>
    <t>萧山区南站单元</t>
  </si>
  <si>
    <t>东至新城路、南至山南路,西至下潦路、北至彩虹大道</t>
  </si>
  <si>
    <t>萧政储出[2018]21号</t>
  </si>
  <si>
    <t>≥1.0≤2.5</t>
  </si>
  <si>
    <t>2018-07-11</t>
  </si>
  <si>
    <t>萧土资告【2018】01010号</t>
  </si>
  <si>
    <t>杭州奥克斯置业有限公司</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</si>
  <si>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</si>
  <si>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</si>
  <si>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</si>
  <si>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</si>
  <si>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</si>
  <si>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</si>
  <si>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</si>
  <si>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</si>
  <si>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</si>
  <si>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成都时盛商贸有限责任公司</t>
  </si>
  <si>
    <t>空港新城</t>
  </si>
  <si>
    <t>东至南庄路,南至港城大道,西至南丰路,北至南义路</t>
  </si>
  <si>
    <t>萧政储出[2018]19号</t>
  </si>
  <si>
    <t>≥1.0≤2.1</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</si>
  <si>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</si>
  <si>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</si>
  <si>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</si>
  <si>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</si>
  <si>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</si>
  <si>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</si>
  <si>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</si>
  <si>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</si>
  <si>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</si>
  <si>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</si>
  <si>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</si>
  <si>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</si>
  <si>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</si>
  <si>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</si>
  <si>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2018-06-11</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</si>
  <si>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</si>
  <si>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</si>
  <si>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</si>
  <si>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</si>
  <si>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</si>
  <si>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</si>
  <si>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2018-06-04</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</si>
  <si>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</si>
  <si>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</si>
  <si>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</si>
  <si>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</si>
  <si>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</si>
  <si>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</si>
  <si>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</si>
  <si>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</si>
  <si>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</si>
  <si>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</si>
  <si>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</si>
  <si>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</si>
  <si>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</si>
  <si>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</si>
  <si>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</si>
  <si>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</si>
  <si>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</si>
  <si>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</si>
  <si>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</si>
  <si>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</si>
  <si>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</si>
  <si>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</si>
  <si>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</si>
  <si>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</si>
  <si>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</si>
  <si>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萧山区市北东单元内</t>
  </si>
  <si>
    <t>位于萧山区市北东单元内,东至经十三路,西至佳农路、支一路,北至大地路,南至建设一路辅路</t>
  </si>
  <si>
    <t>萧政储出[2018]10号</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</si>
  <si>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</si>
  <si>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</si>
  <si>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</si>
  <si>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</si>
  <si>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</si>
  <si>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</si>
  <si>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</si>
  <si>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</si>
  <si>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</si>
  <si>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</si>
  <si>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</si>
  <si>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</si>
  <si>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</si>
  <si>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</si>
  <si>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</si>
  <si>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</si>
  <si>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</si>
  <si>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</si>
  <si>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</si>
  <si>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</si>
  <si>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</si>
  <si>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</si>
  <si>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</si>
  <si>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</si>
  <si>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</si>
  <si>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</si>
  <si>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</si>
  <si>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</si>
  <si>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</si>
  <si>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</si>
  <si>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</si>
  <si>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</si>
  <si>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</si>
  <si>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</si>
  <si>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</si>
  <si>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</si>
  <si>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</si>
  <si>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</si>
  <si>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</si>
  <si>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</si>
  <si>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</si>
  <si>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</si>
  <si>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</si>
  <si>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</si>
  <si>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</si>
  <si>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</si>
  <si>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</si>
  <si>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</si>
  <si>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</si>
  <si>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</si>
  <si>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</si>
  <si>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</si>
  <si>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</si>
  <si>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</si>
  <si>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</si>
  <si>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</si>
  <si>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</si>
  <si>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</si>
  <si>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</si>
  <si>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</si>
  <si>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</si>
  <si>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</si>
  <si>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</si>
  <si>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</si>
  <si>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</si>
  <si>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</si>
  <si>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</si>
  <si>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</si>
  <si>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</si>
  <si>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</si>
  <si>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</si>
  <si>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</si>
  <si>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</si>
  <si>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</si>
  <si>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</si>
  <si>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</si>
  <si>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</si>
  <si>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</si>
  <si>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</si>
  <si>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</si>
  <si>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</si>
  <si>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</si>
  <si>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</si>
  <si>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</si>
  <si>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</si>
  <si>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</si>
  <si>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</si>
  <si>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</si>
  <si>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</si>
  <si>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</si>
  <si>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</si>
  <si>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</si>
  <si>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</si>
  <si>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2017-09-14</t>
  </si>
  <si>
    <t>萧政储出告字[2017]20号</t>
  </si>
  <si>
    <t>杭州大文投资管理有限公司</t>
  </si>
  <si>
    <t>萧山宁围单元A-30地块</t>
  </si>
  <si>
    <t>东至规划生兴路、南至规划A一37幼儿园地块、西至规划学东路、北至规划利华路</t>
  </si>
  <si>
    <t>萧政储出[2017]16号</t>
  </si>
  <si>
    <t>萧政储出告字[2017]16号</t>
  </si>
  <si>
    <t>位于空港新城,东至南阳大道,南至港城大道,西至南庄路,北至南义路</t>
  </si>
  <si>
    <t>萧政储出[2017]19号</t>
  </si>
  <si>
    <t>＞1≤2.2</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</si>
  <si>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</si>
  <si>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</si>
  <si>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</si>
  <si>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</si>
  <si>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</si>
  <si>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</si>
  <si>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2017-09-11</t>
  </si>
  <si>
    <t>萧政储出告字[2017]21号</t>
  </si>
  <si>
    <t>杭州新城创宏房地产开发有限公司</t>
  </si>
  <si>
    <t>萧山区市北西单元</t>
  </si>
  <si>
    <t>东至萧邮路,南至规划B6路,西至风情大道防护绿带,北至浙江省边防总队</t>
  </si>
  <si>
    <t>萧政储出[2017]17号</t>
  </si>
  <si>
    <t>＞1≤2.7</t>
  </si>
  <si>
    <t>萧政储出告字[2017]17号</t>
  </si>
  <si>
    <t>温州时代集团大地房地产开发有限公司</t>
  </si>
  <si>
    <t>萧山区市北东单元</t>
  </si>
  <si>
    <t>东至通惠北路、南至建设一路、西至规划公园绿地/交通场站用地、北至规划支路及规划服务设施用地</t>
  </si>
  <si>
    <t>萧政储出[2017]18号</t>
  </si>
  <si>
    <t>萧政储出告字[2017]18号</t>
  </si>
  <si>
    <t>上海名城汇实业发展有限公司</t>
  </si>
  <si>
    <t>所前单元D15-2地块</t>
  </si>
  <si>
    <t>东至现状道路,南至商贸路,西至规划公园绿地,北至府前路</t>
  </si>
  <si>
    <t>萧政储出(2017)15号</t>
  </si>
  <si>
    <t>≥1≤3</t>
  </si>
  <si>
    <t>2017-08-16</t>
  </si>
  <si>
    <t>萧政储出告字[2017]15号</t>
  </si>
  <si>
    <t>杭州凯鑫置业有限公司</t>
  </si>
  <si>
    <t>蜀山南单元</t>
  </si>
  <si>
    <t>东至蜀山路,南至第二桥河,西至北辰奥园,北至南三路</t>
  </si>
  <si>
    <t>萧政储出[2017]13号</t>
  </si>
  <si>
    <t>商业、居住用地</t>
  </si>
  <si>
    <t>＞1≤2.4</t>
  </si>
  <si>
    <t>萧政储出告字[2017]13号</t>
  </si>
  <si>
    <t>萧山城区蜀山南单元C-03、C-08地块</t>
  </si>
  <si>
    <t>东至现状铁路,南至第四桥横河,西至规划河道,北至规划南三路</t>
  </si>
  <si>
    <t>萧政储出(2017)14号</t>
  </si>
  <si>
    <t>C-03区块为商住用地(R/B),C-08区块为居住用地(R)</t>
  </si>
  <si>
    <t>萧政储出告字[2017]14号</t>
  </si>
  <si>
    <t>浙江锦森投资管理有限公司</t>
  </si>
  <si>
    <t>萧山城区湘北单元</t>
  </si>
  <si>
    <t>东至金鸡路,南至规划萧杭路,西至规划A6路,北至山阴路</t>
  </si>
  <si>
    <t>萧政储出[2017]12号</t>
  </si>
  <si>
    <t>＞1≤1.7</t>
  </si>
  <si>
    <t>萧政储出告字[2017]12号</t>
  </si>
  <si>
    <t>萧山城区北干东单元B-16-2地块</t>
  </si>
  <si>
    <t>东至通惠路,南至金城路,西至大浦河沿河公用绿地,北至大浦河沿河公用绿地</t>
  </si>
  <si>
    <t>萧政储出[2017]8号</t>
  </si>
  <si>
    <t>＞1≤3.3</t>
  </si>
  <si>
    <t>2017-06-29</t>
  </si>
  <si>
    <t>萧政储出告字[2017]8、10号</t>
  </si>
  <si>
    <t>旭辉</t>
  </si>
  <si>
    <t>益农镇兴裕村</t>
  </si>
  <si>
    <t>东至益农供电所与汽车站,南至兴贸路,西至学工路,北至规划支路</t>
  </si>
  <si>
    <t>萧政储出(2017)11号</t>
  </si>
  <si>
    <t>≥1≤1.8</t>
  </si>
  <si>
    <t>萧政储出告字[2017]6.11号</t>
  </si>
  <si>
    <t>杭州高运房地产开发有限公司</t>
  </si>
  <si>
    <t>蜀山单元C-06地块</t>
  </si>
  <si>
    <t>东至通惠路,南至姚江河,西至姚江河,北至规划商务用地</t>
  </si>
  <si>
    <t>萧政储出[2017]9号</t>
  </si>
  <si>
    <t>杭州东原致方科技有限公司</t>
  </si>
  <si>
    <t>开发区市北东单元D-28地块</t>
  </si>
  <si>
    <t>萧政储出[2017]7号</t>
  </si>
  <si>
    <t>萧政储出告字[2017]7号</t>
  </si>
  <si>
    <t>前进街道</t>
  </si>
  <si>
    <t>东至八工段直河绿化带,南至江东一路绿化带,西至规划道路,北至江东二路绿化带</t>
  </si>
  <si>
    <t>杭大江东储出(2017)1号</t>
  </si>
  <si>
    <t>＞1≤2.3</t>
  </si>
  <si>
    <t>2017-06-09</t>
  </si>
  <si>
    <t>大江东储出告字[2017]1号</t>
  </si>
  <si>
    <t>杭州市房地产开发集团有限公司</t>
  </si>
  <si>
    <t>新湾街道</t>
  </si>
  <si>
    <t>东至规划道路,南至农居,西至新四路,北至蓝商路</t>
  </si>
  <si>
    <t>杭大江东储出(2017)2号</t>
  </si>
  <si>
    <t>杭州宏立房地产开发有限公司</t>
  </si>
  <si>
    <t>萧山区靖江街道花神庙地块</t>
  </si>
  <si>
    <t>东至新港路、南至广场路、西至童家殿湾、北至凤凰家园</t>
  </si>
  <si>
    <t>萧政储出[2017]4号</t>
  </si>
  <si>
    <t>＞1≤2</t>
  </si>
  <si>
    <t>2017-05-27</t>
  </si>
  <si>
    <t>萧政储出告字[2017]4号</t>
  </si>
  <si>
    <t>杭州福溢融信企业管理咨询有限公司</t>
  </si>
  <si>
    <t>住宅70年*商业40年</t>
  </si>
  <si>
    <t>蜀山单元F-01地块</t>
  </si>
  <si>
    <t>东至通惠路、南至姚江河、西至王有史直河、北至规划南三路</t>
  </si>
  <si>
    <t>萧政储出[2017]3号</t>
  </si>
  <si>
    <t>普通商品住房用地</t>
  </si>
  <si>
    <t>萧政储出告字[2017]3号</t>
  </si>
  <si>
    <t>上海康泰房地产开发有限公司</t>
  </si>
  <si>
    <t>萧政储出(2017)2号</t>
  </si>
  <si>
    <t>2017-03-24</t>
  </si>
  <si>
    <t>恒大地产集团上海盛建置业有限公司</t>
  </si>
  <si>
    <t>萧政储出(2017)1号</t>
  </si>
  <si>
    <t>杭州华合企业管理咨询有限公司</t>
  </si>
  <si>
    <t>临浦新区商住地块二</t>
  </si>
  <si>
    <t>萧政储出(2016)32号</t>
  </si>
  <si>
    <t>2017-01-19</t>
  </si>
  <si>
    <t>温州益聚投资管理有限公司</t>
  </si>
  <si>
    <t>义桥镇湘南村东二路南侧地块</t>
  </si>
  <si>
    <t>萧政储出(2016)33号</t>
  </si>
  <si>
    <t>温州荣亨投资管理有限公司</t>
  </si>
  <si>
    <t>临浦新区商住地块一</t>
  </si>
  <si>
    <t>萧政储出(2016)31号</t>
  </si>
  <si>
    <t>义桥镇湘南村东二路北侧地块</t>
  </si>
  <si>
    <t>萧政储出(2016)34号</t>
  </si>
  <si>
    <t>科技城核心单元地块三</t>
  </si>
  <si>
    <t>萧政储出(2016)29号</t>
  </si>
  <si>
    <t>居住用地、商业用地、文化设施用地、医院用地</t>
  </si>
  <si>
    <t>2016-12-26</t>
  </si>
  <si>
    <t>杭州传化科技城有限公司</t>
  </si>
  <si>
    <t>科技城核心单元地块一</t>
  </si>
  <si>
    <t>萧政储出(2016)27号</t>
  </si>
  <si>
    <t>居住用地、商务居住兼容用地、其他服务设施用地</t>
  </si>
  <si>
    <t>科技城核心地块二</t>
  </si>
  <si>
    <t>萧政储出(2016)28号</t>
  </si>
  <si>
    <t>中小学兼容社会停车场用地、服务设施用地、商业用地、居住用地、商业商务兼容居住用地、绿地</t>
  </si>
  <si>
    <t>大江东产业集聚区临江街道</t>
  </si>
  <si>
    <t>杭大江东储出(2016)10号</t>
  </si>
  <si>
    <t>1.5-2.0</t>
  </si>
  <si>
    <t>2016-11-28</t>
  </si>
  <si>
    <t>富丽达集团控股有限公司</t>
  </si>
  <si>
    <t>商业40年、住宅70年</t>
  </si>
  <si>
    <t>北干中单元D-13地块</t>
  </si>
  <si>
    <t>萧政储出(2016)20号</t>
  </si>
  <si>
    <t>居住、商业用地</t>
  </si>
  <si>
    <t>≤2.2</t>
  </si>
  <si>
    <t>杭州至高房地产开发有限公司</t>
  </si>
  <si>
    <t>居住70年、商业40年</t>
  </si>
  <si>
    <t>杭州市监测指标情况一览表</t>
  </si>
  <si>
    <t>时间</t>
  </si>
  <si>
    <t>水平值</t>
  </si>
  <si>
    <t>环比增长率</t>
  </si>
  <si>
    <t>住宅、商业及地下车库</t>
  </si>
  <si>
    <t>住宅、商业及地下车库</t>
    <phoneticPr fontId="7" type="noConversion"/>
  </si>
  <si>
    <t>较规则</t>
  </si>
  <si>
    <t>较规则</t>
    <phoneticPr fontId="32" type="noConversion"/>
  </si>
  <si>
    <t>较不规则</t>
  </si>
  <si>
    <t>较不规则</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</si>
  <si>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</si>
  <si>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</si>
  <si>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</si>
  <si>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</si>
  <si>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</si>
  <si>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</si>
  <si>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</si>
  <si>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</si>
  <si>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</si>
  <si>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</si>
  <si>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</si>
  <si>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其他省市系数</t>
  </si>
  <si>
    <t>未包含在土地购买价格中</t>
  </si>
  <si>
    <t>已包含在土地取得成本中</t>
  </si>
  <si>
    <r>
      <rPr>
        <sz val="11"/>
        <rFont val="宋体"/>
        <family val="3"/>
        <charset val="134"/>
      </rPr>
      <t>无偿配建幼儿园，无偿配建</t>
    </r>
    <r>
      <rPr>
        <sz val="11"/>
        <rFont val="Arial"/>
        <family val="2"/>
      </rPr>
      <t>8860</t>
    </r>
    <r>
      <rPr>
        <sz val="11"/>
        <rFont val="宋体"/>
        <family val="3"/>
        <charset val="134"/>
      </rPr>
      <t>平方米公租房，商业不得建公寓式办公、酒店式办公等</t>
    </r>
    <phoneticPr fontId="32" type="noConversion"/>
  </si>
  <si>
    <r>
      <t>17-18</t>
    </r>
    <r>
      <rPr>
        <sz val="11"/>
        <rFont val="宋体"/>
        <family val="3"/>
        <charset val="134"/>
      </rPr>
      <t>层</t>
    </r>
    <phoneticPr fontId="26" type="noConversion"/>
  </si>
  <si>
    <r>
      <t>26</t>
    </r>
    <r>
      <rPr>
        <sz val="11"/>
        <rFont val="宋体"/>
        <family val="3"/>
        <charset val="134"/>
      </rPr>
      <t>层，</t>
    </r>
    <r>
      <rPr>
        <sz val="11"/>
        <rFont val="Arial"/>
        <family val="2"/>
      </rPr>
      <t>11#9</t>
    </r>
    <r>
      <rPr>
        <sz val="11"/>
        <rFont val="宋体"/>
        <family val="3"/>
        <charset val="134"/>
      </rPr>
      <t>层</t>
    </r>
    <r>
      <rPr>
        <sz val="11"/>
        <rFont val="Arial"/>
        <family val="2"/>
      </rPr>
      <t>20300</t>
    </r>
    <r>
      <rPr>
        <sz val="11"/>
        <rFont val="宋体"/>
        <family val="3"/>
        <charset val="134"/>
      </rPr>
      <t>元</t>
    </r>
    <r>
      <rPr>
        <sz val="11"/>
        <rFont val="Arial"/>
        <family val="2"/>
      </rPr>
      <t>/</t>
    </r>
    <r>
      <rPr>
        <sz val="11"/>
        <rFont val="宋体"/>
        <family val="3"/>
        <charset val="134"/>
      </rPr>
      <t>平方米</t>
    </r>
    <phoneticPr fontId="26" type="noConversion"/>
  </si>
  <si>
    <r>
      <t>27</t>
    </r>
    <r>
      <rPr>
        <sz val="11"/>
        <rFont val="宋体"/>
        <family val="3"/>
        <charset val="134"/>
      </rPr>
      <t>层</t>
    </r>
    <phoneticPr fontId="26" type="noConversion"/>
  </si>
  <si>
    <t>双拼</t>
    <phoneticPr fontId="4" type="noConversion"/>
  </si>
  <si>
    <t>联排</t>
    <phoneticPr fontId="4" type="noConversion"/>
  </si>
  <si>
    <t>叠拼</t>
  </si>
  <si>
    <t>叠拼</t>
    <phoneticPr fontId="144" type="noConversion"/>
  </si>
  <si>
    <t>独栋</t>
    <phoneticPr fontId="4" type="noConversion"/>
  </si>
  <si>
    <t>公元帝景</t>
    <phoneticPr fontId="144" type="noConversion"/>
  </si>
  <si>
    <t>萧山区进化镇欢潭村，大岩山白水水库北侧</t>
    <phoneticPr fontId="144" type="noConversion"/>
  </si>
  <si>
    <r>
      <rPr>
        <sz val="11"/>
        <color theme="9" tint="-0.249977111117893"/>
        <rFont val="宋体"/>
        <family val="3"/>
        <charset val="134"/>
      </rPr>
      <t>时代大道沿线东方文化园南约</t>
    </r>
    <r>
      <rPr>
        <sz val="11"/>
        <color theme="9" tint="-0.249977111117893"/>
        <rFont val="Arial"/>
        <family val="2"/>
      </rPr>
      <t>1.6</t>
    </r>
    <r>
      <rPr>
        <sz val="11"/>
        <color theme="9" tint="-0.249977111117893"/>
        <rFont val="宋体"/>
        <family val="3"/>
        <charset val="134"/>
      </rPr>
      <t>千米</t>
    </r>
    <phoneticPr fontId="26" type="noConversion"/>
  </si>
  <si>
    <t>毛坯</t>
  </si>
  <si>
    <t>项目局部</t>
  </si>
  <si>
    <t>成本比率</t>
  </si>
  <si>
    <t>规划建筑面积</t>
  </si>
  <si>
    <t>分摊土地面积</t>
  </si>
  <si>
    <t>《不动产权证书》</t>
  </si>
  <si>
    <t>东思线</t>
    <phoneticPr fontId="32" type="noConversion"/>
  </si>
  <si>
    <t>碧桂园·东旭府</t>
    <phoneticPr fontId="26" type="noConversion"/>
  </si>
  <si>
    <t>平整费</t>
    <phoneticPr fontId="9" type="noConversion"/>
  </si>
  <si>
    <r>
      <rPr>
        <b/>
        <sz val="16"/>
        <rFont val="宋体"/>
        <family val="3"/>
        <charset val="134"/>
      </rPr>
      <t>碧桂园</t>
    </r>
    <r>
      <rPr>
        <b/>
        <sz val="16"/>
        <rFont val="Arial"/>
        <family val="2"/>
      </rPr>
      <t>•</t>
    </r>
    <r>
      <rPr>
        <b/>
        <sz val="16"/>
        <rFont val="宋体"/>
        <family val="3"/>
        <charset val="134"/>
      </rPr>
      <t>越溪府</t>
    </r>
    <phoneticPr fontId="32" type="noConversion"/>
  </si>
  <si>
    <r>
      <rPr>
        <b/>
        <sz val="16"/>
        <rFont val="宋体"/>
        <family val="3"/>
        <charset val="134"/>
      </rPr>
      <t>碧桂园</t>
    </r>
    <r>
      <rPr>
        <b/>
        <sz val="16"/>
        <rFont val="Arial"/>
        <family val="2"/>
      </rPr>
      <t>•</t>
    </r>
    <r>
      <rPr>
        <b/>
        <sz val="16"/>
        <rFont val="宋体"/>
        <family val="3"/>
        <charset val="134"/>
      </rPr>
      <t>越溪府</t>
    </r>
    <phoneticPr fontId="32" type="noConversion"/>
  </si>
  <si>
    <t>宗地面积</t>
    <phoneticPr fontId="32" type="noConversion"/>
  </si>
  <si>
    <t>适中</t>
    <phoneticPr fontId="32" type="noConversion"/>
  </si>
  <si>
    <r>
      <rPr>
        <sz val="11"/>
        <color indexed="8"/>
        <rFont val="宋体"/>
        <family val="3"/>
        <charset val="134"/>
      </rPr>
      <t>较大</t>
    </r>
    <r>
      <rPr>
        <sz val="11"/>
        <color indexed="8"/>
        <rFont val="Arial"/>
        <family val="2"/>
      </rPr>
      <t>/</t>
    </r>
    <r>
      <rPr>
        <sz val="11"/>
        <color indexed="8"/>
        <rFont val="宋体"/>
        <family val="3"/>
        <charset val="134"/>
      </rPr>
      <t>较小</t>
    </r>
    <phoneticPr fontId="32" type="noConversion"/>
  </si>
  <si>
    <t>土地比较法-住宅、综合</t>
  </si>
  <si>
    <t>地上楼面单价</t>
    <phoneticPr fontId="4" type="noConversion"/>
  </si>
  <si>
    <t>综合计容单价</t>
    <phoneticPr fontId="4" type="noConversion"/>
  </si>
  <si>
    <t>地块项目综合指标表</t>
  </si>
  <si>
    <t>项目指标</t>
  </si>
  <si>
    <t>综合指标描述</t>
  </si>
  <si>
    <t>占地面积（㎡）</t>
  </si>
  <si>
    <t>规划计容面积（㎡）</t>
  </si>
  <si>
    <t>建筑面积（㎡）</t>
  </si>
  <si>
    <t>销售面积（㎡）</t>
  </si>
  <si>
    <t>环境面积（㎡）</t>
  </si>
  <si>
    <t>绿化率</t>
  </si>
  <si>
    <t>分产品形式指标明细</t>
  </si>
  <si>
    <t>产品形式</t>
  </si>
  <si>
    <t>规划面积（㎡）</t>
  </si>
  <si>
    <t>基座面积
（㎡）</t>
  </si>
  <si>
    <t>可售面积
（㎡）</t>
  </si>
  <si>
    <t>全部车位
（个）</t>
  </si>
  <si>
    <t>非人防地下</t>
  </si>
  <si>
    <t>人防地下</t>
  </si>
  <si>
    <t>一、可售产品</t>
  </si>
  <si>
    <t>高层（A-01）</t>
    <phoneticPr fontId="4" type="noConversion"/>
  </si>
  <si>
    <t>叠排（A-02）</t>
    <phoneticPr fontId="4" type="noConversion"/>
  </si>
  <si>
    <t>排屋（A-02）</t>
    <phoneticPr fontId="4" type="noConversion"/>
  </si>
  <si>
    <t>高层（A-03）</t>
    <phoneticPr fontId="4" type="noConversion"/>
  </si>
  <si>
    <t>洋房（A-04）</t>
    <phoneticPr fontId="4" type="noConversion"/>
  </si>
  <si>
    <t>合院（A-02）</t>
    <phoneticPr fontId="4" type="noConversion"/>
  </si>
  <si>
    <t>高层（C地块）</t>
    <phoneticPr fontId="4" type="noConversion"/>
  </si>
  <si>
    <t>排屋（D地块）</t>
    <phoneticPr fontId="4" type="noConversion"/>
  </si>
  <si>
    <t>洋房（D地块）</t>
    <phoneticPr fontId="4" type="noConversion"/>
  </si>
  <si>
    <t>小镇中心</t>
    <phoneticPr fontId="4" type="noConversion"/>
  </si>
  <si>
    <t>可售业态对应地库（A地块合计）</t>
    <phoneticPr fontId="4" type="noConversion"/>
  </si>
  <si>
    <t>二、社区配套</t>
  </si>
  <si>
    <t>配套</t>
  </si>
  <si>
    <t>尾气井</t>
  </si>
  <si>
    <t>幼儿园</t>
  </si>
  <si>
    <t>联排/合院</t>
  </si>
  <si>
    <t>联排/合院</t>
    <phoneticPr fontId="8" type="noConversion"/>
  </si>
  <si>
    <t>叠拼</t>
    <phoneticPr fontId="8" type="noConversion"/>
  </si>
  <si>
    <t>多层</t>
    <phoneticPr fontId="8" type="noConversion"/>
  </si>
  <si>
    <t>高层</t>
    <phoneticPr fontId="8" type="noConversion"/>
  </si>
  <si>
    <t>地下车库</t>
    <phoneticPr fontId="8" type="noConversion"/>
  </si>
  <si>
    <t>浦阳镇桃北新村“融创森与海”居住项目A、C、D地块</t>
    <phoneticPr fontId="7" type="noConversion"/>
  </si>
  <si>
    <t>地块</t>
    <phoneticPr fontId="144" type="noConversion"/>
  </si>
  <si>
    <t>证号</t>
    <phoneticPr fontId="144" type="noConversion"/>
  </si>
  <si>
    <t>权利人</t>
    <phoneticPr fontId="144" type="noConversion"/>
  </si>
  <si>
    <t>坐落</t>
    <phoneticPr fontId="144" type="noConversion"/>
  </si>
  <si>
    <t>不动产单元号</t>
    <phoneticPr fontId="144" type="noConversion"/>
  </si>
  <si>
    <t>用途</t>
    <phoneticPr fontId="144" type="noConversion"/>
  </si>
  <si>
    <t>面积</t>
    <phoneticPr fontId="144" type="noConversion"/>
  </si>
  <si>
    <t>使用期限</t>
    <phoneticPr fontId="144" type="noConversion"/>
  </si>
  <si>
    <t>现状</t>
    <phoneticPr fontId="144" type="noConversion"/>
  </si>
  <si>
    <t>容积率</t>
    <phoneticPr fontId="144" type="noConversion"/>
  </si>
  <si>
    <t>计容规划建筑面积</t>
    <phoneticPr fontId="144" type="noConversion"/>
  </si>
  <si>
    <t>规划建筑面积</t>
    <phoneticPr fontId="144" type="noConversion"/>
  </si>
  <si>
    <t>幢号</t>
    <phoneticPr fontId="144" type="noConversion"/>
  </si>
  <si>
    <t>层数（地上/地下）</t>
    <phoneticPr fontId="144" type="noConversion"/>
  </si>
  <si>
    <t>建筑面积</t>
    <phoneticPr fontId="144" type="noConversion"/>
  </si>
  <si>
    <t>备注</t>
    <phoneticPr fontId="144" type="noConversion"/>
  </si>
  <si>
    <t>工程量</t>
    <phoneticPr fontId="144" type="noConversion"/>
  </si>
  <si>
    <t>合计</t>
    <phoneticPr fontId="144" type="noConversion"/>
  </si>
  <si>
    <t>联排</t>
    <phoneticPr fontId="144" type="noConversion"/>
  </si>
  <si>
    <t>联排地下</t>
    <phoneticPr fontId="144" type="noConversion"/>
  </si>
  <si>
    <t>多层/小高层</t>
    <phoneticPr fontId="144" type="noConversion"/>
  </si>
  <si>
    <t>高层</t>
    <phoneticPr fontId="144" type="noConversion"/>
  </si>
  <si>
    <t>商业</t>
    <phoneticPr fontId="144" type="noConversion"/>
  </si>
  <si>
    <t>设备及其他</t>
    <phoneticPr fontId="144" type="noConversion"/>
  </si>
  <si>
    <t>地下车库</t>
    <phoneticPr fontId="144" type="noConversion"/>
  </si>
  <si>
    <t>住宅</t>
    <phoneticPr fontId="144" type="noConversion"/>
  </si>
  <si>
    <t>物业办公</t>
    <phoneticPr fontId="144" type="noConversion"/>
  </si>
  <si>
    <t>物业经营</t>
    <phoneticPr fontId="144" type="noConversion"/>
  </si>
  <si>
    <t>其他配套</t>
    <phoneticPr fontId="144" type="noConversion"/>
  </si>
  <si>
    <t>尾气井</t>
    <phoneticPr fontId="144" type="noConversion"/>
  </si>
  <si>
    <t>地下室</t>
    <phoneticPr fontId="144" type="noConversion"/>
  </si>
  <si>
    <t>A-1</t>
    <phoneticPr fontId="144" type="noConversion"/>
  </si>
  <si>
    <t>浙（2019）萧山区不动产权第0072219号</t>
    <phoneticPr fontId="144" type="noConversion"/>
  </si>
  <si>
    <t>杭州融泓政房地产开发有限公司</t>
    <phoneticPr fontId="144" type="noConversion"/>
  </si>
  <si>
    <t>浦阳镇桃北新村</t>
    <phoneticPr fontId="144" type="noConversion"/>
  </si>
  <si>
    <t>330109022003GB30008W00000000</t>
    <phoneticPr fontId="144" type="noConversion"/>
  </si>
  <si>
    <t>住宅用地</t>
    <phoneticPr fontId="144" type="noConversion"/>
  </si>
  <si>
    <t>土地，现状指挥部、茶楼（评估报告，未见）</t>
    <phoneticPr fontId="144" type="noConversion"/>
  </si>
  <si>
    <t>A、C、D</t>
    <phoneticPr fontId="144" type="noConversion"/>
  </si>
  <si>
    <t>一期</t>
    <phoneticPr fontId="144" type="noConversion"/>
  </si>
  <si>
    <t>I-1地块</t>
    <phoneticPr fontId="144" type="noConversion"/>
  </si>
  <si>
    <t>22#</t>
    <phoneticPr fontId="144" type="noConversion"/>
  </si>
  <si>
    <t>9/1</t>
    <phoneticPr fontId="144" type="noConversion"/>
  </si>
  <si>
    <t>A-2</t>
  </si>
  <si>
    <r>
      <t>浙（2019）萧山区不动产权第0072220号</t>
    </r>
    <r>
      <rPr>
        <sz val="11"/>
        <color theme="1"/>
        <rFont val="宋体"/>
        <family val="2"/>
        <charset val="134"/>
        <scheme val="minor"/>
      </rPr>
      <t/>
    </r>
  </si>
  <si>
    <t>330109022003GB30001W00000000</t>
    <phoneticPr fontId="144" type="noConversion"/>
  </si>
  <si>
    <t>B</t>
    <phoneticPr fontId="144" type="noConversion"/>
  </si>
  <si>
    <t>《建设工程规划许可证》[建字第330109201900213号]</t>
    <phoneticPr fontId="144" type="noConversion"/>
  </si>
  <si>
    <t>23#</t>
  </si>
  <si>
    <t>6/1</t>
    <phoneticPr fontId="144" type="noConversion"/>
  </si>
  <si>
    <t>A-3</t>
  </si>
  <si>
    <r>
      <t>浙（2019）萧山区不动产权第0072221号</t>
    </r>
    <r>
      <rPr>
        <sz val="11"/>
        <color theme="1"/>
        <rFont val="宋体"/>
        <family val="2"/>
        <charset val="134"/>
        <scheme val="minor"/>
      </rPr>
      <t/>
    </r>
  </si>
  <si>
    <t>330109022003GB30009W00000000</t>
    <phoneticPr fontId="144" type="noConversion"/>
  </si>
  <si>
    <t>24#</t>
  </si>
  <si>
    <t>A-4</t>
  </si>
  <si>
    <r>
      <t>浙（2019）萧山区不动产权第0072241号</t>
    </r>
    <r>
      <rPr>
        <sz val="11"/>
        <color theme="1"/>
        <rFont val="宋体"/>
        <family val="2"/>
        <charset val="134"/>
        <scheme val="minor"/>
      </rPr>
      <t/>
    </r>
    <phoneticPr fontId="144" type="noConversion"/>
  </si>
  <si>
    <t>330109022003GB30003W00000000</t>
    <phoneticPr fontId="144" type="noConversion"/>
  </si>
  <si>
    <t>B地块非收益占收益比例</t>
    <phoneticPr fontId="144" type="noConversion"/>
  </si>
  <si>
    <t>25#</t>
  </si>
  <si>
    <t>A-5</t>
  </si>
  <si>
    <r>
      <t>浙（2019）萧山区不动产权第0082103号</t>
    </r>
    <r>
      <rPr>
        <sz val="11"/>
        <color theme="1"/>
        <rFont val="宋体"/>
        <family val="2"/>
        <charset val="134"/>
        <scheme val="minor"/>
      </rPr>
      <t/>
    </r>
    <phoneticPr fontId="144" type="noConversion"/>
  </si>
  <si>
    <t>330109022003GB30006W00000000</t>
    <phoneticPr fontId="144" type="noConversion"/>
  </si>
  <si>
    <t>B一期</t>
    <phoneticPr fontId="144" type="noConversion"/>
  </si>
  <si>
    <t>《建筑工程施工许可证》[建字第330109201909100101号]</t>
    <phoneticPr fontId="144" type="noConversion"/>
  </si>
  <si>
    <t>26#</t>
  </si>
  <si>
    <t>C</t>
    <phoneticPr fontId="144" type="noConversion"/>
  </si>
  <si>
    <t>浙（2019）萧山区不动产权第0086831号</t>
    <phoneticPr fontId="144" type="noConversion"/>
  </si>
  <si>
    <t>浦阳镇</t>
  </si>
  <si>
    <t>330109022003GB30013W00000000</t>
    <phoneticPr fontId="144" type="noConversion"/>
  </si>
  <si>
    <t>土地，现状有未搬迁公墓及管理用房（评估报告，未见）</t>
    <phoneticPr fontId="144" type="noConversion"/>
  </si>
  <si>
    <t>B二期</t>
    <phoneticPr fontId="144" type="noConversion"/>
  </si>
  <si>
    <t>27#</t>
  </si>
  <si>
    <t>D</t>
    <phoneticPr fontId="144" type="noConversion"/>
  </si>
  <si>
    <t>浙（2019）萧山区不动产权第0072242号</t>
  </si>
  <si>
    <t>330109022003GB30015W00000000</t>
    <phoneticPr fontId="144" type="noConversion"/>
  </si>
  <si>
    <t>土地，现状轻钢别墅（评估报告，未见）</t>
    <phoneticPr fontId="144" type="noConversion"/>
  </si>
  <si>
    <t>B三期</t>
    <phoneticPr fontId="144" type="noConversion"/>
  </si>
  <si>
    <t>28#</t>
  </si>
  <si>
    <t>7/1</t>
    <phoneticPr fontId="144" type="noConversion"/>
  </si>
  <si>
    <t>小计</t>
    <phoneticPr fontId="144" type="noConversion"/>
  </si>
  <si>
    <t>——</t>
    <phoneticPr fontId="144" type="noConversion"/>
  </si>
  <si>
    <t>合同价格/万元</t>
    <phoneticPr fontId="144" type="noConversion"/>
  </si>
  <si>
    <t>29#</t>
  </si>
  <si>
    <t>浙（2019）萧山区不动产权第0029171号</t>
    <phoneticPr fontId="144" type="noConversion"/>
  </si>
  <si>
    <t>杭州融阳政房地产开发有限公司</t>
    <phoneticPr fontId="144" type="noConversion"/>
  </si>
  <si>
    <t>330109022003GB30014W00000000</t>
    <phoneticPr fontId="144" type="noConversion"/>
  </si>
  <si>
    <t>在建工程，《建设用地规划许可证》[（2007）浙规证编号0110081]</t>
    <phoneticPr fontId="144" type="noConversion"/>
  </si>
  <si>
    <t>30#</t>
  </si>
  <si>
    <t>B地块</t>
    <phoneticPr fontId="144" type="noConversion"/>
  </si>
  <si>
    <t>在建表</t>
    <phoneticPr fontId="144" type="noConversion"/>
  </si>
  <si>
    <t>合同工期/天</t>
    <phoneticPr fontId="144" type="noConversion"/>
  </si>
  <si>
    <t>31#</t>
  </si>
  <si>
    <t>土地表</t>
    <phoneticPr fontId="144" type="noConversion"/>
  </si>
  <si>
    <t>32#</t>
  </si>
  <si>
    <t>33#</t>
  </si>
  <si>
    <t>34#</t>
  </si>
  <si>
    <t>A</t>
    <phoneticPr fontId="144" type="noConversion"/>
  </si>
  <si>
    <t>主体（无装修）</t>
    <phoneticPr fontId="144" type="noConversion"/>
  </si>
  <si>
    <t>35#</t>
  </si>
  <si>
    <t>9/0</t>
    <phoneticPr fontId="144" type="noConversion"/>
  </si>
  <si>
    <t>主体（有装修）</t>
    <phoneticPr fontId="144" type="noConversion"/>
  </si>
  <si>
    <t>36#</t>
  </si>
  <si>
    <t>基础（有装修）</t>
    <phoneticPr fontId="144" type="noConversion"/>
  </si>
  <si>
    <t>46#</t>
    <phoneticPr fontId="144" type="noConversion"/>
  </si>
  <si>
    <t>6/0</t>
    <phoneticPr fontId="144" type="noConversion"/>
  </si>
  <si>
    <t>47#</t>
  </si>
  <si>
    <t>48#</t>
  </si>
  <si>
    <t>49#</t>
  </si>
  <si>
    <t>50#</t>
  </si>
  <si>
    <t>K1（1#公变）</t>
    <phoneticPr fontId="144" type="noConversion"/>
  </si>
  <si>
    <t>1/0</t>
    <phoneticPr fontId="144" type="noConversion"/>
  </si>
  <si>
    <t>K2（2#公变、1#专变）</t>
    <phoneticPr fontId="144" type="noConversion"/>
  </si>
  <si>
    <t>咨询对象</t>
  </si>
  <si>
    <t>所属地块</t>
  </si>
  <si>
    <t>（分摊）土地面积</t>
  </si>
  <si>
    <t>K4（1#开闭所、4#公变）</t>
    <phoneticPr fontId="144" type="noConversion"/>
  </si>
  <si>
    <t>联排地下</t>
  </si>
  <si>
    <t>多层/小高层</t>
  </si>
  <si>
    <t>设备及其他</t>
  </si>
  <si>
    <t>I-1地下室</t>
    <phoneticPr fontId="144" type="noConversion"/>
  </si>
  <si>
    <t>0/1</t>
    <phoneticPr fontId="144" type="noConversion"/>
  </si>
  <si>
    <r>
      <t>咨询对象</t>
    </r>
    <r>
      <rPr>
        <sz val="9"/>
        <color rgb="FF000000"/>
        <rFont val="Arial"/>
        <family val="2"/>
      </rPr>
      <t>1</t>
    </r>
  </si>
  <si>
    <t>I-2地块</t>
    <phoneticPr fontId="144" type="noConversion"/>
  </si>
  <si>
    <t>1#</t>
    <phoneticPr fontId="144" type="noConversion"/>
  </si>
  <si>
    <t>3/2</t>
    <phoneticPr fontId="144" type="noConversion"/>
  </si>
  <si>
    <r>
      <t>咨询对象</t>
    </r>
    <r>
      <rPr>
        <sz val="9"/>
        <color rgb="FF000000"/>
        <rFont val="Arial"/>
        <family val="2"/>
      </rPr>
      <t>2</t>
    </r>
  </si>
  <si>
    <r>
      <t>A</t>
    </r>
    <r>
      <rPr>
        <sz val="9"/>
        <color rgb="FF000000"/>
        <rFont val="华文细黑"/>
        <family val="3"/>
        <charset val="134"/>
      </rPr>
      <t>、</t>
    </r>
    <r>
      <rPr>
        <sz val="9"/>
        <color rgb="FF000000"/>
        <rFont val="Arial"/>
        <family val="2"/>
      </rPr>
      <t>C</t>
    </r>
    <r>
      <rPr>
        <sz val="9"/>
        <color rgb="FF000000"/>
        <rFont val="华文细黑"/>
        <family val="3"/>
        <charset val="134"/>
      </rPr>
      <t>、</t>
    </r>
    <r>
      <rPr>
        <sz val="9"/>
        <color rgb="FF000000"/>
        <rFont val="Arial"/>
        <family val="2"/>
      </rPr>
      <t>D</t>
    </r>
  </si>
  <si>
    <t>2#</t>
  </si>
  <si>
    <t>3#</t>
  </si>
  <si>
    <t>4#</t>
  </si>
  <si>
    <t>房地产市场价格/万元</t>
  </si>
  <si>
    <t>楼面单价/元/平方米</t>
  </si>
  <si>
    <t>8#</t>
    <phoneticPr fontId="144" type="noConversion"/>
  </si>
  <si>
    <r>
      <t>咨询对象</t>
    </r>
    <r>
      <rPr>
        <sz val="9"/>
        <color theme="1"/>
        <rFont val="Arial"/>
        <family val="2"/>
      </rPr>
      <t>1</t>
    </r>
  </si>
  <si>
    <t>9#</t>
  </si>
  <si>
    <r>
      <t>咨询对象</t>
    </r>
    <r>
      <rPr>
        <sz val="9"/>
        <color theme="1"/>
        <rFont val="Arial"/>
        <family val="2"/>
      </rPr>
      <t>2</t>
    </r>
  </si>
  <si>
    <t>10#</t>
  </si>
  <si>
    <t>11#</t>
  </si>
  <si>
    <t>16#</t>
    <phoneticPr fontId="144" type="noConversion"/>
  </si>
  <si>
    <t>17#</t>
    <phoneticPr fontId="144" type="noConversion"/>
  </si>
  <si>
    <t>I-2地下室</t>
    <phoneticPr fontId="144" type="noConversion"/>
  </si>
  <si>
    <t>其中夹层中计容面积有4658平方米</t>
    <phoneticPr fontId="144" type="noConversion"/>
  </si>
  <si>
    <t>I-3地块</t>
    <phoneticPr fontId="144" type="noConversion"/>
  </si>
  <si>
    <t>52#</t>
    <phoneticPr fontId="144" type="noConversion"/>
  </si>
  <si>
    <t>3/1</t>
    <phoneticPr fontId="144" type="noConversion"/>
  </si>
  <si>
    <t>53#</t>
  </si>
  <si>
    <t>54#</t>
  </si>
  <si>
    <t>55#</t>
  </si>
  <si>
    <t>56#</t>
  </si>
  <si>
    <t>62#</t>
    <phoneticPr fontId="144" type="noConversion"/>
  </si>
  <si>
    <t>63#</t>
  </si>
  <si>
    <t>71#</t>
    <phoneticPr fontId="144" type="noConversion"/>
  </si>
  <si>
    <t>2/1</t>
    <phoneticPr fontId="144" type="noConversion"/>
  </si>
  <si>
    <t>72#</t>
  </si>
  <si>
    <t>73#</t>
  </si>
  <si>
    <t>74#</t>
  </si>
  <si>
    <t>75#</t>
  </si>
  <si>
    <t>出地面积楼梯间及尾气井</t>
    <phoneticPr fontId="144" type="noConversion"/>
  </si>
  <si>
    <t>二期</t>
    <phoneticPr fontId="144" type="noConversion"/>
  </si>
  <si>
    <t>II-1地块</t>
    <phoneticPr fontId="144" type="noConversion"/>
  </si>
  <si>
    <t>37#</t>
    <phoneticPr fontId="144" type="noConversion"/>
  </si>
  <si>
    <t>《建设工程规划许可证》[建字第330109201900214号]</t>
    <phoneticPr fontId="144" type="noConversion"/>
  </si>
  <si>
    <t>38#</t>
  </si>
  <si>
    <t>39#</t>
  </si>
  <si>
    <t>40#</t>
  </si>
  <si>
    <t>《建筑工程施工许可证》[建字第330109201909100201号]</t>
    <phoneticPr fontId="144" type="noConversion"/>
  </si>
  <si>
    <t>41#</t>
  </si>
  <si>
    <t>3/0</t>
    <phoneticPr fontId="144" type="noConversion"/>
  </si>
  <si>
    <t>42#</t>
  </si>
  <si>
    <t>43#</t>
  </si>
  <si>
    <t>44#</t>
  </si>
  <si>
    <t>45#</t>
  </si>
  <si>
    <t>K3（3#公变）</t>
    <phoneticPr fontId="144" type="noConversion"/>
  </si>
  <si>
    <t>II-2地块</t>
    <phoneticPr fontId="144" type="noConversion"/>
  </si>
  <si>
    <t>51#</t>
    <phoneticPr fontId="144" type="noConversion"/>
  </si>
  <si>
    <t>76#</t>
    <phoneticPr fontId="144" type="noConversion"/>
  </si>
  <si>
    <t>77#</t>
    <phoneticPr fontId="144" type="noConversion"/>
  </si>
  <si>
    <t>K7（9#公变）</t>
    <phoneticPr fontId="144" type="noConversion"/>
  </si>
  <si>
    <t>K8（10#公变）</t>
    <phoneticPr fontId="144" type="noConversion"/>
  </si>
  <si>
    <t>II-3地块</t>
    <phoneticPr fontId="144" type="noConversion"/>
  </si>
  <si>
    <t>V6</t>
    <phoneticPr fontId="144" type="noConversion"/>
  </si>
  <si>
    <t>主体结构1-3层柱墙屋面混凝土浇筑全部完成</t>
    <phoneticPr fontId="144" type="noConversion"/>
  </si>
  <si>
    <t>V7</t>
  </si>
  <si>
    <t>V8</t>
  </si>
  <si>
    <t>V9</t>
  </si>
  <si>
    <t>V10</t>
  </si>
  <si>
    <t>V11</t>
  </si>
  <si>
    <t>屋面层结构钢筋绑扎</t>
    <phoneticPr fontId="144" type="noConversion"/>
  </si>
  <si>
    <t>V12</t>
  </si>
  <si>
    <t>V13</t>
  </si>
  <si>
    <t>V14</t>
  </si>
  <si>
    <t>V15</t>
  </si>
  <si>
    <t>V16</t>
  </si>
  <si>
    <t>V17</t>
  </si>
  <si>
    <t>二层结构浇筑完成</t>
    <phoneticPr fontId="144" type="noConversion"/>
  </si>
  <si>
    <t>V18</t>
  </si>
  <si>
    <t>三层结构钢筋帮扎</t>
    <phoneticPr fontId="144" type="noConversion"/>
  </si>
  <si>
    <t>V19</t>
  </si>
  <si>
    <t>K9（11#公变）</t>
    <phoneticPr fontId="144" type="noConversion"/>
  </si>
  <si>
    <t>1-0</t>
    <phoneticPr fontId="144" type="noConversion"/>
  </si>
  <si>
    <t>II-4地块</t>
    <phoneticPr fontId="144" type="noConversion"/>
  </si>
  <si>
    <t>D1</t>
    <phoneticPr fontId="144" type="noConversion"/>
  </si>
  <si>
    <t>8/1</t>
    <phoneticPr fontId="144" type="noConversion"/>
  </si>
  <si>
    <t>负一层柱墙一层板浇筑完成</t>
    <phoneticPr fontId="144" type="noConversion"/>
  </si>
  <si>
    <t>D2</t>
  </si>
  <si>
    <t>D3</t>
  </si>
  <si>
    <t>基础底板浇筑完成</t>
    <phoneticPr fontId="144" type="noConversion"/>
  </si>
  <si>
    <t>D4</t>
  </si>
  <si>
    <t>基础底板钢筋绑扎</t>
    <phoneticPr fontId="144" type="noConversion"/>
  </si>
  <si>
    <t>D5</t>
  </si>
  <si>
    <t>D6</t>
  </si>
  <si>
    <t>D7</t>
  </si>
  <si>
    <t>D8</t>
  </si>
  <si>
    <t>10/1</t>
    <phoneticPr fontId="144" type="noConversion"/>
  </si>
  <si>
    <t>D9</t>
  </si>
  <si>
    <t>C1</t>
    <phoneticPr fontId="144" type="noConversion"/>
  </si>
  <si>
    <t>2/0</t>
    <phoneticPr fontId="144" type="noConversion"/>
  </si>
  <si>
    <t>K5（5-8#公变，3#专变）</t>
    <phoneticPr fontId="144" type="noConversion"/>
  </si>
  <si>
    <t>II-4地下室</t>
    <phoneticPr fontId="144" type="noConversion"/>
  </si>
  <si>
    <t>II-5地块</t>
    <phoneticPr fontId="144" type="noConversion"/>
  </si>
  <si>
    <t>V1</t>
    <phoneticPr fontId="144" type="noConversion"/>
  </si>
  <si>
    <t>V2</t>
  </si>
  <si>
    <t>V3</t>
  </si>
  <si>
    <t>V4</t>
  </si>
  <si>
    <t>V5</t>
  </si>
  <si>
    <t>K6（2#开闭所）</t>
    <phoneticPr fontId="144" type="noConversion"/>
  </si>
  <si>
    <t>三期</t>
    <phoneticPr fontId="144" type="noConversion"/>
  </si>
  <si>
    <t>III-1地块</t>
    <phoneticPr fontId="144" type="noConversion"/>
  </si>
  <si>
    <t>G1</t>
    <phoneticPr fontId="144" type="noConversion"/>
  </si>
  <si>
    <t>16/2</t>
    <phoneticPr fontId="144" type="noConversion"/>
  </si>
  <si>
    <t>土方工程</t>
    <phoneticPr fontId="144" type="noConversion"/>
  </si>
  <si>
    <t>《建设工程规划许可证》[建字第330109201900215号]</t>
    <phoneticPr fontId="144" type="noConversion"/>
  </si>
  <si>
    <t>G2</t>
  </si>
  <si>
    <t>G3</t>
  </si>
  <si>
    <t>20/2</t>
    <phoneticPr fontId="144" type="noConversion"/>
  </si>
  <si>
    <t>主楼混凝土结构施工到正负零</t>
    <phoneticPr fontId="144" type="noConversion"/>
  </si>
  <si>
    <t>G4</t>
  </si>
  <si>
    <t>24/2</t>
    <phoneticPr fontId="144" type="noConversion"/>
  </si>
  <si>
    <t>《建筑工程施工许可证》[建字第330109201909100301号]</t>
    <phoneticPr fontId="144" type="noConversion"/>
  </si>
  <si>
    <t>G5</t>
  </si>
  <si>
    <t>G6</t>
  </si>
  <si>
    <t>G7</t>
  </si>
  <si>
    <t>27/2</t>
    <phoneticPr fontId="144" type="noConversion"/>
  </si>
  <si>
    <t>G8</t>
  </si>
  <si>
    <t>G9</t>
  </si>
  <si>
    <t>C2</t>
    <phoneticPr fontId="144" type="noConversion"/>
  </si>
  <si>
    <t>K10（3#开闭所）</t>
    <phoneticPr fontId="144" type="noConversion"/>
  </si>
  <si>
    <t>III期开闭所为公用，不计容</t>
    <phoneticPr fontId="144" type="noConversion"/>
  </si>
  <si>
    <t>K11（垃圾房）</t>
    <phoneticPr fontId="144" type="noConversion"/>
  </si>
  <si>
    <t>III-1地下室</t>
    <phoneticPr fontId="144" type="noConversion"/>
  </si>
  <si>
    <t>0/2</t>
    <phoneticPr fontId="144" type="noConversion"/>
  </si>
  <si>
    <t>独栋</t>
  </si>
  <si>
    <t>情况3</t>
  </si>
  <si>
    <t>自行开发建设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</si>
</sst>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b/>
      <sz val="10"/>
      <name val="微软雅黑"/>
      <family val="2"/>
      <charset val="134"/>
    </font>
    <font>
      <b/>
      <sz val="10"/>
      <name val="Arial Narrow"/>
      <family val="2"/>
    </font>
    <font>
      <sz val="10"/>
      <name val="微软雅黑"/>
      <family val="2"/>
      <charset val="134"/>
    </font>
    <font>
      <sz val="10"/>
      <name val="Arial Narrow"/>
      <family val="2"/>
    </font>
    <font>
      <sz val="10"/>
      <color rgb="FF000000"/>
      <name val="SimSun"/>
      <family val="3"/>
      <charset val="134"/>
    </font>
    <font>
      <b/>
      <sz val="9"/>
      <color rgb="FF000000"/>
      <name val="宋体"/>
      <family val="3"/>
      <charset val="134"/>
    </font>
    <font>
      <sz val="9"/>
      <color rgb="FF000000"/>
      <name val="宋体"/>
      <family val="3"/>
      <charset val="134"/>
    </font>
    <font>
      <sz val="9"/>
      <color theme="1"/>
      <name val="华文细黑"/>
      <family val="3"/>
      <charset val="134"/>
    </font>
    <font>
      <b/>
      <sz val="9"/>
      <color theme="1"/>
      <name val="华文细黑"/>
      <family val="3"/>
      <charset val="134"/>
    </font>
    <font>
      <sz val="9"/>
      <color rgb="FF000000"/>
      <name val="华文细黑"/>
      <family val="3"/>
      <charset val="134"/>
    </font>
    <font>
      <sz val="9"/>
      <color rgb="FF000000"/>
      <name val="Arial"/>
      <family val="2"/>
    </font>
    <font>
      <sz val="9"/>
      <color theme="1"/>
      <name val="Arial"/>
      <family val="2"/>
    </font>
    <font>
      <b/>
      <sz val="9"/>
      <color rgb="FFFF0000"/>
      <name val="华文细黑"/>
      <family val="3"/>
      <charset val="134"/>
    </font>
    <font>
      <b/>
      <sz val="9"/>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rgb="FFFFC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0" fontId="100" fillId="0" borderId="0"/>
    <xf numFmtId="0" fontId="38" fillId="0" borderId="0">
      <alignment vertical="center"/>
    </xf>
    <xf numFmtId="0" fontId="38" fillId="0" borderId="0"/>
  </cellStyleXfs>
  <cellXfs count="34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14" fontId="255" fillId="0" borderId="13" xfId="0" applyNumberFormat="1"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0" fontId="84"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1" fillId="0" borderId="1" xfId="0" applyFont="1" applyFill="1" applyBorder="1" applyAlignment="1" applyProtection="1">
      <alignment vertical="center" wrapText="1"/>
      <protection locked="0"/>
    </xf>
    <xf numFmtId="0" fontId="123" fillId="6" borderId="0" xfId="0" applyFont="1" applyFill="1" applyAlignment="1" applyProtection="1">
      <alignment horizontal="left" vertical="center"/>
      <protection locked="0"/>
    </xf>
    <xf numFmtId="0" fontId="100" fillId="0" borderId="0" xfId="10">
      <alignment vertical="center"/>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7" fillId="0" borderId="0" xfId="17"/>
    <xf numFmtId="0" fontId="57" fillId="17" borderId="0" xfId="17" applyFill="1"/>
    <xf numFmtId="0" fontId="100" fillId="17" borderId="0" xfId="10" applyFill="1">
      <alignment vertical="center"/>
    </xf>
    <xf numFmtId="0" fontId="57" fillId="0" borderId="0" xfId="17" applyFill="1"/>
    <xf numFmtId="0" fontId="100" fillId="0" borderId="0" xfId="10" applyFill="1">
      <alignment vertical="center"/>
    </xf>
    <xf numFmtId="0" fontId="100" fillId="0" borderId="0" xfId="10" applyAlignment="1">
      <alignment vertical="center" wrapText="1"/>
    </xf>
    <xf numFmtId="0" fontId="55" fillId="2" borderId="30"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9" fontId="48" fillId="0" borderId="5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132" fillId="0" borderId="23" xfId="0" applyFont="1" applyBorder="1" applyAlignment="1" applyProtection="1">
      <alignment horizontal="center" vertical="center"/>
      <protection locked="0"/>
    </xf>
    <xf numFmtId="0" fontId="57" fillId="9" borderId="0" xfId="17" applyFill="1"/>
    <xf numFmtId="0" fontId="100" fillId="9" borderId="0" xfId="10" applyFill="1">
      <alignment vertical="center"/>
    </xf>
    <xf numFmtId="10" fontId="51" fillId="6" borderId="0" xfId="0" applyNumberFormat="1" applyFont="1" applyFill="1" applyAlignment="1" applyProtection="1">
      <alignment vertical="center"/>
      <protection locked="0"/>
    </xf>
    <xf numFmtId="0" fontId="99" fillId="0" borderId="5" xfId="0" applyFont="1" applyFill="1" applyBorder="1" applyAlignment="1" applyProtection="1">
      <alignment horizontal="center" vertical="center"/>
      <protection locked="0"/>
    </xf>
    <xf numFmtId="0" fontId="55" fillId="8" borderId="6" xfId="0"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176" fontId="51" fillId="6" borderId="0" xfId="0" applyNumberFormat="1" applyFont="1" applyFill="1" applyAlignment="1" applyProtection="1">
      <alignment horizontal="center" vertical="center"/>
      <protection locked="0"/>
    </xf>
    <xf numFmtId="176" fontId="81" fillId="6" borderId="0" xfId="0" applyNumberFormat="1" applyFont="1" applyFill="1" applyAlignment="1" applyProtection="1">
      <alignment horizontal="center" vertical="center"/>
      <protection locked="0"/>
    </xf>
    <xf numFmtId="0" fontId="81" fillId="7" borderId="0" xfId="0" applyFont="1" applyFill="1" applyProtection="1">
      <alignment vertical="center"/>
      <protection locked="0"/>
    </xf>
    <xf numFmtId="49" fontId="225" fillId="0" borderId="4" xfId="0" applyNumberFormat="1" applyFont="1" applyFill="1" applyBorder="1" applyAlignment="1" applyProtection="1">
      <alignment horizontal="left" vertical="center"/>
      <protection locked="0"/>
    </xf>
    <xf numFmtId="38" fontId="256" fillId="0" borderId="1" xfId="20" applyNumberFormat="1" applyFont="1" applyBorder="1" applyAlignment="1">
      <alignment horizontal="center" vertical="center" wrapText="1"/>
    </xf>
    <xf numFmtId="38" fontId="257" fillId="0" borderId="1" xfId="20" applyNumberFormat="1" applyFont="1" applyBorder="1" applyAlignment="1">
      <alignment horizontal="center" vertical="center" wrapText="1"/>
    </xf>
    <xf numFmtId="38" fontId="258" fillId="0" borderId="1" xfId="20" applyNumberFormat="1" applyFont="1" applyBorder="1" applyAlignment="1">
      <alignment horizontal="center" vertical="center" wrapText="1"/>
    </xf>
    <xf numFmtId="38" fontId="259" fillId="0" borderId="1" xfId="20" applyNumberFormat="1" applyFont="1" applyBorder="1" applyAlignment="1">
      <alignment horizontal="center" vertical="center" wrapText="1"/>
    </xf>
    <xf numFmtId="186" fontId="260" fillId="5" borderId="1" xfId="0" applyNumberFormat="1" applyFont="1" applyFill="1" applyBorder="1" applyAlignment="1" applyProtection="1">
      <alignment horizontal="center" vertical="center" wrapText="1"/>
      <protection locked="0"/>
    </xf>
    <xf numFmtId="0" fontId="263" fillId="19" borderId="0" xfId="10" applyFont="1" applyFill="1" applyAlignment="1">
      <alignment vertical="center" wrapText="1"/>
    </xf>
    <xf numFmtId="0" fontId="264" fillId="19" borderId="0" xfId="10" applyFont="1" applyFill="1" applyAlignment="1">
      <alignment horizontal="left" vertical="top" wrapText="1"/>
    </xf>
    <xf numFmtId="0" fontId="263" fillId="19" borderId="0" xfId="10" applyFont="1" applyFill="1" applyAlignment="1">
      <alignment horizontal="left" vertical="top" wrapText="1"/>
    </xf>
    <xf numFmtId="49" fontId="263" fillId="19" borderId="0" xfId="10" applyNumberFormat="1" applyFont="1" applyFill="1" applyAlignment="1">
      <alignment horizontal="left" vertical="top" wrapText="1"/>
    </xf>
    <xf numFmtId="0" fontId="264" fillId="20" borderId="0" xfId="10" applyFont="1" applyFill="1" applyAlignment="1">
      <alignment vertical="top" wrapText="1"/>
    </xf>
    <xf numFmtId="0" fontId="264" fillId="0" borderId="0" xfId="10" applyFont="1" applyAlignment="1">
      <alignment horizontal="left" vertical="top" wrapText="1"/>
    </xf>
    <xf numFmtId="0" fontId="263" fillId="19" borderId="47" xfId="10" applyFont="1" applyFill="1" applyBorder="1" applyAlignment="1">
      <alignment horizontal="left" vertical="top" wrapText="1"/>
    </xf>
    <xf numFmtId="0" fontId="264" fillId="20" borderId="47" xfId="10" applyFont="1" applyFill="1" applyBorder="1" applyAlignment="1">
      <alignment horizontal="left" vertical="top" wrapText="1"/>
    </xf>
    <xf numFmtId="0" fontId="263" fillId="0" borderId="47" xfId="10" applyFont="1" applyBorder="1" applyAlignment="1">
      <alignment horizontal="left" vertical="top" wrapText="1"/>
    </xf>
    <xf numFmtId="0" fontId="263" fillId="0" borderId="0" xfId="10" applyFont="1" applyAlignment="1">
      <alignment horizontal="left" vertical="top" wrapText="1"/>
    </xf>
    <xf numFmtId="14" fontId="263" fillId="0" borderId="0" xfId="10" applyNumberFormat="1" applyFont="1" applyAlignment="1">
      <alignment horizontal="left" vertical="top" wrapText="1"/>
    </xf>
    <xf numFmtId="0" fontId="263" fillId="0" borderId="19" xfId="10" applyFont="1" applyBorder="1" applyAlignment="1">
      <alignment horizontal="left" vertical="top" wrapText="1"/>
    </xf>
    <xf numFmtId="49" fontId="263" fillId="0" borderId="19" xfId="10" applyNumberFormat="1" applyFont="1" applyBorder="1" applyAlignment="1">
      <alignment horizontal="left" vertical="top" wrapText="1"/>
    </xf>
    <xf numFmtId="49" fontId="263" fillId="0" borderId="0" xfId="10" applyNumberFormat="1" applyFont="1" applyAlignment="1">
      <alignment horizontal="left" vertical="top" wrapText="1"/>
    </xf>
    <xf numFmtId="10" fontId="264" fillId="19" borderId="0" xfId="10" applyNumberFormat="1" applyFont="1" applyFill="1" applyAlignment="1">
      <alignment horizontal="left" vertical="top" wrapText="1"/>
    </xf>
    <xf numFmtId="0" fontId="263" fillId="0" borderId="0" xfId="10" applyFont="1" applyAlignment="1">
      <alignment vertical="top" wrapText="1"/>
    </xf>
    <xf numFmtId="10" fontId="263" fillId="0" borderId="0" xfId="10" applyNumberFormat="1" applyFont="1" applyAlignment="1">
      <alignment horizontal="left" vertical="top" wrapText="1"/>
    </xf>
    <xf numFmtId="0" fontId="265" fillId="0" borderId="43" xfId="10" applyFont="1" applyBorder="1" applyAlignment="1">
      <alignment horizontal="justify" vertical="center" wrapText="1"/>
    </xf>
    <xf numFmtId="0" fontId="265" fillId="0" borderId="81" xfId="10" applyFont="1" applyBorder="1" applyAlignment="1">
      <alignment horizontal="justify" vertical="center" wrapText="1"/>
    </xf>
    <xf numFmtId="0" fontId="266" fillId="0" borderId="43" xfId="10" applyFont="1" applyBorder="1" applyAlignment="1">
      <alignment horizontal="justify" vertical="center" wrapText="1"/>
    </xf>
    <xf numFmtId="0" fontId="263" fillId="0" borderId="156" xfId="10" applyFont="1" applyBorder="1" applyAlignment="1">
      <alignment horizontal="justify" vertical="center" wrapText="1"/>
    </xf>
    <xf numFmtId="0" fontId="263" fillId="0" borderId="157" xfId="10" applyFont="1" applyBorder="1" applyAlignment="1">
      <alignment horizontal="justify" vertical="center" wrapText="1"/>
    </xf>
    <xf numFmtId="0" fontId="263" fillId="0" borderId="158" xfId="10" applyFont="1" applyBorder="1" applyAlignment="1">
      <alignment horizontal="justify" vertical="center" wrapText="1"/>
    </xf>
    <xf numFmtId="0" fontId="263" fillId="0" borderId="159" xfId="10" applyFont="1" applyBorder="1" applyAlignment="1">
      <alignment horizontal="justify" vertical="center" wrapText="1"/>
    </xf>
    <xf numFmtId="0" fontId="267" fillId="0" borderId="159" xfId="10" applyFont="1" applyBorder="1" applyAlignment="1">
      <alignment horizontal="justify" vertical="center" wrapText="1"/>
    </xf>
    <xf numFmtId="0" fontId="263" fillId="0" borderId="60" xfId="10" applyFont="1" applyBorder="1" applyAlignment="1">
      <alignment horizontal="left" vertical="top" wrapText="1"/>
    </xf>
    <xf numFmtId="49" fontId="264" fillId="0" borderId="0" xfId="10" applyNumberFormat="1" applyFont="1" applyAlignment="1">
      <alignment horizontal="left" vertical="top" wrapText="1"/>
    </xf>
    <xf numFmtId="0" fontId="268" fillId="21" borderId="0" xfId="10" applyFont="1" applyFill="1" applyAlignment="1">
      <alignment horizontal="left" vertical="top" wrapText="1"/>
    </xf>
    <xf numFmtId="49" fontId="268" fillId="21" borderId="0" xfId="10" applyNumberFormat="1" applyFont="1" applyFill="1" applyAlignment="1">
      <alignment horizontal="left" vertical="top" wrapText="1"/>
    </xf>
    <xf numFmtId="0" fontId="264" fillId="0" borderId="60" xfId="10" applyFont="1" applyBorder="1" applyAlignment="1">
      <alignment horizontal="left" vertical="top" wrapText="1"/>
    </xf>
    <xf numFmtId="0" fontId="263" fillId="0" borderId="0" xfId="10" applyFont="1" applyAlignment="1">
      <alignment vertical="center" wrapText="1"/>
    </xf>
    <xf numFmtId="38" fontId="258" fillId="0" borderId="1" xfId="12" applyNumberFormat="1" applyFont="1" applyBorder="1" applyAlignment="1">
      <alignment horizontal="center" vertical="center" wrapText="1"/>
    </xf>
    <xf numFmtId="38" fontId="259" fillId="0" borderId="1" xfId="12" applyNumberFormat="1" applyFont="1" applyBorder="1" applyAlignment="1">
      <alignment horizontal="center" vertical="center" wrapText="1"/>
    </xf>
    <xf numFmtId="38" fontId="171" fillId="0" borderId="0" xfId="12" applyNumberFormat="1"/>
    <xf numFmtId="176" fontId="48" fillId="22" borderId="24" xfId="1" applyNumberFormat="1" applyFont="1" applyFill="1" applyBorder="1" applyAlignment="1" applyProtection="1">
      <alignment horizontal="center" vertical="center"/>
      <protection locked="0"/>
    </xf>
    <xf numFmtId="177" fontId="48" fillId="22" borderId="1" xfId="1" applyNumberFormat="1" applyFont="1" applyFill="1" applyBorder="1" applyAlignment="1" applyProtection="1">
      <alignment horizontal="center" vertical="center"/>
      <protection locked="0"/>
    </xf>
    <xf numFmtId="177" fontId="51" fillId="22" borderId="1" xfId="1" applyNumberFormat="1" applyFont="1" applyFill="1" applyBorder="1" applyAlignment="1" applyProtection="1">
      <alignment horizontal="center" vertical="center"/>
      <protection locked="0"/>
    </xf>
    <xf numFmtId="9" fontId="51" fillId="22" borderId="5" xfId="0" applyNumberFormat="1" applyFont="1" applyFill="1" applyBorder="1" applyAlignment="1" applyProtection="1">
      <alignment horizontal="center" vertical="center"/>
      <protection locked="0"/>
    </xf>
    <xf numFmtId="9" fontId="48" fillId="22" borderId="5" xfId="0" applyNumberFormat="1" applyFont="1" applyFill="1" applyBorder="1" applyAlignment="1" applyProtection="1">
      <alignment horizontal="center" vertical="center"/>
      <protection locked="0"/>
    </xf>
    <xf numFmtId="181" fontId="51" fillId="22" borderId="24" xfId="0" applyNumberFormat="1" applyFont="1" applyFill="1" applyBorder="1" applyAlignment="1" applyProtection="1">
      <alignment horizontal="center" vertical="center"/>
      <protection locked="0"/>
    </xf>
    <xf numFmtId="186" fontId="51" fillId="18" borderId="1" xfId="0" applyNumberFormat="1" applyFont="1" applyFill="1" applyBorder="1" applyAlignment="1" applyProtection="1">
      <alignment horizontal="center" vertical="center"/>
      <protection locked="0"/>
    </xf>
    <xf numFmtId="181" fontId="51" fillId="9" borderId="8" xfId="0" applyNumberFormat="1" applyFont="1" applyFill="1" applyBorder="1" applyAlignment="1" applyProtection="1">
      <alignment horizontal="center" vertical="center"/>
      <protection locked="0"/>
    </xf>
    <xf numFmtId="181" fontId="51" fillId="9" borderId="24" xfId="0" applyNumberFormat="1" applyFont="1" applyFill="1" applyBorder="1" applyAlignment="1" applyProtection="1">
      <alignment horizontal="center" vertical="center"/>
      <protection locked="0"/>
    </xf>
    <xf numFmtId="0" fontId="57" fillId="9" borderId="61" xfId="1" applyNumberFormat="1" applyFont="1" applyFill="1" applyBorder="1" applyAlignment="1" applyProtection="1">
      <alignment horizontal="center" vertical="center"/>
      <protection locked="0"/>
    </xf>
    <xf numFmtId="38" fontId="51" fillId="0" borderId="23" xfId="0" applyNumberFormat="1" applyFont="1" applyBorder="1" applyProtection="1">
      <alignment vertical="center"/>
      <protection locked="0"/>
    </xf>
    <xf numFmtId="10" fontId="51" fillId="0" borderId="1" xfId="0" applyNumberFormat="1" applyFont="1" applyBorder="1" applyProtection="1">
      <alignment vertical="center"/>
      <protection locked="0"/>
    </xf>
    <xf numFmtId="38" fontId="263" fillId="19" borderId="0" xfId="10" applyNumberFormat="1" applyFont="1" applyFill="1" applyAlignment="1">
      <alignment horizontal="left" vertical="top"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64" fillId="20" borderId="0" xfId="10" applyFont="1" applyFill="1" applyAlignment="1">
      <alignment horizontal="left" vertical="top" wrapText="1"/>
    </xf>
    <xf numFmtId="0" fontId="264" fillId="20" borderId="47" xfId="10" applyFont="1" applyFill="1" applyBorder="1" applyAlignment="1">
      <alignment horizontal="left" vertical="top" wrapText="1"/>
    </xf>
    <xf numFmtId="0" fontId="263" fillId="0" borderId="0" xfId="10" applyFont="1" applyAlignment="1">
      <alignment horizontal="left" vertical="top" wrapText="1"/>
    </xf>
    <xf numFmtId="0" fontId="264" fillId="0" borderId="0" xfId="10" applyFont="1" applyAlignment="1">
      <alignment horizontal="left" vertical="top" wrapText="1"/>
    </xf>
    <xf numFmtId="0" fontId="263" fillId="0" borderId="60" xfId="10" applyFont="1" applyBorder="1" applyAlignment="1">
      <alignment horizontal="left" vertical="top" wrapText="1"/>
    </xf>
    <xf numFmtId="0" fontId="265" fillId="0" borderId="27" xfId="10" applyFont="1" applyBorder="1" applyAlignment="1">
      <alignment horizontal="justify" vertical="center" wrapText="1"/>
    </xf>
    <xf numFmtId="0" fontId="265" fillId="0" borderId="81" xfId="10" applyFont="1" applyBorder="1" applyAlignment="1">
      <alignment horizontal="justify" vertical="center" wrapText="1"/>
    </xf>
    <xf numFmtId="0" fontId="263" fillId="0" borderId="19" xfId="10" applyFont="1" applyBorder="1" applyAlignment="1">
      <alignment horizontal="left" vertical="top" wrapText="1"/>
    </xf>
    <xf numFmtId="49" fontId="264" fillId="20" borderId="0" xfId="10" applyNumberFormat="1" applyFont="1" applyFill="1" applyAlignment="1">
      <alignment horizontal="left" vertical="top" wrapText="1"/>
    </xf>
    <xf numFmtId="49" fontId="264" fillId="20" borderId="47" xfId="10" applyNumberFormat="1" applyFont="1" applyFill="1" applyBorder="1" applyAlignment="1">
      <alignment horizontal="left" vertical="top" wrapText="1"/>
    </xf>
    <xf numFmtId="0" fontId="265" fillId="0" borderId="63" xfId="10" applyFont="1" applyBorder="1" applyAlignment="1">
      <alignment horizontal="justify" vertical="center" wrapText="1"/>
    </xf>
    <xf numFmtId="0" fontId="265" fillId="0" borderId="64" xfId="10" applyFont="1" applyBorder="1" applyAlignment="1">
      <alignment horizontal="justify" vertical="center" wrapText="1"/>
    </xf>
    <xf numFmtId="0" fontId="265" fillId="0" borderId="65" xfId="10" applyFont="1" applyBorder="1" applyAlignment="1">
      <alignment horizontal="justify" vertical="center" wrapText="1"/>
    </xf>
    <xf numFmtId="0" fontId="264" fillId="0" borderId="60" xfId="10" applyFont="1" applyBorder="1" applyAlignment="1">
      <alignment horizontal="left" vertical="top" wrapText="1"/>
    </xf>
    <xf numFmtId="38" fontId="256" fillId="0" borderId="5" xfId="20" applyNumberFormat="1" applyFont="1" applyBorder="1" applyAlignment="1">
      <alignment horizontal="center" vertical="center" wrapText="1"/>
    </xf>
    <xf numFmtId="38" fontId="256" fillId="0" borderId="54" xfId="20" applyNumberFormat="1" applyFont="1" applyBorder="1" applyAlignment="1">
      <alignment horizontal="center" vertical="center" wrapText="1"/>
    </xf>
    <xf numFmtId="38" fontId="256" fillId="0" borderId="3" xfId="20" applyNumberFormat="1" applyFont="1" applyBorder="1" applyAlignment="1">
      <alignment horizontal="center" vertical="center" wrapText="1"/>
    </xf>
    <xf numFmtId="38" fontId="257" fillId="0" borderId="1" xfId="20" applyNumberFormat="1" applyFont="1" applyBorder="1" applyAlignment="1">
      <alignment horizontal="center" vertical="center" wrapText="1"/>
    </xf>
    <xf numFmtId="38" fontId="256" fillId="0" borderId="60" xfId="20" applyNumberFormat="1" applyFont="1" applyBorder="1" applyAlignment="1">
      <alignment horizontal="center" vertical="center" wrapText="1"/>
    </xf>
    <xf numFmtId="38" fontId="256" fillId="0" borderId="1" xfId="20" applyNumberFormat="1" applyFont="1" applyBorder="1" applyAlignment="1">
      <alignment horizontal="center" vertical="center" wrapText="1"/>
    </xf>
    <xf numFmtId="38" fontId="257" fillId="0" borderId="5" xfId="20" applyNumberFormat="1" applyFont="1" applyBorder="1" applyAlignment="1">
      <alignment horizontal="center" vertical="center" wrapText="1"/>
    </xf>
    <xf numFmtId="38" fontId="257" fillId="0" borderId="54" xfId="20" applyNumberFormat="1" applyFont="1" applyBorder="1" applyAlignment="1">
      <alignment horizontal="center" vertical="center" wrapText="1"/>
    </xf>
    <xf numFmtId="38" fontId="257" fillId="0" borderId="3" xfId="20" applyNumberFormat="1" applyFont="1" applyBorder="1" applyAlignment="1">
      <alignment horizontal="center" vertical="center" wrapText="1"/>
    </xf>
    <xf numFmtId="40" fontId="257" fillId="0" borderId="1" xfId="20" applyNumberFormat="1" applyFont="1" applyBorder="1" applyAlignment="1">
      <alignment horizontal="center" vertical="center" wrapText="1"/>
    </xf>
    <xf numFmtId="9" fontId="257" fillId="0" borderId="5" xfId="20" applyNumberFormat="1" applyFont="1" applyBorder="1" applyAlignment="1">
      <alignment horizontal="center" vertical="center" wrapText="1"/>
    </xf>
    <xf numFmtId="9" fontId="257" fillId="0" borderId="54" xfId="20" applyNumberFormat="1" applyFont="1" applyBorder="1" applyAlignment="1">
      <alignment horizontal="center" vertical="center" wrapText="1"/>
    </xf>
    <xf numFmtId="9" fontId="257" fillId="0" borderId="3" xfId="20" applyNumberFormat="1" applyFont="1" applyBorder="1" applyAlignment="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wrapText="1"/>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1">
    <cellStyle name="百分比 2" xfId="14"/>
    <cellStyle name="常规" xfId="0" builtinId="0"/>
    <cellStyle name="常规 10" xfId="17"/>
    <cellStyle name="常规 11" xfId="19"/>
    <cellStyle name="常规 16" xfId="10"/>
    <cellStyle name="常规 2" xfId="1"/>
    <cellStyle name="常规 2 2" xfId="8"/>
    <cellStyle name="常规 2 2 2" xfId="20"/>
    <cellStyle name="常规 2 2 2 2 3" xfId="15"/>
    <cellStyle name="常规 3" xfId="2"/>
    <cellStyle name="常规 3 2" xfId="3"/>
    <cellStyle name="常规 4" xfId="4"/>
    <cellStyle name="常规 5" xfId="5"/>
    <cellStyle name="常规 53" xfId="18"/>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41413</xdr:colOff>
      <xdr:row>116</xdr:row>
      <xdr:rowOff>57977</xdr:rowOff>
    </xdr:from>
    <xdr:to>
      <xdr:col>33</xdr:col>
      <xdr:colOff>745511</xdr:colOff>
      <xdr:row>132</xdr:row>
      <xdr:rowOff>144117</xdr:rowOff>
    </xdr:to>
    <xdr:pic>
      <xdr:nvPicPr>
        <xdr:cNvPr id="2" name="图片 1">
          <a:extLst>
            <a:ext uri="{FF2B5EF4-FFF2-40B4-BE49-F238E27FC236}">
              <a16:creationId xmlns="" xmlns:a16="http://schemas.microsoft.com/office/drawing/2014/main" id="{CFC22AF0-99E2-C946-88ED-ADF8580DC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37113" y="53639277"/>
          <a:ext cx="8057398" cy="7604540"/>
        </a:xfrm>
        <a:prstGeom prst="rect">
          <a:avLst/>
        </a:prstGeom>
      </xdr:spPr>
    </xdr:pic>
    <xdr:clientData/>
  </xdr:twoCellAnchor>
  <xdr:twoCellAnchor editAs="oneCell">
    <xdr:from>
      <xdr:col>23</xdr:col>
      <xdr:colOff>78441</xdr:colOff>
      <xdr:row>132</xdr:row>
      <xdr:rowOff>246530</xdr:rowOff>
    </xdr:from>
    <xdr:to>
      <xdr:col>36</xdr:col>
      <xdr:colOff>432547</xdr:colOff>
      <xdr:row>144</xdr:row>
      <xdr:rowOff>444243</xdr:rowOff>
    </xdr:to>
    <xdr:pic>
      <xdr:nvPicPr>
        <xdr:cNvPr id="3" name="图片 2">
          <a:extLst>
            <a:ext uri="{FF2B5EF4-FFF2-40B4-BE49-F238E27FC236}">
              <a16:creationId xmlns="" xmlns:a16="http://schemas.microsoft.com/office/drawing/2014/main" id="{AA269195-E51A-9643-B655-CA9E9A7A18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74141" y="61346230"/>
          <a:ext cx="10031506" cy="58365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19050</xdr:rowOff>
    </xdr:from>
    <xdr:to>
      <xdr:col>11</xdr:col>
      <xdr:colOff>28575</xdr:colOff>
      <xdr:row>49</xdr:row>
      <xdr:rowOff>114300</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76450"/>
          <a:ext cx="8772525" cy="6438900"/>
        </a:xfrm>
        <a:prstGeom prst="rect">
          <a:avLst/>
        </a:prstGeom>
      </xdr:spPr>
    </xdr:pic>
    <xdr:clientData/>
  </xdr:twoCellAnchor>
  <xdr:twoCellAnchor>
    <xdr:from>
      <xdr:col>6</xdr:col>
      <xdr:colOff>19050</xdr:colOff>
      <xdr:row>38</xdr:row>
      <xdr:rowOff>85725</xdr:rowOff>
    </xdr:from>
    <xdr:to>
      <xdr:col>6</xdr:col>
      <xdr:colOff>361950</xdr:colOff>
      <xdr:row>40</xdr:row>
      <xdr:rowOff>85725</xdr:rowOff>
    </xdr:to>
    <xdr:sp macro="" textlink="">
      <xdr:nvSpPr>
        <xdr:cNvPr id="3" name="五角星 2">
          <a:extLst>
            <a:ext uri="{FF2B5EF4-FFF2-40B4-BE49-F238E27FC236}">
              <a16:creationId xmlns="" xmlns:a16="http://schemas.microsoft.com/office/drawing/2014/main" id="{00000000-0008-0000-1600-000003000000}"/>
            </a:ext>
          </a:extLst>
        </xdr:cNvPr>
        <xdr:cNvSpPr/>
      </xdr:nvSpPr>
      <xdr:spPr>
        <a:xfrm>
          <a:off x="4819650" y="6600825"/>
          <a:ext cx="342900" cy="342900"/>
        </a:xfrm>
        <a:prstGeom prst="star5">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314324</xdr:colOff>
      <xdr:row>18</xdr:row>
      <xdr:rowOff>133351</xdr:rowOff>
    </xdr:from>
    <xdr:to>
      <xdr:col>10</xdr:col>
      <xdr:colOff>631124</xdr:colOff>
      <xdr:row>22</xdr:row>
      <xdr:rowOff>28575</xdr:rowOff>
    </xdr:to>
    <xdr:sp macro="" textlink="">
      <xdr:nvSpPr>
        <xdr:cNvPr id="4" name="矩形标注 3">
          <a:extLst>
            <a:ext uri="{FF2B5EF4-FFF2-40B4-BE49-F238E27FC236}">
              <a16:creationId xmlns="" xmlns:a16="http://schemas.microsoft.com/office/drawing/2014/main" id="{00000000-0008-0000-1600-000004000000}"/>
            </a:ext>
          </a:extLst>
        </xdr:cNvPr>
        <xdr:cNvSpPr/>
      </xdr:nvSpPr>
      <xdr:spPr>
        <a:xfrm>
          <a:off x="5629274" y="3219451"/>
          <a:ext cx="3060000" cy="581024"/>
        </a:xfrm>
        <a:prstGeom prst="wedgeRectCallout">
          <a:avLst>
            <a:gd name="adj1" fmla="val -25025"/>
            <a:gd name="adj2" fmla="val -17619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所前镇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R3</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10200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2040</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亩，自持比例</a:t>
          </a:r>
          <a:r>
            <a:rPr lang="en-US" altLang="zh-CN" sz="900" b="0" i="0">
              <a:solidFill>
                <a:sysClr val="windowText" lastClr="000000"/>
              </a:solidFill>
              <a:effectLst/>
              <a:latin typeface="+mn-lt"/>
              <a:ea typeface="+mn-ea"/>
              <a:cs typeface="+mn-cs"/>
            </a:rPr>
            <a:t>9%</a:t>
          </a:r>
          <a:r>
            <a:rPr lang="zh-CN" altLang="en-US" sz="900" b="0" i="0">
              <a:solidFill>
                <a:sysClr val="windowText" lastClr="000000"/>
              </a:solidFill>
              <a:effectLst/>
              <a:latin typeface="+mn-lt"/>
              <a:ea typeface="+mn-ea"/>
              <a:cs typeface="+mn-cs"/>
            </a:rPr>
            <a:t>，溢价</a:t>
          </a:r>
          <a:r>
            <a:rPr lang="en-US" altLang="zh-CN" sz="900" b="0" i="0">
              <a:solidFill>
                <a:sysClr val="windowText" lastClr="000000"/>
              </a:solidFill>
              <a:effectLst/>
              <a:latin typeface="+mn-lt"/>
              <a:ea typeface="+mn-ea"/>
              <a:cs typeface="+mn-cs"/>
            </a:rPr>
            <a:t>70%</a:t>
          </a: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碧桂园</a:t>
          </a:r>
          <a:r>
            <a:rPr lang="en-US" altLang="zh-CN"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前宸府</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20000</a:t>
          </a:r>
          <a:r>
            <a:rPr lang="zh-CN" altLang="zh-CN"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endParaRPr lang="zh-CN" altLang="en-US" sz="900">
            <a:solidFill>
              <a:sysClr val="windowText" lastClr="000000"/>
            </a:solidFill>
          </a:endParaRPr>
        </a:p>
      </xdr:txBody>
    </xdr:sp>
    <xdr:clientData/>
  </xdr:twoCellAnchor>
  <xdr:twoCellAnchor>
    <xdr:from>
      <xdr:col>6</xdr:col>
      <xdr:colOff>342900</xdr:colOff>
      <xdr:row>28</xdr:row>
      <xdr:rowOff>76200</xdr:rowOff>
    </xdr:from>
    <xdr:to>
      <xdr:col>10</xdr:col>
      <xdr:colOff>659700</xdr:colOff>
      <xdr:row>32</xdr:row>
      <xdr:rowOff>123826</xdr:rowOff>
    </xdr:to>
    <xdr:sp macro="" textlink="">
      <xdr:nvSpPr>
        <xdr:cNvPr id="5" name="矩形标注 4">
          <a:extLst>
            <a:ext uri="{FF2B5EF4-FFF2-40B4-BE49-F238E27FC236}">
              <a16:creationId xmlns="" xmlns:a16="http://schemas.microsoft.com/office/drawing/2014/main" id="{00000000-0008-0000-1600-000005000000}"/>
            </a:ext>
          </a:extLst>
        </xdr:cNvPr>
        <xdr:cNvSpPr/>
      </xdr:nvSpPr>
      <xdr:spPr>
        <a:xfrm>
          <a:off x="5657850" y="4876800"/>
          <a:ext cx="3060000" cy="733426"/>
        </a:xfrm>
        <a:prstGeom prst="wedgeRectCallout">
          <a:avLst>
            <a:gd name="adj1" fmla="val -60341"/>
            <a:gd name="adj2" fmla="val -899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b="1">
              <a:solidFill>
                <a:srgbClr val="C00000"/>
              </a:solidFill>
            </a:rPr>
            <a:t>临浦镇</a:t>
          </a:r>
          <a:endParaRPr lang="en-US" altLang="zh-CN" sz="900" b="1">
            <a:solidFill>
              <a:srgbClr val="C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R2.3</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6999</a:t>
          </a:r>
          <a:r>
            <a:rPr lang="zh-CN" altLang="en-US"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1073</a:t>
          </a:r>
          <a:r>
            <a:rPr lang="zh-CN" altLang="en-US"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75%</a:t>
          </a: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R2.5</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7301</a:t>
          </a:r>
          <a:r>
            <a:rPr lang="zh-CN" altLang="zh-CN"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1216</a:t>
          </a:r>
          <a:r>
            <a:rPr lang="zh-CN" altLang="zh-CN"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zh-CN"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82%</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900" b="1" i="0">
              <a:solidFill>
                <a:srgbClr val="C00000"/>
              </a:solidFill>
              <a:effectLst/>
              <a:latin typeface="+mn-lt"/>
              <a:ea typeface="+mn-ea"/>
              <a:cs typeface="+mn-cs"/>
            </a:rPr>
            <a:t>（碧桂园</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越溪府</a:t>
          </a:r>
          <a:r>
            <a:rPr lang="zh-CN" altLang="zh-CN"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15500</a:t>
          </a:r>
          <a:r>
            <a:rPr lang="zh-CN" altLang="zh-CN"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zh-CN" sz="900" b="1" i="0">
              <a:solidFill>
                <a:srgbClr val="C00000"/>
              </a:solidFill>
              <a:effectLst/>
              <a:latin typeface="+mn-lt"/>
              <a:ea typeface="+mn-ea"/>
              <a:cs typeface="+mn-cs"/>
            </a:rPr>
            <a:t>）</a:t>
          </a:r>
          <a:endParaRPr lang="zh-CN" altLang="zh-CN" sz="900" b="1">
            <a:solidFill>
              <a:srgbClr val="C00000"/>
            </a:solidFill>
            <a:effectLst/>
          </a:endParaRPr>
        </a:p>
      </xdr:txBody>
    </xdr:sp>
    <xdr:clientData/>
  </xdr:twoCellAnchor>
  <xdr:twoCellAnchor>
    <xdr:from>
      <xdr:col>1</xdr:col>
      <xdr:colOff>600075</xdr:colOff>
      <xdr:row>41</xdr:row>
      <xdr:rowOff>47625</xdr:rowOff>
    </xdr:from>
    <xdr:to>
      <xdr:col>4</xdr:col>
      <xdr:colOff>516825</xdr:colOff>
      <xdr:row>49</xdr:row>
      <xdr:rowOff>9525</xdr:rowOff>
    </xdr:to>
    <xdr:sp macro="" textlink="">
      <xdr:nvSpPr>
        <xdr:cNvPr id="6" name="矩形标注 5">
          <a:extLst>
            <a:ext uri="{FF2B5EF4-FFF2-40B4-BE49-F238E27FC236}">
              <a16:creationId xmlns="" xmlns:a16="http://schemas.microsoft.com/office/drawing/2014/main" id="{00000000-0008-0000-1600-000006000000}"/>
            </a:ext>
          </a:extLst>
        </xdr:cNvPr>
        <xdr:cNvSpPr/>
      </xdr:nvSpPr>
      <xdr:spPr>
        <a:xfrm>
          <a:off x="1685925" y="7077075"/>
          <a:ext cx="2774250" cy="1333500"/>
        </a:xfrm>
        <a:prstGeom prst="wedgeRectCallout">
          <a:avLst>
            <a:gd name="adj1" fmla="val -576"/>
            <a:gd name="adj2" fmla="val -12139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戴村镇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R1.8</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8017</a:t>
          </a:r>
          <a:r>
            <a:rPr lang="zh-CN" altLang="en-US"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962</a:t>
          </a:r>
          <a:r>
            <a:rPr lang="zh-CN" altLang="en-US"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45%</a:t>
          </a:r>
          <a:r>
            <a:rPr lang="zh-CN" altLang="en-US" sz="900" b="1" i="0">
              <a:solidFill>
                <a:srgbClr val="C00000"/>
              </a:solidFill>
              <a:effectLst/>
              <a:latin typeface="+mn-lt"/>
              <a:ea typeface="+mn-ea"/>
              <a:cs typeface="+mn-cs"/>
            </a:rPr>
            <a:t>，无偿配建幼儿园，无偿配建</a:t>
          </a:r>
          <a:r>
            <a:rPr lang="en-US" altLang="zh-CN" sz="900" b="1" i="0">
              <a:solidFill>
                <a:srgbClr val="C00000"/>
              </a:solidFill>
              <a:effectLst/>
              <a:latin typeface="+mn-lt"/>
              <a:ea typeface="+mn-ea"/>
              <a:cs typeface="+mn-cs"/>
            </a:rPr>
            <a:t>8860</a:t>
          </a:r>
          <a:r>
            <a:rPr lang="zh-CN" altLang="en-US" sz="900" b="1" i="0">
              <a:solidFill>
                <a:srgbClr val="C00000"/>
              </a:solidFill>
              <a:effectLst/>
              <a:latin typeface="+mn-lt"/>
              <a:ea typeface="+mn-ea"/>
              <a:cs typeface="+mn-cs"/>
            </a:rPr>
            <a:t>平方米公租房</a:t>
          </a:r>
          <a:endParaRPr lang="en-US" altLang="zh-CN" sz="900" b="1" i="0">
            <a:solidFill>
              <a:srgbClr val="C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（德信时光之宸）</a:t>
          </a:r>
          <a:endParaRPr lang="en-US" altLang="zh-CN"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R2.6</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4500</a:t>
          </a:r>
          <a:r>
            <a:rPr lang="zh-CN" altLang="zh-CN"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780</a:t>
          </a:r>
          <a:r>
            <a:rPr lang="zh-CN" altLang="zh-CN"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0%</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银泰云城投：城南银泰城</a:t>
          </a:r>
          <a:r>
            <a:rPr lang="zh-CN" altLang="zh-CN" sz="900" b="0" i="0">
              <a:solidFill>
                <a:sysClr val="windowText" lastClr="000000"/>
              </a:solidFill>
              <a:effectLst/>
              <a:latin typeface="+mn-lt"/>
              <a:ea typeface="+mn-ea"/>
              <a:cs typeface="+mn-cs"/>
            </a:rPr>
            <a:t>）</a:t>
          </a:r>
          <a:endParaRPr lang="en-US" altLang="zh-CN"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rPr>
            <a:t>R1.1</a:t>
          </a:r>
          <a:r>
            <a:rPr lang="zh-CN" altLang="en-US" sz="900">
              <a:solidFill>
                <a:sysClr val="windowText" lastClr="000000"/>
              </a:solidFill>
              <a:effectLst/>
            </a:rPr>
            <a:t>，</a:t>
          </a:r>
          <a:r>
            <a:rPr lang="en-US" altLang="zh-CN" sz="900">
              <a:solidFill>
                <a:sysClr val="windowText" lastClr="000000"/>
              </a:solidFill>
              <a:effectLst/>
            </a:rPr>
            <a:t>6628</a:t>
          </a:r>
          <a:r>
            <a:rPr lang="zh-CN" altLang="en-US" sz="900">
              <a:solidFill>
                <a:sysClr val="windowText" lastClr="000000"/>
              </a:solidFill>
              <a:effectLst/>
            </a:rPr>
            <a:t>元</a:t>
          </a:r>
          <a:r>
            <a:rPr lang="en-US" altLang="zh-CN" sz="900">
              <a:solidFill>
                <a:sysClr val="windowText" lastClr="000000"/>
              </a:solidFill>
              <a:effectLst/>
            </a:rPr>
            <a:t>/㎡</a:t>
          </a:r>
          <a:r>
            <a:rPr lang="zh-CN" altLang="en-US" sz="900">
              <a:solidFill>
                <a:sysClr val="windowText" lastClr="000000"/>
              </a:solidFill>
              <a:effectLst/>
            </a:rPr>
            <a:t>，</a:t>
          </a:r>
          <a:r>
            <a:rPr lang="en-US" altLang="zh-CN" sz="900">
              <a:solidFill>
                <a:sysClr val="windowText" lastClr="000000"/>
              </a:solidFill>
              <a:effectLst/>
            </a:rPr>
            <a:t>486</a:t>
          </a:r>
          <a:r>
            <a:rPr lang="zh-CN" altLang="en-US" sz="900">
              <a:solidFill>
                <a:sysClr val="windowText" lastClr="000000"/>
              </a:solidFill>
              <a:effectLst/>
            </a:rPr>
            <a:t>万元</a:t>
          </a:r>
          <a:r>
            <a:rPr lang="en-US" altLang="zh-CN" sz="900">
              <a:solidFill>
                <a:sysClr val="windowText" lastClr="000000"/>
              </a:solidFill>
              <a:effectLst/>
            </a:rPr>
            <a:t>/</a:t>
          </a:r>
          <a:r>
            <a:rPr lang="zh-CN" altLang="en-US" sz="900">
              <a:solidFill>
                <a:sysClr val="windowText" lastClr="000000"/>
              </a:solidFill>
              <a:effectLst/>
            </a:rPr>
            <a:t>亩，溢价</a:t>
          </a:r>
          <a:r>
            <a:rPr lang="en-US" altLang="zh-CN" sz="900">
              <a:solidFill>
                <a:sysClr val="windowText" lastClr="000000"/>
              </a:solidFill>
              <a:effectLst/>
            </a:rPr>
            <a:t>10%</a:t>
          </a: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a:solidFill>
                <a:sysClr val="windowText" lastClr="000000"/>
              </a:solidFill>
              <a:effectLst/>
            </a:rPr>
            <a:t>（银泰）</a:t>
          </a:r>
        </a:p>
      </xdr:txBody>
    </xdr:sp>
    <xdr:clientData/>
  </xdr:twoCellAnchor>
  <xdr:twoCellAnchor>
    <xdr:from>
      <xdr:col>0</xdr:col>
      <xdr:colOff>9525</xdr:colOff>
      <xdr:row>21</xdr:row>
      <xdr:rowOff>76200</xdr:rowOff>
    </xdr:from>
    <xdr:to>
      <xdr:col>3</xdr:col>
      <xdr:colOff>326325</xdr:colOff>
      <xdr:row>28</xdr:row>
      <xdr:rowOff>47625</xdr:rowOff>
    </xdr:to>
    <xdr:sp macro="" textlink="">
      <xdr:nvSpPr>
        <xdr:cNvPr id="7" name="矩形标注 6">
          <a:extLst>
            <a:ext uri="{FF2B5EF4-FFF2-40B4-BE49-F238E27FC236}">
              <a16:creationId xmlns="" xmlns:a16="http://schemas.microsoft.com/office/drawing/2014/main" id="{00000000-0008-0000-1600-000007000000}"/>
            </a:ext>
          </a:extLst>
        </xdr:cNvPr>
        <xdr:cNvSpPr/>
      </xdr:nvSpPr>
      <xdr:spPr>
        <a:xfrm>
          <a:off x="9525" y="3676650"/>
          <a:ext cx="3574350" cy="1171575"/>
        </a:xfrm>
        <a:prstGeom prst="wedgeRectCallout">
          <a:avLst>
            <a:gd name="adj1" fmla="val 56669"/>
            <a:gd name="adj2" fmla="val -5597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义桥镇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R2.5</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10779</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1796</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120%</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R2.6</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10779</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1868</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120%</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（碧桂园</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东旭府，售价</a:t>
          </a:r>
          <a:r>
            <a:rPr lang="en-US" altLang="zh-CN" sz="900" b="0" i="0">
              <a:solidFill>
                <a:sysClr val="windowText" lastClr="000000"/>
              </a:solidFill>
              <a:effectLst/>
              <a:latin typeface="+mn-lt"/>
              <a:ea typeface="+mn-ea"/>
              <a:cs typeface="+mn-cs"/>
            </a:rPr>
            <a:t>18500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R2.5</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10731</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1788</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53%</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（中天卓越</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风荷锦庭，</a:t>
          </a:r>
          <a:r>
            <a:rPr lang="en-US" altLang="zh-CN" sz="900" b="0" i="0">
              <a:solidFill>
                <a:sysClr val="windowText" lastClr="000000"/>
              </a:solidFill>
              <a:effectLst/>
              <a:latin typeface="+mn-lt"/>
              <a:ea typeface="+mn-ea"/>
              <a:cs typeface="+mn-cs"/>
            </a:rPr>
            <a:t>7#26</a:t>
          </a:r>
          <a:r>
            <a:rPr lang="zh-CN" altLang="en-US" sz="900" b="0" i="0">
              <a:solidFill>
                <a:sysClr val="windowText" lastClr="000000"/>
              </a:solidFill>
              <a:effectLst/>
              <a:latin typeface="+mn-lt"/>
              <a:ea typeface="+mn-ea"/>
              <a:cs typeface="+mn-cs"/>
            </a:rPr>
            <a:t>层售价</a:t>
          </a:r>
          <a:r>
            <a:rPr lang="en-US" altLang="zh-CN" sz="900" b="0" i="0">
              <a:solidFill>
                <a:sysClr val="windowText" lastClr="000000"/>
              </a:solidFill>
              <a:effectLst/>
              <a:latin typeface="+mn-lt"/>
              <a:ea typeface="+mn-ea"/>
              <a:cs typeface="+mn-cs"/>
            </a:rPr>
            <a:t>18600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11#9</a:t>
          </a:r>
          <a:r>
            <a:rPr lang="zh-CN" altLang="en-US" sz="900" b="0" i="0">
              <a:solidFill>
                <a:sysClr val="windowText" lastClr="000000"/>
              </a:solidFill>
              <a:effectLst/>
              <a:latin typeface="+mn-lt"/>
              <a:ea typeface="+mn-ea"/>
              <a:cs typeface="+mn-cs"/>
            </a:rPr>
            <a:t>层售价</a:t>
          </a:r>
          <a:r>
            <a:rPr lang="en-US" altLang="zh-CN" sz="900" b="0" i="0">
              <a:solidFill>
                <a:sysClr val="windowText" lastClr="000000"/>
              </a:solidFill>
              <a:effectLst/>
              <a:latin typeface="+mn-lt"/>
              <a:ea typeface="+mn-ea"/>
              <a:cs typeface="+mn-cs"/>
            </a:rPr>
            <a:t>20300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endParaRPr lang="zh-CN" altLang="en-US" sz="900">
            <a:solidFill>
              <a:sysClr val="windowText" lastClr="000000"/>
            </a:solidFill>
            <a:effectLst/>
          </a:endParaRPr>
        </a:p>
      </xdr:txBody>
    </xdr:sp>
    <xdr:clientData/>
  </xdr:twoCellAnchor>
  <xdr:twoCellAnchor editAs="oneCell">
    <xdr:from>
      <xdr:col>12</xdr:col>
      <xdr:colOff>638175</xdr:colOff>
      <xdr:row>11</xdr:row>
      <xdr:rowOff>85725</xdr:rowOff>
    </xdr:from>
    <xdr:to>
      <xdr:col>23</xdr:col>
      <xdr:colOff>460863</xdr:colOff>
      <xdr:row>49</xdr:row>
      <xdr:rowOff>66675</xdr:rowOff>
    </xdr:to>
    <xdr:pic>
      <xdr:nvPicPr>
        <xdr:cNvPr id="8" name="图片 7">
          <a:extLst>
            <a:ext uri="{FF2B5EF4-FFF2-40B4-BE49-F238E27FC236}">
              <a16:creationId xmlns="" xmlns:a16="http://schemas.microsoft.com/office/drawing/2014/main" id="{00000000-0008-0000-1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53575" y="1971675"/>
          <a:ext cx="7366488" cy="6496050"/>
        </a:xfrm>
        <a:prstGeom prst="rect">
          <a:avLst/>
        </a:prstGeom>
      </xdr:spPr>
    </xdr:pic>
    <xdr:clientData/>
  </xdr:twoCellAnchor>
  <xdr:twoCellAnchor editAs="oneCell">
    <xdr:from>
      <xdr:col>13</xdr:col>
      <xdr:colOff>35701</xdr:colOff>
      <xdr:row>49</xdr:row>
      <xdr:rowOff>51782</xdr:rowOff>
    </xdr:from>
    <xdr:to>
      <xdr:col>23</xdr:col>
      <xdr:colOff>476251</xdr:colOff>
      <xdr:row>71</xdr:row>
      <xdr:rowOff>169050</xdr:rowOff>
    </xdr:to>
    <xdr:pic>
      <xdr:nvPicPr>
        <xdr:cNvPr id="9" name="图片 8">
          <a:extLst>
            <a:ext uri="{FF2B5EF4-FFF2-40B4-BE49-F238E27FC236}">
              <a16:creationId xmlns="" xmlns:a16="http://schemas.microsoft.com/office/drawing/2014/main" id="{00000000-0008-0000-16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36901" y="8452832"/>
          <a:ext cx="7298550" cy="3889168"/>
        </a:xfrm>
        <a:prstGeom prst="rect">
          <a:avLst/>
        </a:prstGeom>
      </xdr:spPr>
    </xdr:pic>
    <xdr:clientData/>
  </xdr:twoCellAnchor>
  <xdr:twoCellAnchor editAs="oneCell">
    <xdr:from>
      <xdr:col>0</xdr:col>
      <xdr:colOff>0</xdr:colOff>
      <xdr:row>54</xdr:row>
      <xdr:rowOff>104774</xdr:rowOff>
    </xdr:from>
    <xdr:to>
      <xdr:col>11</xdr:col>
      <xdr:colOff>256050</xdr:colOff>
      <xdr:row>91</xdr:row>
      <xdr:rowOff>96708</xdr:rowOff>
    </xdr:to>
    <xdr:pic>
      <xdr:nvPicPr>
        <xdr:cNvPr id="10" name="图片 9">
          <a:extLst>
            <a:ext uri="{FF2B5EF4-FFF2-40B4-BE49-F238E27FC236}">
              <a16:creationId xmlns="" xmlns:a16="http://schemas.microsoft.com/office/drawing/2014/main" id="{00000000-0008-0000-16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363074"/>
          <a:ext cx="9000000" cy="6335584"/>
        </a:xfrm>
        <a:prstGeom prst="rect">
          <a:avLst/>
        </a:prstGeom>
      </xdr:spPr>
    </xdr:pic>
    <xdr:clientData/>
  </xdr:twoCellAnchor>
  <xdr:twoCellAnchor editAs="oneCell">
    <xdr:from>
      <xdr:col>0</xdr:col>
      <xdr:colOff>0</xdr:colOff>
      <xdr:row>93</xdr:row>
      <xdr:rowOff>136063</xdr:rowOff>
    </xdr:from>
    <xdr:to>
      <xdr:col>11</xdr:col>
      <xdr:colOff>256050</xdr:colOff>
      <xdr:row>139</xdr:row>
      <xdr:rowOff>24511</xdr:rowOff>
    </xdr:to>
    <xdr:pic>
      <xdr:nvPicPr>
        <xdr:cNvPr id="11" name="图片 10">
          <a:extLst>
            <a:ext uri="{FF2B5EF4-FFF2-40B4-BE49-F238E27FC236}">
              <a16:creationId xmlns="" xmlns:a16="http://schemas.microsoft.com/office/drawing/2014/main" id="{00000000-0008-0000-16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6080913"/>
          <a:ext cx="9000000" cy="7775148"/>
        </a:xfrm>
        <a:prstGeom prst="rect">
          <a:avLst/>
        </a:prstGeom>
      </xdr:spPr>
    </xdr:pic>
    <xdr:clientData/>
  </xdr:twoCellAnchor>
  <xdr:twoCellAnchor>
    <xdr:from>
      <xdr:col>8</xdr:col>
      <xdr:colOff>590550</xdr:colOff>
      <xdr:row>46</xdr:row>
      <xdr:rowOff>57151</xdr:rowOff>
    </xdr:from>
    <xdr:to>
      <xdr:col>10</xdr:col>
      <xdr:colOff>161925</xdr:colOff>
      <xdr:row>48</xdr:row>
      <xdr:rowOff>19051</xdr:rowOff>
    </xdr:to>
    <xdr:sp macro="" textlink="">
      <xdr:nvSpPr>
        <xdr:cNvPr id="12" name="矩形标注 11">
          <a:extLst>
            <a:ext uri="{FF2B5EF4-FFF2-40B4-BE49-F238E27FC236}">
              <a16:creationId xmlns="" xmlns:a16="http://schemas.microsoft.com/office/drawing/2014/main" id="{00000000-0008-0000-1600-00000C000000}"/>
            </a:ext>
          </a:extLst>
        </xdr:cNvPr>
        <xdr:cNvSpPr/>
      </xdr:nvSpPr>
      <xdr:spPr>
        <a:xfrm>
          <a:off x="7277100" y="7943851"/>
          <a:ext cx="942975" cy="304800"/>
        </a:xfrm>
        <a:prstGeom prst="wedgeRectCallout">
          <a:avLst>
            <a:gd name="adj1" fmla="val 11957"/>
            <a:gd name="adj2" fmla="val -11923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effectLst/>
            </a:rPr>
            <a:t>公元帝景</a:t>
          </a:r>
        </a:p>
      </xdr:txBody>
    </xdr:sp>
    <xdr:clientData/>
  </xdr:twoCellAnchor>
  <xdr:twoCellAnchor editAs="oneCell">
    <xdr:from>
      <xdr:col>24</xdr:col>
      <xdr:colOff>19050</xdr:colOff>
      <xdr:row>11</xdr:row>
      <xdr:rowOff>142874</xdr:rowOff>
    </xdr:from>
    <xdr:to>
      <xdr:col>35</xdr:col>
      <xdr:colOff>35269</xdr:colOff>
      <xdr:row>49</xdr:row>
      <xdr:rowOff>152399</xdr:rowOff>
    </xdr:to>
    <xdr:pic>
      <xdr:nvPicPr>
        <xdr:cNvPr id="13" name="图片 12">
          <a:extLst>
            <a:ext uri="{FF2B5EF4-FFF2-40B4-BE49-F238E27FC236}">
              <a16:creationId xmlns="" xmlns:a16="http://schemas.microsoft.com/office/drawing/2014/main" id="{00000000-0008-0000-16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64050" y="2028824"/>
          <a:ext cx="7560019" cy="6524625"/>
        </a:xfrm>
        <a:prstGeom prst="rect">
          <a:avLst/>
        </a:prstGeom>
      </xdr:spPr>
    </xdr:pic>
    <xdr:clientData/>
  </xdr:twoCellAnchor>
  <xdr:twoCellAnchor editAs="oneCell">
    <xdr:from>
      <xdr:col>24</xdr:col>
      <xdr:colOff>35701</xdr:colOff>
      <xdr:row>49</xdr:row>
      <xdr:rowOff>123825</xdr:rowOff>
    </xdr:from>
    <xdr:to>
      <xdr:col>35</xdr:col>
      <xdr:colOff>28782</xdr:colOff>
      <xdr:row>73</xdr:row>
      <xdr:rowOff>121425</xdr:rowOff>
    </xdr:to>
    <xdr:pic>
      <xdr:nvPicPr>
        <xdr:cNvPr id="14" name="图片 13">
          <a:extLst>
            <a:ext uri="{FF2B5EF4-FFF2-40B4-BE49-F238E27FC236}">
              <a16:creationId xmlns="" xmlns:a16="http://schemas.microsoft.com/office/drawing/2014/main" id="{00000000-0008-0000-16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80701" y="8524875"/>
          <a:ext cx="7536881" cy="4112400"/>
        </a:xfrm>
        <a:prstGeom prst="rect">
          <a:avLst/>
        </a:prstGeom>
      </xdr:spPr>
    </xdr:pic>
    <xdr:clientData/>
  </xdr:twoCellAnchor>
  <xdr:twoCellAnchor editAs="oneCell">
    <xdr:from>
      <xdr:col>35</xdr:col>
      <xdr:colOff>147600</xdr:colOff>
      <xdr:row>10</xdr:row>
      <xdr:rowOff>124627</xdr:rowOff>
    </xdr:from>
    <xdr:to>
      <xdr:col>46</xdr:col>
      <xdr:colOff>172037</xdr:colOff>
      <xdr:row>48</xdr:row>
      <xdr:rowOff>109500</xdr:rowOff>
    </xdr:to>
    <xdr:pic>
      <xdr:nvPicPr>
        <xdr:cNvPr id="15" name="图片 14">
          <a:extLst>
            <a:ext uri="{FF2B5EF4-FFF2-40B4-BE49-F238E27FC236}">
              <a16:creationId xmlns="" xmlns:a16="http://schemas.microsoft.com/office/drawing/2014/main" id="{00000000-0008-0000-16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4836400" y="1839127"/>
          <a:ext cx="7568237" cy="6499973"/>
        </a:xfrm>
        <a:prstGeom prst="rect">
          <a:avLst/>
        </a:prstGeom>
      </xdr:spPr>
    </xdr:pic>
    <xdr:clientData/>
  </xdr:twoCellAnchor>
  <xdr:twoCellAnchor editAs="oneCell">
    <xdr:from>
      <xdr:col>35</xdr:col>
      <xdr:colOff>269025</xdr:colOff>
      <xdr:row>49</xdr:row>
      <xdr:rowOff>23227</xdr:rowOff>
    </xdr:from>
    <xdr:to>
      <xdr:col>46</xdr:col>
      <xdr:colOff>209550</xdr:colOff>
      <xdr:row>72</xdr:row>
      <xdr:rowOff>40425</xdr:rowOff>
    </xdr:to>
    <xdr:pic>
      <xdr:nvPicPr>
        <xdr:cNvPr id="16" name="图片 15">
          <a:extLst>
            <a:ext uri="{FF2B5EF4-FFF2-40B4-BE49-F238E27FC236}">
              <a16:creationId xmlns="" xmlns:a16="http://schemas.microsoft.com/office/drawing/2014/main" id="{00000000-0008-0000-1600-00001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957825" y="8424277"/>
          <a:ext cx="7484325" cy="3960548"/>
        </a:xfrm>
        <a:prstGeom prst="rect">
          <a:avLst/>
        </a:prstGeom>
      </xdr:spPr>
    </xdr:pic>
    <xdr:clientData/>
  </xdr:twoCellAnchor>
  <xdr:twoCellAnchor editAs="oneCell">
    <xdr:from>
      <xdr:col>13</xdr:col>
      <xdr:colOff>47625</xdr:colOff>
      <xdr:row>74</xdr:row>
      <xdr:rowOff>9525</xdr:rowOff>
    </xdr:from>
    <xdr:to>
      <xdr:col>27</xdr:col>
      <xdr:colOff>209550</xdr:colOff>
      <xdr:row>117</xdr:row>
      <xdr:rowOff>85725</xdr:rowOff>
    </xdr:to>
    <xdr:pic>
      <xdr:nvPicPr>
        <xdr:cNvPr id="17" name="图片 16">
          <a:extLst>
            <a:ext uri="{FF2B5EF4-FFF2-40B4-BE49-F238E27FC236}">
              <a16:creationId xmlns="" xmlns:a16="http://schemas.microsoft.com/office/drawing/2014/main" id="{00000000-0008-0000-1600-00001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648825" y="12696825"/>
          <a:ext cx="9763125" cy="7448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ver/Desktop/&#22303;&#22320;&#65288;&#33831;&#23665;&#34701;&#210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lver/Desktop/&#22312;&#24314;&#65288;&#33831;&#23665;&#34701;&#21019;B&#22320;&#22359;&#65289;1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lver/Downloads/&#22303;&#22320;&#65288;&#33831;&#23665;&#34701;&#2101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lver/Downloads/&#22312;&#24314;&#65288;&#33831;&#23665;&#34701;&#21019;B&#22320;&#2235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lver/Desktop/&#22303;&#22320;&#65288;&#33831;&#23665;&#34701;&#21019;B&#22320;&#22359;&#65289;1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lver/Desktop/&#27979;&#35797;&#26862;&#19982;&#28023;&#39033;&#30446;A&#22320;&#22359;&#32463;&#27982;&#27979;&#31639;&#34920;(20191125ACD&#21450;EF&#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lver/Downloads/&#22312;&#24314;&#65288;&#33831;&#23665;&#34701;&#21019;B&#22320;&#22359;&#65289;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数据-汇总表"/>
      <sheetName val="数据-取费表"/>
      <sheetName val="估价对象房地状况"/>
      <sheetName val="系统读取表"/>
      <sheetName val="结果表"/>
      <sheetName val="比较法-住宅、综合"/>
      <sheetName val="土地案例"/>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5">
          <cell r="A75" t="str">
            <v>交易情况</v>
          </cell>
          <cell r="C75" t="str">
            <v>正常</v>
          </cell>
        </row>
        <row r="77">
          <cell r="B77" t="str">
            <v>用途</v>
          </cell>
          <cell r="C77">
            <v>0</v>
          </cell>
          <cell r="D77" t="str">
            <v>商住用地</v>
          </cell>
          <cell r="E77" t="str">
            <v>居住用地</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较规则</v>
          </cell>
          <cell r="D121" t="str">
            <v>较不规则</v>
          </cell>
        </row>
        <row r="123">
          <cell r="B123" t="str">
            <v>临街宽度及深度</v>
          </cell>
          <cell r="C123" t="str">
            <v>较适宜</v>
          </cell>
        </row>
        <row r="125">
          <cell r="B125" t="str">
            <v>宗地开发程度</v>
          </cell>
          <cell r="C125" t="str">
            <v>六通</v>
          </cell>
          <cell r="D125" t="str">
            <v>五通</v>
          </cell>
          <cell r="E125" t="str">
            <v>四通</v>
          </cell>
          <cell r="F125" t="str">
            <v>三通</v>
          </cell>
        </row>
        <row r="127">
          <cell r="B127" t="str">
            <v>工程地质条件</v>
          </cell>
          <cell r="C127" t="str">
            <v>较好</v>
          </cell>
        </row>
      </sheetData>
      <sheetData sheetId="19" refreshError="1"/>
      <sheetData sheetId="20" refreshError="1"/>
      <sheetData sheetId="21" refreshError="1"/>
      <sheetData sheetId="22" refreshError="1"/>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毛坯</v>
          </cell>
          <cell r="D122" t="str">
            <v>简装</v>
          </cell>
          <cell r="E122" t="str">
            <v>精装</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汇总"/>
      <sheetName val="B地块113套未售"/>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联排）"/>
      <sheetName val="比较法-住宅（高层）"/>
      <sheetName val="收益法（商业）"/>
      <sheetName val="收益法（地下车库）"/>
      <sheetName val="Sheet1"/>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4">
          <cell r="L4">
            <v>88.54</v>
          </cell>
        </row>
        <row r="5">
          <cell r="L5">
            <v>59.4</v>
          </cell>
        </row>
        <row r="6">
          <cell r="L6">
            <v>59.4</v>
          </cell>
        </row>
        <row r="7">
          <cell r="L7">
            <v>88.54</v>
          </cell>
        </row>
        <row r="8">
          <cell r="L8">
            <v>59.4</v>
          </cell>
        </row>
        <row r="9">
          <cell r="L9">
            <v>59.4</v>
          </cell>
        </row>
        <row r="10">
          <cell r="L10">
            <v>88.54</v>
          </cell>
        </row>
        <row r="11">
          <cell r="L11">
            <v>88.54</v>
          </cell>
        </row>
        <row r="12">
          <cell r="L12">
            <v>59.4</v>
          </cell>
        </row>
        <row r="13">
          <cell r="L13">
            <v>59.4</v>
          </cell>
        </row>
        <row r="14">
          <cell r="L14">
            <v>88.54</v>
          </cell>
        </row>
        <row r="15">
          <cell r="L15">
            <v>88.54</v>
          </cell>
        </row>
        <row r="16">
          <cell r="L16">
            <v>88.54</v>
          </cell>
        </row>
        <row r="17">
          <cell r="L17">
            <v>59.4</v>
          </cell>
        </row>
        <row r="18">
          <cell r="L18">
            <v>59.4</v>
          </cell>
        </row>
        <row r="19">
          <cell r="L19">
            <v>88.54</v>
          </cell>
        </row>
        <row r="20">
          <cell r="L20">
            <v>59.4</v>
          </cell>
        </row>
        <row r="21">
          <cell r="L21">
            <v>59.4</v>
          </cell>
        </row>
        <row r="22">
          <cell r="L22">
            <v>88.54</v>
          </cell>
        </row>
        <row r="23">
          <cell r="L23">
            <v>87.8</v>
          </cell>
        </row>
        <row r="24">
          <cell r="L24">
            <v>87.8</v>
          </cell>
        </row>
        <row r="25">
          <cell r="L25">
            <v>87.8</v>
          </cell>
        </row>
        <row r="26">
          <cell r="L26">
            <v>87.8</v>
          </cell>
        </row>
        <row r="27">
          <cell r="L27">
            <v>87.8</v>
          </cell>
        </row>
        <row r="28">
          <cell r="L28">
            <v>87.8</v>
          </cell>
        </row>
        <row r="29">
          <cell r="L29">
            <v>140.86000000000001</v>
          </cell>
        </row>
        <row r="30">
          <cell r="L30">
            <v>138.58000000000001</v>
          </cell>
        </row>
        <row r="31">
          <cell r="L31">
            <v>138.58000000000001</v>
          </cell>
        </row>
        <row r="32">
          <cell r="L32">
            <v>140.86000000000001</v>
          </cell>
        </row>
        <row r="33">
          <cell r="L33">
            <v>140.94</v>
          </cell>
        </row>
        <row r="34">
          <cell r="L34">
            <v>87.8</v>
          </cell>
        </row>
        <row r="35">
          <cell r="L35">
            <v>87.8</v>
          </cell>
        </row>
        <row r="36">
          <cell r="L36">
            <v>88.03</v>
          </cell>
        </row>
        <row r="37">
          <cell r="L37">
            <v>59.06</v>
          </cell>
        </row>
        <row r="38">
          <cell r="L38">
            <v>85.78</v>
          </cell>
        </row>
        <row r="39">
          <cell r="L39">
            <v>85.78</v>
          </cell>
        </row>
        <row r="40">
          <cell r="L40">
            <v>59.06</v>
          </cell>
        </row>
        <row r="41">
          <cell r="L41">
            <v>88.28</v>
          </cell>
        </row>
        <row r="42">
          <cell r="L42">
            <v>89.78</v>
          </cell>
        </row>
        <row r="43">
          <cell r="L43">
            <v>89.78</v>
          </cell>
        </row>
        <row r="44">
          <cell r="L44">
            <v>88.28</v>
          </cell>
        </row>
        <row r="45">
          <cell r="L45">
            <v>88.28</v>
          </cell>
        </row>
        <row r="46">
          <cell r="L46">
            <v>59.4</v>
          </cell>
        </row>
        <row r="47">
          <cell r="L47">
            <v>59.4</v>
          </cell>
        </row>
        <row r="48">
          <cell r="L48">
            <v>88.54</v>
          </cell>
        </row>
        <row r="49">
          <cell r="L49">
            <v>59.4</v>
          </cell>
        </row>
        <row r="50">
          <cell r="L50">
            <v>59.4</v>
          </cell>
        </row>
        <row r="51">
          <cell r="L51">
            <v>88.54</v>
          </cell>
        </row>
        <row r="52">
          <cell r="L52">
            <v>88.54</v>
          </cell>
        </row>
        <row r="53">
          <cell r="L53">
            <v>59.4</v>
          </cell>
        </row>
        <row r="54">
          <cell r="L54">
            <v>59.4</v>
          </cell>
        </row>
        <row r="55">
          <cell r="L55">
            <v>88.54</v>
          </cell>
        </row>
        <row r="56">
          <cell r="L56">
            <v>88.54</v>
          </cell>
        </row>
        <row r="57">
          <cell r="L57">
            <v>59.4</v>
          </cell>
        </row>
        <row r="58">
          <cell r="L58">
            <v>59.4</v>
          </cell>
        </row>
        <row r="59">
          <cell r="L59">
            <v>88.54</v>
          </cell>
        </row>
        <row r="60">
          <cell r="L60">
            <v>88.54</v>
          </cell>
        </row>
        <row r="61">
          <cell r="L61">
            <v>59.4</v>
          </cell>
        </row>
        <row r="62">
          <cell r="L62">
            <v>59.4</v>
          </cell>
        </row>
        <row r="63">
          <cell r="L63">
            <v>88.54</v>
          </cell>
        </row>
        <row r="64">
          <cell r="L64">
            <v>88.54</v>
          </cell>
        </row>
        <row r="65">
          <cell r="L65">
            <v>59.4</v>
          </cell>
        </row>
        <row r="66">
          <cell r="L66">
            <v>59.4</v>
          </cell>
        </row>
        <row r="67">
          <cell r="L67">
            <v>88.54</v>
          </cell>
        </row>
        <row r="68">
          <cell r="L68">
            <v>88.54</v>
          </cell>
        </row>
        <row r="69">
          <cell r="L69">
            <v>59.4</v>
          </cell>
        </row>
        <row r="70">
          <cell r="L70">
            <v>59.4</v>
          </cell>
        </row>
        <row r="71">
          <cell r="L71">
            <v>88.54</v>
          </cell>
        </row>
        <row r="72">
          <cell r="L72">
            <v>59.4</v>
          </cell>
        </row>
        <row r="73">
          <cell r="L73">
            <v>59.4</v>
          </cell>
        </row>
        <row r="74">
          <cell r="L74">
            <v>88.54</v>
          </cell>
        </row>
        <row r="75">
          <cell r="L75">
            <v>88.54</v>
          </cell>
        </row>
        <row r="76">
          <cell r="L76">
            <v>59.4</v>
          </cell>
        </row>
        <row r="77">
          <cell r="L77">
            <v>59.4</v>
          </cell>
        </row>
        <row r="78">
          <cell r="L78">
            <v>88.54</v>
          </cell>
        </row>
        <row r="79">
          <cell r="L79">
            <v>88.54</v>
          </cell>
        </row>
        <row r="80">
          <cell r="L80">
            <v>59.4</v>
          </cell>
        </row>
        <row r="81">
          <cell r="L81">
            <v>59.4</v>
          </cell>
        </row>
        <row r="82">
          <cell r="L82">
            <v>88.54</v>
          </cell>
        </row>
        <row r="83">
          <cell r="L83">
            <v>59.4</v>
          </cell>
        </row>
        <row r="84">
          <cell r="L84">
            <v>88.54</v>
          </cell>
        </row>
        <row r="85">
          <cell r="L85">
            <v>88.54</v>
          </cell>
        </row>
        <row r="86">
          <cell r="L86">
            <v>59.4</v>
          </cell>
        </row>
        <row r="87">
          <cell r="L87">
            <v>88.54</v>
          </cell>
        </row>
        <row r="88">
          <cell r="L88">
            <v>59.4</v>
          </cell>
        </row>
        <row r="89">
          <cell r="L89">
            <v>59.4</v>
          </cell>
        </row>
        <row r="90">
          <cell r="L90">
            <v>88.54</v>
          </cell>
        </row>
        <row r="91">
          <cell r="L91">
            <v>88.54</v>
          </cell>
        </row>
        <row r="92">
          <cell r="L92">
            <v>59.4</v>
          </cell>
        </row>
        <row r="93">
          <cell r="L93">
            <v>59.4</v>
          </cell>
        </row>
        <row r="94">
          <cell r="L94">
            <v>88.54</v>
          </cell>
        </row>
        <row r="95">
          <cell r="L95">
            <v>88.54</v>
          </cell>
        </row>
        <row r="96">
          <cell r="L96">
            <v>59.4</v>
          </cell>
        </row>
        <row r="97">
          <cell r="L97">
            <v>59.4</v>
          </cell>
        </row>
        <row r="98">
          <cell r="L98">
            <v>88.54</v>
          </cell>
        </row>
        <row r="99">
          <cell r="L99">
            <v>352.64</v>
          </cell>
        </row>
        <row r="100">
          <cell r="L100">
            <v>334.18</v>
          </cell>
        </row>
        <row r="101">
          <cell r="L101">
            <v>281.64999999999998</v>
          </cell>
        </row>
        <row r="102">
          <cell r="L102">
            <v>280.51</v>
          </cell>
        </row>
        <row r="103">
          <cell r="L103">
            <v>352.64</v>
          </cell>
        </row>
        <row r="104">
          <cell r="L104">
            <v>280.51</v>
          </cell>
        </row>
        <row r="105">
          <cell r="L105">
            <v>352.64</v>
          </cell>
        </row>
        <row r="106">
          <cell r="L106">
            <v>334</v>
          </cell>
        </row>
        <row r="107">
          <cell r="L107">
            <v>280.43</v>
          </cell>
        </row>
        <row r="108">
          <cell r="L108">
            <v>281.58999999999997</v>
          </cell>
        </row>
        <row r="109">
          <cell r="L109">
            <v>280.43</v>
          </cell>
        </row>
        <row r="110">
          <cell r="L110">
            <v>352.57</v>
          </cell>
        </row>
        <row r="111">
          <cell r="L111">
            <v>352.64</v>
          </cell>
        </row>
        <row r="112">
          <cell r="L112">
            <v>281.58</v>
          </cell>
        </row>
        <row r="113">
          <cell r="L113">
            <v>280.42</v>
          </cell>
        </row>
        <row r="114">
          <cell r="L114">
            <v>281.52</v>
          </cell>
        </row>
        <row r="115">
          <cell r="L115">
            <v>280.37</v>
          </cell>
        </row>
        <row r="116">
          <cell r="L116">
            <v>352.5</v>
          </cell>
        </row>
      </sheetData>
      <sheetData sheetId="15">
        <row r="3">
          <cell r="D3">
            <v>14088.26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97">
          <cell r="B97" t="str">
            <v>毗邻道路的类型与等级</v>
          </cell>
        </row>
        <row r="112">
          <cell r="B112" t="str">
            <v>宗地开发程度</v>
          </cell>
        </row>
        <row r="114">
          <cell r="B114" t="str">
            <v>工程地质条件</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数据-汇总表"/>
      <sheetName val="数据-取费表"/>
      <sheetName val="估价对象房地状况"/>
      <sheetName val="系统读取表"/>
      <sheetName val="结果表"/>
      <sheetName val="比较法-住宅、综合"/>
      <sheetName val="土地案例"/>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ow r="75">
          <cell r="A75" t="str">
            <v>交易情况</v>
          </cell>
        </row>
      </sheetData>
      <sheetData sheetId="19" refreshError="1"/>
      <sheetData sheetId="20" refreshError="1"/>
      <sheetData sheetId="21" refreshError="1"/>
      <sheetData sheetId="22" refreshError="1"/>
      <sheetData sheetId="23">
        <row r="72">
          <cell r="B72" t="str">
            <v>用途</v>
          </cell>
        </row>
        <row r="99">
          <cell r="B99" t="str">
            <v>毗邻道路的类型与等级</v>
          </cell>
        </row>
        <row r="114">
          <cell r="B114" t="str">
            <v>宗地开发程度</v>
          </cell>
        </row>
        <row r="116">
          <cell r="B116" t="str">
            <v>工程地质条件</v>
          </cell>
        </row>
      </sheetData>
      <sheetData sheetId="24" refreshError="1"/>
      <sheetData sheetId="25">
        <row r="6">
          <cell r="A6" t="str">
            <v>通路</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row>
      </sheetData>
      <sheetData sheetId="33" refreshError="1"/>
      <sheetData sheetId="34" refreshError="1"/>
      <sheetData sheetId="35" refreshError="1"/>
      <sheetData sheetId="36">
        <row r="61">
          <cell r="A61" t="str">
            <v>交易情况</v>
          </cell>
        </row>
      </sheetData>
      <sheetData sheetId="37">
        <row r="62">
          <cell r="A62" t="str">
            <v>交易情况</v>
          </cell>
        </row>
      </sheetData>
      <sheetData sheetId="38">
        <row r="55">
          <cell r="A55" t="str">
            <v>交易情况</v>
          </cell>
        </row>
      </sheetData>
      <sheetData sheetId="39">
        <row r="51">
          <cell r="A51" t="str">
            <v>交易情况</v>
          </cell>
        </row>
      </sheetData>
      <sheetData sheetId="40">
        <row r="49">
          <cell r="A49" t="str">
            <v>交易情况</v>
          </cell>
        </row>
      </sheetData>
      <sheetData sheetId="41">
        <row r="5">
          <cell r="B5" t="str">
            <v>修正项2</v>
          </cell>
        </row>
      </sheetData>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汇总"/>
      <sheetName val="B地块113套未售"/>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联排）"/>
      <sheetName val="比较法-住宅（高层）"/>
      <sheetName val="收益法（商业）"/>
      <sheetName val="收益法（地下车库）"/>
      <sheetName val="Sheet1"/>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1">
          <cell r="C11" t="str">
            <v>杭州融阳政房地产开发有限公司</v>
          </cell>
        </row>
        <row r="13">
          <cell r="D13">
            <v>64907</v>
          </cell>
        </row>
      </sheetData>
      <sheetData sheetId="11"/>
      <sheetData sheetId="12"/>
      <sheetData sheetId="13">
        <row r="3">
          <cell r="P3" t="str">
            <v>联排</v>
          </cell>
        </row>
        <row r="13">
          <cell r="H13">
            <v>563129</v>
          </cell>
        </row>
      </sheetData>
      <sheetData sheetId="14"/>
      <sheetData sheetId="15"/>
      <sheetData sheetId="16"/>
      <sheetData sheetId="17"/>
      <sheetData sheetId="18"/>
      <sheetData sheetId="19"/>
      <sheetData sheetId="20"/>
      <sheetData sheetId="21"/>
      <sheetData sheetId="22">
        <row r="11">
          <cell r="K11">
            <v>3</v>
          </cell>
        </row>
        <row r="17">
          <cell r="K17">
            <v>3</v>
          </cell>
        </row>
        <row r="21">
          <cell r="K21">
            <v>3</v>
          </cell>
        </row>
        <row r="23">
          <cell r="K23">
            <v>5</v>
          </cell>
        </row>
        <row r="27">
          <cell r="K27">
            <v>5</v>
          </cell>
        </row>
        <row r="29">
          <cell r="K29">
            <v>2</v>
          </cell>
        </row>
      </sheetData>
      <sheetData sheetId="23"/>
      <sheetData sheetId="24"/>
      <sheetData sheetId="25">
        <row r="6">
          <cell r="E6">
            <v>15261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汇总"/>
      <sheetName val="B地块113套未售"/>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联排）"/>
      <sheetName val="比较法-住宅（高层）"/>
      <sheetName val="收益法（商业）"/>
      <sheetName val="收益法（地下车库）"/>
      <sheetName val="Sheet1"/>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D3">
            <v>88894.29</v>
          </cell>
        </row>
      </sheetData>
      <sheetData sheetId="16"/>
      <sheetData sheetId="17"/>
      <sheetData sheetId="18">
        <row r="14">
          <cell r="B14">
            <v>170269.33</v>
          </cell>
        </row>
      </sheetData>
      <sheetData sheetId="19">
        <row r="19">
          <cell r="G19">
            <v>93729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汇报指标统计表"/>
      <sheetName val="项目情况汇总表"/>
      <sheetName val="1综合指标表"/>
      <sheetName val="4敏感性分析"/>
      <sheetName val="7销售计划"/>
      <sheetName val="3静态成本表"/>
      <sheetName val="9土地增值税表"/>
      <sheetName val="8增值税及附加表"/>
      <sheetName val="编制说明"/>
      <sheetName val="2项目配置标准表"/>
      <sheetName val="2.1成本测算辅助用表"/>
      <sheetName val="优化方案"/>
      <sheetName val="示范区估算"/>
      <sheetName val="商办配套费用"/>
      <sheetName val="2.2公用配套设施成本"/>
      <sheetName val="10现金流量表"/>
      <sheetName val="股东资金明细"/>
      <sheetName val="5开发节奏表"/>
      <sheetName val="6工程款支付表"/>
      <sheetName val="11股东投入回收表"/>
      <sheetName val="12融资方案计划"/>
      <sheetName val="13相当于招拍挂地价推算"/>
      <sheetName val="14相当于招拍挂地价推算（本表不用）"/>
    </sheetNames>
    <sheetDataSet>
      <sheetData sheetId="0"/>
      <sheetData sheetId="1"/>
      <sheetData sheetId="2"/>
      <sheetData sheetId="3">
        <row r="16">
          <cell r="B16" t="str">
            <v>高层（A-01）</v>
          </cell>
        </row>
      </sheetData>
      <sheetData sheetId="4">
        <row r="4">
          <cell r="D4">
            <v>14000</v>
          </cell>
        </row>
      </sheetData>
      <sheetData sheetId="5"/>
      <sheetData sheetId="6">
        <row r="10">
          <cell r="K10">
            <v>33.796900000000001</v>
          </cell>
        </row>
      </sheetData>
      <sheetData sheetId="7"/>
      <sheetData sheetId="8"/>
      <sheetData sheetId="9"/>
      <sheetData sheetId="10"/>
      <sheetData sheetId="11"/>
      <sheetData sheetId="12"/>
      <sheetData sheetId="13"/>
      <sheetData sheetId="14"/>
      <sheetData sheetId="15">
        <row r="3">
          <cell r="C3">
            <v>3487.5339730000001</v>
          </cell>
        </row>
        <row r="4">
          <cell r="C4">
            <v>1379.1000000000001</v>
          </cell>
        </row>
        <row r="5">
          <cell r="C5">
            <v>1300</v>
          </cell>
        </row>
        <row r="6">
          <cell r="C6">
            <v>551.64</v>
          </cell>
        </row>
        <row r="7">
          <cell r="C7">
            <v>300</v>
          </cell>
        </row>
        <row r="8">
          <cell r="C8">
            <v>350</v>
          </cell>
        </row>
        <row r="9">
          <cell r="C9">
            <v>343.19499999999999</v>
          </cell>
        </row>
        <row r="10">
          <cell r="C10">
            <v>4242.6900000000005</v>
          </cell>
        </row>
        <row r="11">
          <cell r="C11">
            <v>358.24</v>
          </cell>
        </row>
      </sheetData>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汇总"/>
      <sheetName val="B地块113套未售"/>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联排）"/>
      <sheetName val="比较法-住宅（高层）"/>
      <sheetName val="收益法（商业）"/>
      <sheetName val="收益法（地下车库）"/>
      <sheetName val="Sheet1"/>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M6">
            <v>1.57</v>
          </cell>
        </row>
        <row r="7">
          <cell r="R7">
            <v>0.55000000000000004</v>
          </cell>
        </row>
      </sheetData>
      <sheetData sheetId="14"/>
      <sheetData sheetId="15"/>
      <sheetData sheetId="16"/>
      <sheetData sheetId="17"/>
      <sheetData sheetId="18"/>
      <sheetData sheetId="19"/>
      <sheetData sheetId="20"/>
      <sheetData sheetId="21"/>
      <sheetData sheetId="22"/>
      <sheetData sheetId="23"/>
      <sheetData sheetId="24"/>
      <sheetData sheetId="25">
        <row r="6">
          <cell r="F6">
            <v>14311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25" sqref="D25"/>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1215</v>
      </c>
      <c r="B1" s="1578" t="s">
        <v>1294</v>
      </c>
    </row>
    <row r="2" spans="1:2" s="1583" customFormat="1" ht="15" thickTop="1">
      <c r="A2" s="1581" t="s">
        <v>1216</v>
      </c>
      <c r="B2" s="1582" t="str">
        <f>'预评函-封皮'!B37:I37</f>
        <v>浙江省杭州市萧山区浦阳镇桃北新村“融创森与海”居住项目A、C、D地块出让国有建设用地使用权房地产抵押价值预评估</v>
      </c>
    </row>
    <row r="3" spans="1:2" s="1586" customFormat="1">
      <c r="A3" s="1584" t="s">
        <v>1217</v>
      </c>
      <c r="B3" s="1585" t="str">
        <f>'预评函-封皮'!B40</f>
        <v>中信信托有限责任公司</v>
      </c>
    </row>
    <row r="4" spans="1:2" s="1586" customFormat="1">
      <c r="A4" s="1584" t="s">
        <v>1218</v>
      </c>
      <c r="B4" s="1585" t="str">
        <f ca="1">'预评函-封皮'!B46</f>
        <v>郑燚（注册号：0)、王鹏（注册号：1120050019)</v>
      </c>
    </row>
    <row r="5" spans="1:2" s="1580" customFormat="1" ht="15" thickBot="1">
      <c r="A5" s="1587" t="s">
        <v>1219</v>
      </c>
      <c r="B5" s="1588" t="str">
        <f>'预评函-封皮'!B49</f>
        <v>康正预评字号</v>
      </c>
    </row>
    <row r="6" spans="1:2" s="1583" customFormat="1" ht="15" thickTop="1">
      <c r="A6" s="1581" t="s">
        <v>1220</v>
      </c>
      <c r="B6" s="1582" t="str">
        <f>'预评函-1'!A4</f>
        <v>受贵公司委托，我公司对浙江省杭州市萧山区浦阳镇桃北新村“融创森与海”居住项目A、C、D地块出让国有建设用地使用权抵押价值进行了预评估。</v>
      </c>
    </row>
    <row r="7" spans="1:2" s="1586" customFormat="1">
      <c r="A7" s="1584" t="s">
        <v>1260</v>
      </c>
      <c r="B7" s="1585" t="str">
        <f>'预评函-1'!A7</f>
        <v>估价对象为浙江省杭州市萧山区浦阳镇桃北新村“融创森与海”居住项目A、C、D地块出让国有建设用地使用权，为杭州融阳政房地产开发有限公司所有。根据《国有土地使用证》[]，估价对象（分摊）出让国有建设用地使用权面积为358537平方米，建筑面积为900384.258973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浙江省杭州市萧山区浦阳镇桃北新村“融创森与海”居住项目A、C、D地块出让国有建设用地使用权,属杭州融阳政房地产开发有限公司开发建设的居住项目，该项目尚在开发建设中。根据《国有土地使用证》[]，估价对象（分摊）出让国有建设用地使用权面积为358537平方米，规划建筑面积为900384.258973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杭州融阳政房地产开发有限公司拟使用浙江省杭州市萧山区浦阳镇桃北新村“融创森与海”居住项目A、C、D地块出让国有建设用地使用权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6" customFormat="1">
      <c r="A12" s="1584" t="s">
        <v>1222</v>
      </c>
      <c r="B12" s="1585" t="str">
        <f>'预评函-1'!A15</f>
        <v>2019年11月13日（评估专业人员实地查勘之日）</v>
      </c>
    </row>
    <row r="13" spans="1:2" s="1586" customFormat="1">
      <c r="A13" s="1584" t="s">
        <v>1223</v>
      </c>
      <c r="B13" s="1585" t="str">
        <f>'预评函-1'!A18</f>
        <v>本次估价的“房地产价值”是指在正常市场情况下，在价值时点2019年11月13日，估价对象规划用途为住宅、商业及地下车库，土地取得方式为出让，出让国有建设用地使用权剩余土地使用年限为住宅57.87年，假定未设立法定优先受偿款下的房地产市场价值。</v>
      </c>
    </row>
    <row r="14" spans="1:2" s="1586" customFormat="1">
      <c r="A14" s="1584" t="s">
        <v>1224</v>
      </c>
      <c r="B14" s="1585" t="str">
        <f>'预评函-1'!A19</f>
        <v>其中，“出让国有建设用地使用权价值”是指估价对象用途为住宅、商业及地下车库，实际开发程度为宗地红线外“七通”（即通路、通电、通上水、、、、）、红线内场地平整条件下，剩余土地使用年限为住宅57.87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1228</v>
      </c>
      <c r="B18" s="1588" t="str">
        <f>'预评函-1'!A24</f>
        <v>本次评估采用的主估价方法为比较法和假设开发法。</v>
      </c>
    </row>
    <row r="19" spans="1:2" s="1583" customFormat="1" ht="15"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378244</v>
      </c>
    </row>
    <row r="21" spans="1:2" s="1586" customFormat="1">
      <c r="A21" s="1584" t="s">
        <v>1231</v>
      </c>
      <c r="B21" s="1585">
        <f ca="1">'预评函-2'!D7</f>
        <v>4201</v>
      </c>
    </row>
    <row r="22" spans="1:2" s="1586" customFormat="1">
      <c r="A22" s="1584" t="s">
        <v>1232</v>
      </c>
      <c r="B22" s="1585" t="str">
        <f ca="1">'预评函-2'!D6</f>
        <v>叁拾柒亿捌仟贰佰肆拾肆万元整</v>
      </c>
    </row>
    <row r="23" spans="1:2" s="1586" customFormat="1">
      <c r="A23" s="1584" t="s">
        <v>1283</v>
      </c>
      <c r="B23" s="1585" t="str">
        <f>'预评函-2'!B8</f>
        <v>2.估价师知悉的法定优先受偿款</v>
      </c>
    </row>
    <row r="24" spans="1:2" s="1586" customFormat="1">
      <c r="A24" s="1584" t="s">
        <v>1289</v>
      </c>
      <c r="B24" s="1585">
        <f ca="1">'预评函-2'!D8</f>
        <v>2697</v>
      </c>
    </row>
    <row r="25" spans="1:2" s="1586" customFormat="1">
      <c r="A25" s="1584" t="s">
        <v>1233</v>
      </c>
      <c r="B25" s="1585" t="str">
        <f ca="1">'预评函-2'!D9</f>
        <v>贰仟陆佰玖拾柒万元整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 ca="1">'预评函-2'!D12</f>
        <v>2697</v>
      </c>
    </row>
    <row r="29" spans="1:2" s="1586" customFormat="1">
      <c r="A29" s="1584" t="s">
        <v>1287</v>
      </c>
      <c r="B29" s="1585" t="str">
        <f>'预评函-2'!B13</f>
        <v>3.房地产抵押价值</v>
      </c>
    </row>
    <row r="30" spans="1:2" s="1586" customFormat="1">
      <c r="A30" s="1584" t="s">
        <v>1288</v>
      </c>
      <c r="B30" s="1585">
        <f ca="1">'预评函-2'!D13</f>
        <v>375547</v>
      </c>
    </row>
    <row r="31" spans="1:2" s="1586" customFormat="1">
      <c r="A31" s="1584" t="s">
        <v>1270</v>
      </c>
      <c r="B31" s="1585">
        <f ca="1">'预评函-2'!D15</f>
        <v>4171</v>
      </c>
    </row>
    <row r="32" spans="1:2" s="1586" customFormat="1">
      <c r="A32" s="1584" t="s">
        <v>1237</v>
      </c>
      <c r="B32" s="1585" t="str">
        <f ca="1">'预评函-2'!D14</f>
        <v>叁拾柒亿伍仟伍佰肆拾柒万元整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4.抵押净值</v>
      </c>
    </row>
    <row r="38" spans="1:2" s="1586" customFormat="1">
      <c r="A38" s="1584" t="s">
        <v>1291</v>
      </c>
      <c r="B38" s="1585">
        <f ca="1">'预评函-2'!D19</f>
        <v>352713</v>
      </c>
    </row>
    <row r="39" spans="1:2" s="1586" customFormat="1">
      <c r="A39" s="1584" t="s">
        <v>1239</v>
      </c>
      <c r="B39" s="1585">
        <f ca="1">'预评函-2'!D21</f>
        <v>3917</v>
      </c>
    </row>
    <row r="40" spans="1:2" s="1586" customFormat="1">
      <c r="A40" s="1584" t="s">
        <v>1240</v>
      </c>
      <c r="B40" s="1585" t="str">
        <f ca="1">'预评函-2'!D20</f>
        <v>叁拾伍亿贰仟柒佰壹拾叁万元整</v>
      </c>
    </row>
    <row r="41" spans="1:2" s="1586" customFormat="1">
      <c r="A41" s="1584" t="s">
        <v>1286</v>
      </c>
      <c r="B41" s="1585" t="str">
        <f>'预评函-3'!A4</f>
        <v>浙江省杭州市萧山区浦阳镇桃北新村“融创森与海”居住项目A、C、D地块出让国有建设用地使用权</v>
      </c>
    </row>
    <row r="42" spans="1:2" s="1586" customFormat="1">
      <c r="A42" s="1584" t="s">
        <v>1284</v>
      </c>
      <c r="B42" s="1585" t="str">
        <f>'预评函-3'!B2</f>
        <v>建筑面积</v>
      </c>
    </row>
    <row r="43" spans="1:2" s="1586" customFormat="1">
      <c r="A43" s="1584" t="s">
        <v>1285</v>
      </c>
      <c r="B43" s="1585">
        <f>'预评函-3'!B4</f>
        <v>900384.25897299999</v>
      </c>
    </row>
    <row r="44" spans="1:2" s="1586" customFormat="1">
      <c r="A44" s="1584" t="s">
        <v>1269</v>
      </c>
      <c r="B44" s="1585" t="str">
        <f>'预评函-3'!C2</f>
        <v>(分摊)土地面积</v>
      </c>
    </row>
    <row r="45" spans="1:2" s="1586" customFormat="1">
      <c r="A45" s="1584" t="s">
        <v>1241</v>
      </c>
      <c r="B45" s="1585">
        <f>'预评函-3'!C4</f>
        <v>358537</v>
      </c>
    </row>
    <row r="46" spans="1:2" s="1586" customFormat="1">
      <c r="A46" s="1584" t="s">
        <v>1267</v>
      </c>
      <c r="B46" s="1585" t="str">
        <f>'预评函-3'!D2</f>
        <v>出让国有建设用地使用权价值</v>
      </c>
    </row>
    <row r="47" spans="1:2" s="1586" customFormat="1">
      <c r="A47" s="1584" t="s">
        <v>1242</v>
      </c>
      <c r="B47" s="1585">
        <f ca="1">'预评函-3'!D4</f>
        <v>378244</v>
      </c>
    </row>
    <row r="48" spans="1:2" s="1586" customFormat="1">
      <c r="A48" s="1584" t="s">
        <v>1243</v>
      </c>
      <c r="B48" s="1585">
        <f ca="1">'预评函-3'!E4</f>
        <v>4201</v>
      </c>
    </row>
    <row r="49" spans="1:2" s="1586" customFormat="1">
      <c r="A49" s="1584" t="s">
        <v>1244</v>
      </c>
      <c r="B49" s="1585" t="str">
        <f ca="1">'预评函-3'!D5</f>
        <v>叁拾柒亿捌仟贰佰肆拾肆万元整</v>
      </c>
    </row>
    <row r="50" spans="1:2" s="1586" customFormat="1">
      <c r="A50" s="1584" t="s">
        <v>1268</v>
      </c>
      <c r="B50" s="1585" t="str">
        <f>'预评函-3'!F2</f>
        <v>在建建筑物价值</v>
      </c>
    </row>
    <row r="51" spans="1:2" s="1586" customFormat="1">
      <c r="A51" s="1584" t="s">
        <v>1245</v>
      </c>
      <c r="B51" s="1585">
        <f ca="1">'预评函-3'!F4</f>
        <v>0</v>
      </c>
    </row>
    <row r="52" spans="1:2" s="1586" customFormat="1">
      <c r="A52" s="1584" t="s">
        <v>1246</v>
      </c>
      <c r="B52" s="1585">
        <f ca="1">'预评函-3'!G4</f>
        <v>0</v>
      </c>
    </row>
    <row r="53" spans="1:2" s="1586" customFormat="1">
      <c r="A53" s="1584" t="s">
        <v>1274</v>
      </c>
      <c r="B53" s="1585" t="str">
        <f ca="1">'预评函-3'!F5</f>
        <v>零元整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抵押净值</v>
      </c>
    </row>
    <row r="57" spans="1:2" s="1580" customFormat="1" ht="15" thickBot="1">
      <c r="A57" s="1587" t="s">
        <v>1293</v>
      </c>
      <c r="B57" s="1588" t="str">
        <f>'预评函-3'!A6</f>
        <v>估价师知悉的法定优先受偿款</v>
      </c>
    </row>
    <row r="58" spans="1:2" s="1583" customFormat="1" ht="15"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 ca="1">'预评函-4'!A18</f>
        <v>故，本次评估估价师知悉的法定优先受偿款为人民币2697万元整。</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1265</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1266</v>
      </c>
      <c r="B68" s="1585" t="str">
        <f>'预评函-4'!A22</f>
        <v>8.其他需特殊说明事项：无（注意调整序号）</v>
      </c>
    </row>
    <row r="69" spans="1:2" s="1580" customFormat="1" ht="15" thickBot="1">
      <c r="A69" s="1587" t="s">
        <v>1255</v>
      </c>
      <c r="B69" s="1589">
        <f>'预评函-4'!C31</f>
        <v>42551</v>
      </c>
    </row>
    <row r="70" spans="1:2" ht="15" thickTop="1">
      <c r="A70" s="1590" t="s">
        <v>1256</v>
      </c>
      <c r="B70" s="1591" t="str">
        <f>'预评函-4'!A4</f>
        <v>郑燚</v>
      </c>
    </row>
    <row r="71" spans="1:2">
      <c r="A71" s="1584" t="s">
        <v>1257</v>
      </c>
      <c r="B71" s="1585">
        <f ca="1">'预评函-4'!B4</f>
        <v>0</v>
      </c>
    </row>
    <row r="72" spans="1:2">
      <c r="A72" s="1584" t="s">
        <v>1258</v>
      </c>
      <c r="B72" s="1593" t="str">
        <f>'预评函-4'!A5</f>
        <v>王鹏</v>
      </c>
    </row>
    <row r="73" spans="1:2" s="1580" customFormat="1" ht="15" thickBot="1">
      <c r="A73" s="1587" t="s">
        <v>1259</v>
      </c>
      <c r="B73" s="1588">
        <f ca="1">'预评函-4'!B5</f>
        <v>1120050019</v>
      </c>
    </row>
    <row r="74" spans="1:2" ht="15" thickTop="1">
      <c r="A74" s="1577" t="s">
        <v>1295</v>
      </c>
      <c r="B74" s="159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5" sqref="D25"/>
    </sheetView>
  </sheetViews>
  <sheetFormatPr defaultColWidth="9" defaultRowHeight="13.5"/>
  <cols>
    <col min="1" max="1" width="13.5" style="2016" customWidth="1"/>
    <col min="2" max="2" width="23.125" style="1967" customWidth="1"/>
    <col min="3" max="3" width="13" style="2011" customWidth="1"/>
    <col min="4" max="4" width="5.625" style="2008" customWidth="1"/>
    <col min="5" max="5" width="7.125" style="2008" customWidth="1"/>
    <col min="6" max="6" width="10.625" style="2008" customWidth="1"/>
    <col min="7" max="7" width="7.5" style="2008" customWidth="1"/>
    <col min="8" max="8" width="9" style="2011" customWidth="1"/>
    <col min="9" max="9" width="11.625" style="2011" customWidth="1"/>
    <col min="10" max="10" width="9" style="2011" customWidth="1"/>
    <col min="11" max="19" width="9" style="2008" customWidth="1"/>
    <col min="20" max="23" width="9" style="2011" customWidth="1"/>
    <col min="24" max="24" width="21.125" style="1967" customWidth="1"/>
    <col min="25" max="16384" width="9" style="1967"/>
  </cols>
  <sheetData>
    <row r="1" spans="1:23" s="2005" customFormat="1" ht="27">
      <c r="A1" s="1999" t="s">
        <v>71</v>
      </c>
      <c r="B1" s="2000" t="s">
        <v>1685</v>
      </c>
      <c r="C1" s="2001" t="s">
        <v>759</v>
      </c>
      <c r="D1" s="2002" t="s">
        <v>1686</v>
      </c>
      <c r="E1" s="2002" t="s">
        <v>1687</v>
      </c>
      <c r="F1" s="2002" t="s">
        <v>1688</v>
      </c>
      <c r="G1" s="2002" t="s">
        <v>1689</v>
      </c>
      <c r="H1" s="2002" t="s">
        <v>1690</v>
      </c>
      <c r="I1" s="2002" t="s">
        <v>1691</v>
      </c>
      <c r="J1" s="2002" t="s">
        <v>1692</v>
      </c>
      <c r="K1" s="2002" t="s">
        <v>1693</v>
      </c>
      <c r="L1" s="2002" t="s">
        <v>1694</v>
      </c>
      <c r="M1" s="2002" t="s">
        <v>1695</v>
      </c>
      <c r="N1" s="2002" t="s">
        <v>1696</v>
      </c>
      <c r="O1" s="2002" t="s">
        <v>1697</v>
      </c>
      <c r="P1" s="2003" t="s">
        <v>753</v>
      </c>
      <c r="Q1" s="2003" t="s">
        <v>1141</v>
      </c>
      <c r="R1" s="2002" t="s">
        <v>1135</v>
      </c>
      <c r="S1" s="2002" t="s">
        <v>1698</v>
      </c>
      <c r="T1" s="2004" t="s">
        <v>1699</v>
      </c>
      <c r="U1" s="2002" t="s">
        <v>1700</v>
      </c>
      <c r="V1" s="2002" t="s">
        <v>1701</v>
      </c>
      <c r="W1" s="2002" t="s">
        <v>755</v>
      </c>
    </row>
    <row r="2" spans="1:23">
      <c r="A2" s="2006" t="s">
        <v>22</v>
      </c>
      <c r="B2" s="2006" t="s">
        <v>1702</v>
      </c>
      <c r="C2" s="2007" t="s">
        <v>760</v>
      </c>
      <c r="D2" s="2008" t="s">
        <v>1703</v>
      </c>
      <c r="E2" s="2008" t="s">
        <v>1704</v>
      </c>
      <c r="F2" s="2008" t="s">
        <v>1705</v>
      </c>
      <c r="G2" s="2008">
        <v>40</v>
      </c>
      <c r="H2" s="2008" t="s">
        <v>1705</v>
      </c>
      <c r="I2" s="2008" t="s">
        <v>1706</v>
      </c>
      <c r="J2" s="2008" t="s">
        <v>1707</v>
      </c>
      <c r="K2" s="2008" t="s">
        <v>1708</v>
      </c>
      <c r="L2" s="2008" t="s">
        <v>1708</v>
      </c>
      <c r="M2" s="2008" t="s">
        <v>1708</v>
      </c>
      <c r="N2" s="2008" t="s">
        <v>1708</v>
      </c>
      <c r="O2" s="2008" t="s">
        <v>1708</v>
      </c>
      <c r="P2" s="2008" t="s">
        <v>1708</v>
      </c>
      <c r="Q2" s="2008" t="s">
        <v>1708</v>
      </c>
      <c r="R2" s="2008" t="s">
        <v>1137</v>
      </c>
      <c r="S2" s="2008" t="s">
        <v>1708</v>
      </c>
      <c r="T2" s="2008" t="s">
        <v>1709</v>
      </c>
      <c r="U2" s="2008" t="s">
        <v>1708</v>
      </c>
      <c r="V2" s="2008" t="s">
        <v>1710</v>
      </c>
      <c r="W2" s="2008" t="s">
        <v>1708</v>
      </c>
    </row>
    <row r="3" spans="1:23">
      <c r="A3" s="2006" t="s">
        <v>1711</v>
      </c>
      <c r="B3" s="2009" t="s">
        <v>1142</v>
      </c>
      <c r="C3" s="2010" t="s">
        <v>761</v>
      </c>
      <c r="D3" s="2008" t="s">
        <v>1712</v>
      </c>
      <c r="E3" s="2008" t="s">
        <v>16</v>
      </c>
      <c r="F3" s="2008" t="s">
        <v>1713</v>
      </c>
      <c r="G3" s="2008">
        <v>50</v>
      </c>
      <c r="H3" s="2008" t="s">
        <v>1713</v>
      </c>
      <c r="I3" s="2008" t="s">
        <v>1714</v>
      </c>
      <c r="J3" s="2008" t="s">
        <v>1715</v>
      </c>
      <c r="K3" s="2008" t="s">
        <v>1716</v>
      </c>
      <c r="L3" s="2008" t="s">
        <v>1716</v>
      </c>
      <c r="M3" s="2008" t="s">
        <v>1716</v>
      </c>
      <c r="N3" s="2008" t="s">
        <v>1716</v>
      </c>
      <c r="O3" s="2008" t="s">
        <v>1716</v>
      </c>
      <c r="P3" s="2008" t="s">
        <v>1716</v>
      </c>
      <c r="Q3" s="2008" t="s">
        <v>1716</v>
      </c>
      <c r="R3" s="2008" t="s">
        <v>1136</v>
      </c>
      <c r="S3" s="2008" t="s">
        <v>1716</v>
      </c>
      <c r="T3" s="2008" t="s">
        <v>1717</v>
      </c>
      <c r="U3" s="2008" t="s">
        <v>1716</v>
      </c>
      <c r="V3" s="2008" t="s">
        <v>1718</v>
      </c>
      <c r="W3" s="2008" t="s">
        <v>1716</v>
      </c>
    </row>
    <row r="4" spans="1:23">
      <c r="A4" s="2006" t="s">
        <v>1719</v>
      </c>
      <c r="B4" s="2006" t="s">
        <v>1720</v>
      </c>
      <c r="C4" s="2007" t="s">
        <v>762</v>
      </c>
      <c r="D4" s="2008" t="s">
        <v>865</v>
      </c>
      <c r="E4" s="2008" t="s">
        <v>1721</v>
      </c>
      <c r="F4" s="2008" t="s">
        <v>1722</v>
      </c>
      <c r="G4" s="2008">
        <v>70</v>
      </c>
      <c r="H4" s="2008" t="s">
        <v>1722</v>
      </c>
      <c r="I4" s="2008" t="s">
        <v>1723</v>
      </c>
      <c r="K4" s="2008" t="s">
        <v>1724</v>
      </c>
      <c r="L4" s="2008" t="s">
        <v>1724</v>
      </c>
      <c r="M4" s="2008" t="s">
        <v>1724</v>
      </c>
      <c r="N4" s="2008" t="s">
        <v>1724</v>
      </c>
      <c r="O4" s="2008" t="s">
        <v>1724</v>
      </c>
      <c r="P4" s="2008" t="s">
        <v>1724</v>
      </c>
      <c r="Q4" s="2008" t="s">
        <v>1724</v>
      </c>
      <c r="R4" s="2008" t="s">
        <v>1138</v>
      </c>
      <c r="S4" s="2008" t="s">
        <v>1724</v>
      </c>
      <c r="T4" s="2008" t="s">
        <v>1725</v>
      </c>
      <c r="U4" s="2008" t="s">
        <v>1724</v>
      </c>
      <c r="W4" s="2008" t="s">
        <v>1724</v>
      </c>
    </row>
    <row r="5" spans="1:23">
      <c r="A5" s="2006" t="s">
        <v>1726</v>
      </c>
      <c r="B5" s="2006" t="s">
        <v>1727</v>
      </c>
      <c r="C5" s="2007" t="s">
        <v>763</v>
      </c>
      <c r="F5" s="2008" t="s">
        <v>1728</v>
      </c>
      <c r="H5" s="2008" t="s">
        <v>1729</v>
      </c>
      <c r="I5" s="2008" t="s">
        <v>1730</v>
      </c>
      <c r="K5" s="2008" t="s">
        <v>1731</v>
      </c>
      <c r="L5" s="2008" t="s">
        <v>1731</v>
      </c>
      <c r="M5" s="2008" t="s">
        <v>1731</v>
      </c>
      <c r="N5" s="2008" t="s">
        <v>1731</v>
      </c>
      <c r="O5" s="2008" t="s">
        <v>1731</v>
      </c>
      <c r="P5" s="2008" t="s">
        <v>1731</v>
      </c>
      <c r="Q5" s="2008" t="s">
        <v>1731</v>
      </c>
      <c r="R5" s="2008" t="s">
        <v>1139</v>
      </c>
      <c r="S5" s="2008" t="s">
        <v>1731</v>
      </c>
      <c r="T5" s="2008" t="s">
        <v>1732</v>
      </c>
      <c r="U5" s="2008" t="s">
        <v>1731</v>
      </c>
      <c r="W5" s="2008" t="s">
        <v>1731</v>
      </c>
    </row>
    <row r="6" spans="1:23">
      <c r="A6" s="2006" t="s">
        <v>1733</v>
      </c>
      <c r="B6" s="2009" t="s">
        <v>1143</v>
      </c>
      <c r="C6" s="2012" t="s">
        <v>30</v>
      </c>
      <c r="F6" s="2008" t="s">
        <v>1729</v>
      </c>
      <c r="H6" s="2008" t="s">
        <v>1734</v>
      </c>
      <c r="I6" s="2008" t="s">
        <v>1735</v>
      </c>
      <c r="K6" s="2008" t="s">
        <v>1736</v>
      </c>
      <c r="L6" s="2008" t="s">
        <v>1736</v>
      </c>
      <c r="M6" s="2008" t="s">
        <v>1736</v>
      </c>
      <c r="N6" s="2008" t="s">
        <v>1736</v>
      </c>
      <c r="O6" s="2008" t="s">
        <v>1736</v>
      </c>
      <c r="P6" s="2008" t="s">
        <v>1736</v>
      </c>
      <c r="Q6" s="2008" t="s">
        <v>1736</v>
      </c>
      <c r="R6" s="2008" t="s">
        <v>1140</v>
      </c>
      <c r="S6" s="2008" t="s">
        <v>1736</v>
      </c>
      <c r="T6" s="2008"/>
      <c r="U6" s="2008" t="s">
        <v>1736</v>
      </c>
      <c r="W6" s="2008" t="s">
        <v>1736</v>
      </c>
    </row>
    <row r="7" spans="1:23">
      <c r="A7" s="2006" t="s">
        <v>1737</v>
      </c>
      <c r="B7" s="2009" t="s">
        <v>1144</v>
      </c>
      <c r="C7" s="2007" t="s">
        <v>31</v>
      </c>
      <c r="F7" s="2008" t="s">
        <v>1738</v>
      </c>
      <c r="H7" s="2008" t="s">
        <v>1739</v>
      </c>
      <c r="I7" s="2008" t="s">
        <v>1740</v>
      </c>
    </row>
    <row r="8" spans="1:23">
      <c r="A8" s="2006" t="s">
        <v>1741</v>
      </c>
      <c r="B8" s="2006" t="s">
        <v>1742</v>
      </c>
      <c r="C8" s="2007" t="s">
        <v>764</v>
      </c>
      <c r="F8" s="2008" t="s">
        <v>1743</v>
      </c>
      <c r="H8" s="2008"/>
      <c r="I8" s="2008" t="s">
        <v>1744</v>
      </c>
    </row>
    <row r="9" spans="1:23">
      <c r="A9" s="2006" t="s">
        <v>1745</v>
      </c>
      <c r="B9" s="2006" t="s">
        <v>1746</v>
      </c>
      <c r="C9" s="2007" t="s">
        <v>765</v>
      </c>
      <c r="F9" s="2008" t="s">
        <v>1747</v>
      </c>
      <c r="H9" s="2008"/>
    </row>
    <row r="10" spans="1:23">
      <c r="A10" s="2006" t="s">
        <v>1748</v>
      </c>
      <c r="B10" s="2006" t="s">
        <v>1749</v>
      </c>
      <c r="C10" s="2007" t="s">
        <v>766</v>
      </c>
      <c r="F10" s="2008" t="s">
        <v>16</v>
      </c>
    </row>
    <row r="11" spans="1:23">
      <c r="A11" s="2006" t="s">
        <v>1750</v>
      </c>
      <c r="B11" s="2006" t="s">
        <v>1751</v>
      </c>
      <c r="C11" s="2007" t="s">
        <v>767</v>
      </c>
    </row>
    <row r="12" spans="1:23">
      <c r="A12" s="2006" t="s">
        <v>1752</v>
      </c>
      <c r="B12" s="2006" t="s">
        <v>1753</v>
      </c>
      <c r="C12" s="2007" t="s">
        <v>768</v>
      </c>
    </row>
    <row r="13" spans="1:23">
      <c r="A13" s="2006" t="s">
        <v>1754</v>
      </c>
      <c r="B13" s="2006" t="s">
        <v>1755</v>
      </c>
      <c r="C13" s="2007" t="s">
        <v>769</v>
      </c>
    </row>
    <row r="14" spans="1:23">
      <c r="A14" s="2006" t="s">
        <v>1756</v>
      </c>
      <c r="B14" s="2006" t="s">
        <v>1757</v>
      </c>
      <c r="C14" s="2008" t="s">
        <v>16</v>
      </c>
    </row>
    <row r="15" spans="1:23">
      <c r="A15" s="2006" t="s">
        <v>1758</v>
      </c>
      <c r="B15" s="2006" t="s">
        <v>1759</v>
      </c>
      <c r="C15" s="2007"/>
    </row>
    <row r="16" spans="1:23">
      <c r="A16" s="2006" t="s">
        <v>1760</v>
      </c>
      <c r="B16" s="2006" t="s">
        <v>756</v>
      </c>
      <c r="C16" s="2007"/>
    </row>
    <row r="17" spans="1:3">
      <c r="A17" s="2006" t="s">
        <v>1761</v>
      </c>
      <c r="B17" s="2006" t="s">
        <v>757</v>
      </c>
      <c r="C17" s="2007"/>
    </row>
    <row r="18" spans="1:3">
      <c r="A18" s="2006" t="s">
        <v>1762</v>
      </c>
      <c r="B18" s="2006" t="s">
        <v>3086</v>
      </c>
      <c r="C18" s="2007"/>
    </row>
    <row r="19" spans="1:3">
      <c r="A19" s="2006" t="s">
        <v>1763</v>
      </c>
      <c r="B19" s="2006" t="s">
        <v>3087</v>
      </c>
      <c r="C19" s="2007"/>
    </row>
    <row r="20" spans="1:3">
      <c r="A20" s="2006" t="s">
        <v>1764</v>
      </c>
      <c r="B20" s="2006" t="s">
        <v>757</v>
      </c>
      <c r="C20" s="2007"/>
    </row>
    <row r="21" spans="1:3">
      <c r="A21" s="2006" t="s">
        <v>1765</v>
      </c>
      <c r="B21" s="2006" t="s">
        <v>757</v>
      </c>
      <c r="C21" s="2007"/>
    </row>
    <row r="22" spans="1:3">
      <c r="A22" s="2006" t="s">
        <v>1766</v>
      </c>
      <c r="B22" s="2006" t="s">
        <v>757</v>
      </c>
      <c r="C22" s="2007"/>
    </row>
    <row r="23" spans="1:3">
      <c r="A23" s="2006" t="s">
        <v>1767</v>
      </c>
      <c r="B23" s="2006" t="s">
        <v>757</v>
      </c>
      <c r="C23" s="2007"/>
    </row>
    <row r="24" spans="1:3">
      <c r="A24" s="2006" t="s">
        <v>1768</v>
      </c>
      <c r="B24" s="2006" t="s">
        <v>757</v>
      </c>
      <c r="C24" s="2007"/>
    </row>
    <row r="25" spans="1:3">
      <c r="A25" s="2006" t="s">
        <v>1769</v>
      </c>
      <c r="B25" s="2006" t="s">
        <v>757</v>
      </c>
      <c r="C25" s="2007"/>
    </row>
    <row r="26" spans="1:3">
      <c r="A26" s="2006" t="s">
        <v>1770</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854</v>
      </c>
      <c r="B51" s="201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杭州融阳政房地产开发有限公司拟使用浙江省杭州市萧山区浦阳镇桃北新村“融创森与海”居住项目A、C、D地块出让国有建设用地使用权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4" t="s">
        <v>1280</v>
      </c>
    </row>
    <row r="52" spans="1:4">
      <c r="A52" s="2013" t="s">
        <v>855</v>
      </c>
      <c r="B52" s="2013" t="s">
        <v>856</v>
      </c>
      <c r="C52" s="2011" t="s">
        <v>857</v>
      </c>
      <c r="D52" s="2011" t="s">
        <v>858</v>
      </c>
    </row>
    <row r="53" spans="1:4">
      <c r="A53" s="3086" t="s">
        <v>859</v>
      </c>
      <c r="B53" s="2014" t="s">
        <v>860</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86"/>
      <c r="B54" s="2014" t="s">
        <v>861</v>
      </c>
      <c r="C54" s="2011" t="s">
        <v>1277</v>
      </c>
    </row>
    <row r="55" spans="1:4">
      <c r="A55" s="3086"/>
      <c r="B55" s="2014" t="s">
        <v>862</v>
      </c>
      <c r="C55" s="2011" t="s">
        <v>1278</v>
      </c>
    </row>
    <row r="56" spans="1:4">
      <c r="A56" s="3086"/>
      <c r="B56" s="2014" t="s">
        <v>863</v>
      </c>
      <c r="C56" s="2011" t="s">
        <v>1282</v>
      </c>
    </row>
    <row r="57" spans="1:4">
      <c r="A57" s="3086"/>
      <c r="B57" s="2014" t="s">
        <v>864</v>
      </c>
      <c r="C57" s="2011" t="s">
        <v>1279</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I24"/>
    </sheetView>
  </sheetViews>
  <sheetFormatPr defaultColWidth="10" defaultRowHeight="18" customHeight="1"/>
  <cols>
    <col min="1" max="1" width="14.875" style="2024" customWidth="1"/>
    <col min="2" max="2" width="11.125" style="2024" customWidth="1"/>
    <col min="3" max="3" width="11.5" style="2024" customWidth="1"/>
    <col min="4" max="4" width="12.125" style="2024" customWidth="1"/>
    <col min="5" max="6" width="10" style="2024" customWidth="1"/>
    <col min="7" max="7" width="10.625" style="2024" customWidth="1"/>
    <col min="8" max="8" width="10" style="2024" customWidth="1"/>
    <col min="9" max="9" width="11.125" style="2149" customWidth="1"/>
    <col min="10" max="10" width="10" style="2024" customWidth="1"/>
    <col min="11" max="11" width="10" style="2150" customWidth="1"/>
    <col min="12" max="13" width="10" style="2151" customWidth="1"/>
    <col min="14" max="14" width="10" style="2024" customWidth="1"/>
    <col min="15" max="15" width="10" style="2149" customWidth="1"/>
    <col min="16" max="17" width="10" style="2024"/>
    <col min="18" max="18" width="10" style="2024" customWidth="1"/>
    <col min="19" max="16384" width="10" style="2024"/>
  </cols>
  <sheetData>
    <row r="1" spans="1:19" ht="38.25" customHeight="1" thickBot="1">
      <c r="A1" s="2017" t="s">
        <v>1771</v>
      </c>
      <c r="B1" s="3095" t="str">
        <f>IF(B10="北京市","北京市",C10)&amp;F10&amp;IF(结果表!G1="在建","出让国有建设用地使用权及在建建筑物",IF(结果表!G1="土地","出让国有建设用地使用权",))&amp;B9&amp;"预评估"</f>
        <v>浙江省杭州市萧山区浦阳镇桃北新村“融创森与海”居住项目A、C、D地块出让国有建设用地使用权房地产抵押价值预评估</v>
      </c>
      <c r="C1" s="3096"/>
      <c r="D1" s="3096"/>
      <c r="E1" s="3096"/>
      <c r="F1" s="3096"/>
      <c r="G1" s="3096"/>
      <c r="H1" s="3096"/>
      <c r="I1" s="3097"/>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浙江省杭州市萧山区浦阳镇桃北新村“融创森与海”居住项目A、C、D地块出让国有建设用地使用权抵押价值</v>
      </c>
    </row>
    <row r="2" spans="1:19" ht="18" customHeight="1">
      <c r="A2" s="2018" t="s">
        <v>1772</v>
      </c>
      <c r="B2" s="1033"/>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浙江省杭州市萧山区浦阳镇桃北新村“融创森与海”居住项目A、C、D地块出让国有建设用地使用权</v>
      </c>
    </row>
    <row r="3" spans="1:19" ht="18" customHeight="1">
      <c r="A3" s="2027" t="s">
        <v>1773</v>
      </c>
      <c r="B3" s="2958">
        <v>43782</v>
      </c>
      <c r="C3" s="2029" t="s">
        <v>1774</v>
      </c>
      <c r="D3" s="2028">
        <f>B3</f>
        <v>43782</v>
      </c>
      <c r="E3" s="2018"/>
      <c r="F3" s="2018"/>
      <c r="G3" s="2018"/>
      <c r="H3" s="2018"/>
      <c r="I3" s="2018"/>
      <c r="J3" s="2018"/>
      <c r="K3" s="2019"/>
      <c r="L3" s="2020"/>
      <c r="M3" s="2020"/>
      <c r="N3" s="2021"/>
      <c r="O3" s="2022"/>
      <c r="P3" s="2021"/>
      <c r="Q3" s="2021"/>
      <c r="R3" s="2021"/>
      <c r="S3" s="2023"/>
    </row>
    <row r="4" spans="1:19" ht="18" customHeight="1" thickBot="1">
      <c r="A4" s="2030" t="s">
        <v>1775</v>
      </c>
      <c r="B4" s="2031" t="s">
        <v>3050</v>
      </c>
      <c r="C4" s="1031">
        <f ca="1">SUMIF(注册房地产估价师,B4,估价师及机构信息!B3:B24)</f>
        <v>0</v>
      </c>
      <c r="D4" s="2031" t="s">
        <v>3051</v>
      </c>
      <c r="E4" s="1032">
        <f ca="1">SUMIF(注册房地产估价师,D4,估价师及机构信息!B3:B24)</f>
        <v>1120050019</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郑燚（注册号：0)、王鹏（注册号：1120050019)</v>
      </c>
      <c r="L4" s="2020"/>
      <c r="M4" s="2020"/>
      <c r="N4" s="2021"/>
      <c r="O4" s="2022"/>
      <c r="P4" s="2021"/>
      <c r="Q4" s="2021"/>
      <c r="R4" s="2021"/>
      <c r="S4" s="2023"/>
    </row>
    <row r="5" spans="1:19" ht="18" customHeight="1" thickTop="1">
      <c r="A5" s="2036" t="s">
        <v>1776</v>
      </c>
      <c r="B5" s="2037" t="str">
        <f>B6</f>
        <v>中信信托有限责任公司</v>
      </c>
      <c r="C5" s="2038"/>
      <c r="D5" s="2039"/>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40" t="s">
        <v>1777</v>
      </c>
      <c r="B6" s="2959" t="s">
        <v>3052</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40" t="s">
        <v>1778</v>
      </c>
      <c r="B7" s="2044" t="str">
        <f>C11</f>
        <v>杭州融阳政房地产开发有限公司</v>
      </c>
      <c r="C7" s="2041"/>
      <c r="D7" s="2042"/>
      <c r="E7" s="2026"/>
      <c r="F7" s="2034"/>
      <c r="G7" s="2034"/>
      <c r="H7" s="2034"/>
      <c r="I7" s="2034"/>
      <c r="J7" s="2034"/>
      <c r="K7" s="2045"/>
      <c r="L7" s="2020"/>
      <c r="M7" s="2020"/>
      <c r="N7" s="2021"/>
      <c r="O7" s="2022"/>
      <c r="P7" s="2021"/>
      <c r="Q7" s="2021"/>
      <c r="R7" s="2021"/>
    </row>
    <row r="8" spans="1:19" ht="18" customHeight="1">
      <c r="A8" s="2040" t="s">
        <v>1779</v>
      </c>
      <c r="B8" s="2046" t="s">
        <v>3053</v>
      </c>
      <c r="C8" s="2047"/>
      <c r="D8" s="3098" t="s">
        <v>1780</v>
      </c>
      <c r="E8" s="2048" t="s">
        <v>3054</v>
      </c>
      <c r="F8" s="2049"/>
      <c r="G8" s="2018"/>
      <c r="H8" s="2018"/>
      <c r="I8" s="2018"/>
      <c r="J8" s="2034"/>
      <c r="K8" s="2035"/>
      <c r="L8" s="2020"/>
      <c r="M8" s="2020"/>
      <c r="N8" s="2021"/>
      <c r="O8" s="2022"/>
      <c r="P8" s="2021"/>
      <c r="Q8" s="2021"/>
      <c r="R8" s="2021"/>
    </row>
    <row r="9" spans="1:19" ht="18" customHeight="1" thickBot="1">
      <c r="A9" s="2032" t="s">
        <v>1781</v>
      </c>
      <c r="B9" s="2050" t="s">
        <v>3054</v>
      </c>
      <c r="C9" s="2051"/>
      <c r="D9" s="3099"/>
      <c r="E9" s="2050" t="s">
        <v>1281</v>
      </c>
      <c r="F9" s="2052"/>
      <c r="G9" s="2053"/>
      <c r="H9" s="2053"/>
      <c r="I9" s="2053"/>
      <c r="J9" s="2034"/>
      <c r="K9" s="2045"/>
      <c r="L9" s="2020"/>
      <c r="M9" s="2020"/>
      <c r="N9" s="2021"/>
      <c r="O9" s="2022"/>
      <c r="P9" s="2021"/>
      <c r="Q9" s="2021"/>
      <c r="R9" s="2021"/>
    </row>
    <row r="10" spans="1:19" ht="18" customHeight="1" thickTop="1">
      <c r="A10" s="2054" t="s">
        <v>1782</v>
      </c>
      <c r="B10" s="2055" t="s">
        <v>3055</v>
      </c>
      <c r="C10" s="2960" t="s">
        <v>3057</v>
      </c>
      <c r="D10" s="2039"/>
      <c r="E10" s="2056" t="s">
        <v>1783</v>
      </c>
      <c r="F10" s="2990" t="s">
        <v>3726</v>
      </c>
      <c r="G10" s="2057"/>
      <c r="H10" s="2058"/>
      <c r="I10" s="2039"/>
      <c r="J10" s="2034"/>
      <c r="K10" s="2045"/>
      <c r="L10" s="2020"/>
      <c r="M10" s="2020"/>
      <c r="N10" s="2021"/>
      <c r="O10" s="2022"/>
      <c r="P10" s="2021"/>
      <c r="Q10" s="2021"/>
      <c r="R10" s="2021"/>
    </row>
    <row r="11" spans="1:19" ht="18" customHeight="1">
      <c r="A11" s="2059" t="s">
        <v>1784</v>
      </c>
      <c r="B11" s="2060" t="s">
        <v>3056</v>
      </c>
      <c r="C11" s="2061" t="str">
        <f>[4]项目基本情况!$C$11</f>
        <v>杭州融阳政房地产开发有限公司</v>
      </c>
      <c r="D11" s="2062"/>
      <c r="E11" s="2034"/>
      <c r="F11" s="2034"/>
      <c r="G11" s="2034"/>
      <c r="H11" s="2034"/>
      <c r="I11" s="2034"/>
      <c r="J11" s="2034"/>
      <c r="K11" s="2045"/>
      <c r="L11" s="2020"/>
      <c r="M11" s="2020"/>
      <c r="N11" s="2021"/>
      <c r="O11" s="2022"/>
      <c r="P11" s="2021"/>
      <c r="Q11" s="2021"/>
      <c r="R11" s="2021"/>
    </row>
    <row r="12" spans="1:19" ht="18" customHeight="1">
      <c r="A12" s="2063" t="s">
        <v>1785</v>
      </c>
      <c r="B12" s="2060" t="s">
        <v>3058</v>
      </c>
      <c r="C12" s="2064" t="s">
        <v>1786</v>
      </c>
      <c r="D12" s="2065" t="s">
        <v>1787</v>
      </c>
      <c r="E12" s="2065" t="s">
        <v>1788</v>
      </c>
      <c r="F12" s="2065" t="s">
        <v>1789</v>
      </c>
      <c r="G12" s="2065" t="s">
        <v>1790</v>
      </c>
      <c r="H12" s="2065" t="s">
        <v>1791</v>
      </c>
      <c r="I12" s="2065" t="s">
        <v>1792</v>
      </c>
      <c r="J12" s="2034"/>
      <c r="K12" s="2045"/>
      <c r="L12" s="2020"/>
      <c r="M12" s="2020"/>
      <c r="N12" s="2021"/>
      <c r="O12" s="2022"/>
      <c r="P12" s="2021"/>
      <c r="Q12" s="2021"/>
      <c r="R12" s="2021"/>
    </row>
    <row r="13" spans="1:19" ht="18" customHeight="1">
      <c r="A13" s="2066"/>
      <c r="B13" s="2067"/>
      <c r="C13" s="2068" t="s">
        <v>1793</v>
      </c>
      <c r="D13" s="2069">
        <f>[4]项目基本情况!$D$13</f>
        <v>64907</v>
      </c>
      <c r="E13" s="2069">
        <v>53949</v>
      </c>
      <c r="F13" s="2069"/>
      <c r="G13" s="2069">
        <v>57602</v>
      </c>
      <c r="H13" s="2069"/>
      <c r="I13" s="1041"/>
      <c r="J13" s="2034"/>
      <c r="K13" s="2045"/>
      <c r="L13" s="2020"/>
      <c r="M13" s="2020"/>
      <c r="N13" s="2021"/>
      <c r="O13" s="2022"/>
      <c r="P13" s="2021"/>
      <c r="Q13" s="2021"/>
      <c r="R13" s="2021"/>
    </row>
    <row r="14" spans="1:19" ht="18" customHeight="1">
      <c r="A14" s="2066"/>
      <c r="B14" s="2067"/>
      <c r="C14" s="2068" t="s">
        <v>1794</v>
      </c>
      <c r="D14" s="1044">
        <v>70</v>
      </c>
      <c r="E14" s="1044">
        <v>40</v>
      </c>
      <c r="F14" s="1044"/>
      <c r="G14" s="1044">
        <v>50</v>
      </c>
      <c r="H14" s="1044"/>
      <c r="I14" s="1044"/>
      <c r="J14" s="2034"/>
      <c r="K14" s="2070"/>
      <c r="L14" s="2020"/>
      <c r="M14" s="2020"/>
      <c r="N14" s="2021"/>
      <c r="O14" s="2022"/>
      <c r="P14" s="2021"/>
      <c r="Q14" s="2021"/>
      <c r="R14" s="2021"/>
    </row>
    <row r="15" spans="1:19" ht="18" customHeight="1">
      <c r="A15" s="2054"/>
      <c r="B15" s="2071"/>
      <c r="C15" s="2068" t="s">
        <v>1795</v>
      </c>
      <c r="D15" s="1043">
        <f>IF(B12="出让",IF(D13="","",ROUNDDOWN(MIN((D13-$D$3)/365,D14),2)),D14)</f>
        <v>57.87</v>
      </c>
      <c r="E15" s="1043">
        <f>IF(B12="出让",IF(E13="","",ROUNDDOWN(MIN((E13-$D$3)/365,E14),2)),E14)</f>
        <v>27.85</v>
      </c>
      <c r="F15" s="1043" t="str">
        <f>IF(B12="出让",IF(F13="","",ROUNDDOWN(MIN((F13-$D$3)/365,F14),2)),F14)</f>
        <v/>
      </c>
      <c r="G15" s="1043">
        <f>IF(B12="出让",IF(G13="","",ROUNDDOWN(MIN((G13-$D$3)/365,G14),2)),G14)</f>
        <v>37.86</v>
      </c>
      <c r="H15" s="1043" t="str">
        <f>IF(B12="出让",IF(H13="","",ROUNDDOWN(MIN((H13-$D$3)/365,H14),2)),H14)</f>
        <v/>
      </c>
      <c r="I15" s="1043" t="str">
        <f>IF(B12="出让",IF(I13="","",ROUNDDOWN(MIN((I13-$D$3)/365,I14),2)),I14)</f>
        <v/>
      </c>
      <c r="J15" s="2034"/>
      <c r="K15" s="2072"/>
      <c r="L15" s="2073"/>
      <c r="M15" s="2073"/>
      <c r="N15" s="2074"/>
      <c r="O15" s="2073"/>
      <c r="P15" s="2074"/>
      <c r="Q15" s="2021"/>
      <c r="R15" s="2021"/>
    </row>
    <row r="16" spans="1:19" ht="30.75" customHeight="1">
      <c r="A16" s="2056" t="s">
        <v>1796</v>
      </c>
      <c r="B16" s="3105" t="s">
        <v>3639</v>
      </c>
      <c r="C16" s="3106"/>
      <c r="D16" s="3107"/>
      <c r="E16" s="2075" t="s">
        <v>1797</v>
      </c>
      <c r="F16" s="3108" t="s">
        <v>3060</v>
      </c>
      <c r="G16" s="3109"/>
      <c r="H16" s="3109"/>
      <c r="I16" s="3110"/>
      <c r="J16" s="2021"/>
      <c r="K16" s="2072"/>
      <c r="L16" s="2073"/>
      <c r="M16" s="2073"/>
      <c r="N16" s="2074"/>
      <c r="O16" s="2073"/>
      <c r="P16" s="2074"/>
      <c r="Q16" s="2021"/>
      <c r="R16" s="2021"/>
    </row>
    <row r="17" spans="1:22" ht="18" customHeight="1">
      <c r="A17" s="2076" t="s">
        <v>1798</v>
      </c>
      <c r="B17" s="2027" t="s">
        <v>1799</v>
      </c>
      <c r="C17" s="1048">
        <f>'数据-汇总表'!E3</f>
        <v>900384.25897299999</v>
      </c>
      <c r="D17" s="2077" t="s">
        <v>1800</v>
      </c>
      <c r="E17" s="3111" t="s">
        <v>1801</v>
      </c>
      <c r="F17" s="3112"/>
      <c r="G17" s="3112"/>
      <c r="H17" s="3112"/>
      <c r="I17" s="3113"/>
      <c r="J17" s="2021"/>
      <c r="K17" s="2078"/>
      <c r="L17" s="2073"/>
      <c r="M17" s="2073"/>
      <c r="N17" s="2074"/>
      <c r="O17" s="2073"/>
      <c r="P17" s="2074"/>
      <c r="Q17" s="2021"/>
      <c r="R17" s="2021"/>
      <c r="S17" s="2021"/>
      <c r="T17" s="2021"/>
      <c r="U17" s="2021"/>
      <c r="V17" s="2021"/>
    </row>
    <row r="18" spans="1:22" ht="36" customHeight="1" thickBot="1">
      <c r="A18" s="2079" t="s">
        <v>1802</v>
      </c>
      <c r="B18" s="2030" t="s">
        <v>1803</v>
      </c>
      <c r="C18" s="1438">
        <f>'数据-汇总表'!D3</f>
        <v>358537</v>
      </c>
      <c r="D18" s="2080" t="s">
        <v>1800</v>
      </c>
      <c r="E18" s="3114" t="s">
        <v>1804</v>
      </c>
      <c r="F18" s="3115"/>
      <c r="G18" s="3115"/>
      <c r="H18" s="3115"/>
      <c r="I18" s="3116"/>
      <c r="J18" s="2021"/>
      <c r="K18" s="2078"/>
      <c r="L18" s="2073"/>
      <c r="M18" s="2073"/>
      <c r="N18" s="2074"/>
      <c r="O18" s="2073"/>
      <c r="P18" s="2074"/>
      <c r="Q18" s="2021"/>
      <c r="R18" s="2021"/>
      <c r="S18" s="2021"/>
      <c r="T18" s="2021"/>
      <c r="U18" s="2021"/>
      <c r="V18" s="2021"/>
    </row>
    <row r="19" spans="1:22" ht="37.5" customHeight="1" thickTop="1" thickBot="1">
      <c r="A19" s="370" t="s">
        <v>1805</v>
      </c>
      <c r="B19" s="349" t="s">
        <v>1806</v>
      </c>
      <c r="C19" s="2081"/>
      <c r="D19" s="2082" t="s">
        <v>1807</v>
      </c>
      <c r="E19" s="2083"/>
      <c r="F19" s="2084" t="str">
        <f>IF(AND(C19="是",E19="否"),"是否提供他项权证或相关说明","")</f>
        <v/>
      </c>
      <c r="G19" s="2085"/>
      <c r="H19" s="2034"/>
      <c r="I19" s="2034"/>
      <c r="J19" s="2034"/>
      <c r="K19" s="2045"/>
      <c r="L19" s="2020"/>
      <c r="M19" s="2020"/>
      <c r="N19" s="2074"/>
      <c r="O19" s="2073"/>
      <c r="P19" s="2074"/>
      <c r="Q19" s="2021"/>
      <c r="R19" s="2021"/>
      <c r="S19" s="2021"/>
      <c r="T19" s="2021"/>
      <c r="U19" s="2021"/>
      <c r="V19" s="2021"/>
    </row>
    <row r="20" spans="1:22" ht="18" customHeight="1">
      <c r="A20" s="2086" t="s">
        <v>1808</v>
      </c>
      <c r="B20" s="3101" t="s">
        <v>1809</v>
      </c>
      <c r="C20" s="3102"/>
      <c r="D20" s="3103" t="s">
        <v>1810</v>
      </c>
      <c r="E20" s="3104"/>
      <c r="F20" s="2087" t="s">
        <v>1811</v>
      </c>
      <c r="G20" s="2034"/>
      <c r="H20" s="2034"/>
      <c r="I20" s="2034"/>
      <c r="J20" s="2034"/>
      <c r="K20" s="3100" t="s">
        <v>1812</v>
      </c>
      <c r="L20" s="74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0"/>
      <c r="N20" s="2074"/>
      <c r="O20" s="2073"/>
      <c r="P20" s="2074"/>
      <c r="Q20" s="2021"/>
      <c r="R20" s="2021"/>
      <c r="S20" s="2021"/>
      <c r="T20" s="2021"/>
      <c r="U20" s="2021"/>
      <c r="V20" s="2021"/>
    </row>
    <row r="21" spans="1:22" ht="24.75" customHeight="1">
      <c r="A21" s="2086"/>
      <c r="B21" s="2088" t="s">
        <v>70</v>
      </c>
      <c r="C21" s="2089" t="s">
        <v>70</v>
      </c>
      <c r="D21" s="2090"/>
      <c r="E21" s="2091"/>
      <c r="F21" s="2092"/>
      <c r="G21" s="2034"/>
      <c r="H21" s="2034"/>
      <c r="I21" s="2034"/>
      <c r="J21" s="2034"/>
      <c r="K21" s="3100"/>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4"/>
      <c r="O21" s="2073"/>
      <c r="P21" s="2074"/>
      <c r="Q21" s="2021"/>
      <c r="R21" s="2021"/>
      <c r="S21" s="2021"/>
      <c r="T21" s="2021"/>
      <c r="U21" s="2021"/>
      <c r="V21" s="2021"/>
    </row>
    <row r="22" spans="1:22" ht="24.75" customHeight="1" thickBot="1">
      <c r="A22" s="2086"/>
      <c r="B22" s="2093" t="s">
        <v>3675</v>
      </c>
      <c r="C22" s="2089" t="s">
        <v>1813</v>
      </c>
      <c r="D22" s="2018"/>
      <c r="E22" s="2018"/>
      <c r="F22" s="2094"/>
      <c r="G22" s="2034"/>
      <c r="H22" s="2034"/>
      <c r="I22" s="2034"/>
      <c r="J22" s="2034"/>
      <c r="K22" s="3100"/>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4"/>
      <c r="O22" s="2073"/>
      <c r="P22" s="2074"/>
      <c r="Q22" s="2021"/>
      <c r="R22" s="2021"/>
      <c r="S22" s="2021"/>
      <c r="T22" s="2021"/>
      <c r="U22" s="2021"/>
      <c r="V22" s="2021"/>
    </row>
    <row r="23" spans="1:22" ht="18" customHeight="1">
      <c r="A23" s="2095" t="s">
        <v>1814</v>
      </c>
      <c r="B23" s="180" t="s">
        <v>1815</v>
      </c>
      <c r="C23" s="2096"/>
      <c r="D23" s="2097" t="s">
        <v>1815</v>
      </c>
      <c r="E23" s="2098"/>
      <c r="F23" s="2094"/>
      <c r="G23" s="2034"/>
      <c r="H23" s="2034"/>
      <c r="I23" s="2034"/>
      <c r="J23" s="2034"/>
      <c r="K23" s="2099"/>
      <c r="L23" s="744"/>
      <c r="M23" s="2020"/>
      <c r="N23" s="2074"/>
      <c r="O23" s="2073"/>
      <c r="P23" s="2074"/>
      <c r="Q23" s="2021"/>
      <c r="R23" s="2021"/>
      <c r="S23" s="2021"/>
      <c r="T23" s="2021"/>
      <c r="U23" s="2021"/>
      <c r="V23" s="2021"/>
    </row>
    <row r="24" spans="1:22" ht="18" customHeight="1">
      <c r="A24" s="2100"/>
      <c r="B24" s="180" t="s">
        <v>1816</v>
      </c>
      <c r="C24" s="2101"/>
      <c r="D24" s="2095" t="s">
        <v>1816</v>
      </c>
      <c r="E24" s="2102"/>
      <c r="F24" s="2094"/>
      <c r="G24" s="2034"/>
      <c r="H24" s="2034"/>
      <c r="I24" s="2034"/>
      <c r="J24" s="2034"/>
      <c r="K24" s="2099"/>
      <c r="L24" s="744"/>
      <c r="M24" s="2020"/>
      <c r="N24" s="2074"/>
      <c r="O24" s="2073"/>
      <c r="P24" s="2074"/>
      <c r="Q24" s="2021"/>
      <c r="R24" s="2021"/>
      <c r="S24" s="2021"/>
      <c r="T24" s="2021"/>
      <c r="U24" s="2021"/>
      <c r="V24" s="2021"/>
    </row>
    <row r="25" spans="1:22" ht="18" customHeight="1">
      <c r="A25" s="2100"/>
      <c r="B25" s="180" t="s">
        <v>1817</v>
      </c>
      <c r="C25" s="2101"/>
      <c r="D25" s="2095" t="s">
        <v>1817</v>
      </c>
      <c r="E25" s="2102"/>
      <c r="F25" s="2094"/>
      <c r="G25" s="2034"/>
      <c r="H25" s="2034"/>
      <c r="I25" s="2034"/>
      <c r="J25" s="2034"/>
      <c r="K25" s="2045"/>
      <c r="L25" s="2020"/>
      <c r="M25" s="2020"/>
      <c r="N25" s="2074"/>
      <c r="O25" s="2073"/>
      <c r="P25" s="2074"/>
      <c r="Q25" s="2021"/>
      <c r="R25" s="2021"/>
      <c r="S25" s="2021"/>
      <c r="T25" s="2021"/>
      <c r="U25" s="2021"/>
      <c r="V25" s="2021"/>
    </row>
    <row r="26" spans="1:22" ht="18" customHeight="1" thickBot="1">
      <c r="A26" s="2103"/>
      <c r="B26" s="2104" t="s">
        <v>1818</v>
      </c>
      <c r="C26" s="2105"/>
      <c r="D26" s="2106" t="s">
        <v>1819</v>
      </c>
      <c r="E26" s="2107"/>
      <c r="F26" s="2108"/>
      <c r="G26" s="2053"/>
      <c r="H26" s="2053"/>
      <c r="I26" s="2053"/>
      <c r="J26" s="2034"/>
      <c r="K26" s="2045"/>
      <c r="L26" s="2020"/>
      <c r="M26" s="2020"/>
      <c r="N26" s="2074"/>
      <c r="O26" s="2073"/>
      <c r="P26" s="2074"/>
      <c r="Q26" s="2021"/>
      <c r="R26" s="2021"/>
      <c r="S26" s="2021"/>
      <c r="T26" s="2021"/>
      <c r="U26" s="2021"/>
      <c r="V26" s="2021"/>
    </row>
    <row r="27" spans="1:22" ht="18" customHeight="1" thickTop="1">
      <c r="A27" s="3088" t="s">
        <v>1820</v>
      </c>
      <c r="B27" s="2054" t="s">
        <v>1821</v>
      </c>
      <c r="C27" s="2109" t="s">
        <v>3061</v>
      </c>
      <c r="D27" s="2110"/>
      <c r="E27" s="2034"/>
      <c r="F27" s="2034"/>
      <c r="G27" s="2034"/>
      <c r="H27" s="2034"/>
      <c r="I27" s="2034"/>
      <c r="J27" s="2021"/>
      <c r="K27" s="2072"/>
      <c r="L27" s="2073"/>
      <c r="M27" s="2073"/>
      <c r="N27" s="2074"/>
      <c r="O27" s="2073"/>
      <c r="P27" s="2074"/>
      <c r="Q27" s="2021"/>
      <c r="R27" s="2021"/>
      <c r="S27" s="2021"/>
      <c r="T27" s="2021"/>
      <c r="U27" s="2021"/>
      <c r="V27" s="2021"/>
    </row>
    <row r="28" spans="1:22" ht="18" customHeight="1">
      <c r="A28" s="3088"/>
      <c r="B28" s="2027" t="s">
        <v>1822</v>
      </c>
      <c r="C28" s="2111"/>
      <c r="D28" s="2112"/>
      <c r="E28" s="2034"/>
      <c r="F28" s="2034"/>
      <c r="G28" s="2034"/>
      <c r="H28" s="2034"/>
      <c r="I28" s="2034"/>
      <c r="J28" s="2021"/>
      <c r="K28" s="2113"/>
      <c r="L28" s="2020"/>
      <c r="M28" s="2020"/>
      <c r="N28" s="2021"/>
      <c r="O28" s="2022"/>
      <c r="P28" s="2021"/>
      <c r="Q28" s="2021"/>
      <c r="R28" s="2021"/>
      <c r="S28" s="2021"/>
      <c r="T28" s="2021"/>
      <c r="U28" s="2021"/>
      <c r="V28" s="2021"/>
    </row>
    <row r="29" spans="1:22" ht="18" customHeight="1">
      <c r="A29" s="3088"/>
      <c r="B29" s="2027" t="s">
        <v>1823</v>
      </c>
      <c r="C29" s="2114"/>
      <c r="D29" s="2115"/>
      <c r="E29" s="2034"/>
      <c r="F29" s="2034"/>
      <c r="G29" s="2034"/>
      <c r="H29" s="2034"/>
      <c r="I29" s="2034"/>
      <c r="J29" s="2021"/>
      <c r="K29" s="2113"/>
      <c r="L29" s="2020"/>
      <c r="M29" s="2020"/>
      <c r="N29" s="2021"/>
      <c r="O29" s="2022"/>
      <c r="P29" s="2021"/>
      <c r="Q29" s="2021"/>
      <c r="R29" s="2021"/>
      <c r="S29" s="2021"/>
      <c r="T29" s="2021"/>
      <c r="U29" s="2021"/>
      <c r="V29" s="2021"/>
    </row>
    <row r="30" spans="1:22" ht="18" customHeight="1">
      <c r="A30" s="3089"/>
      <c r="B30" s="2027" t="s">
        <v>1824</v>
      </c>
      <c r="C30" s="3090"/>
      <c r="D30" s="3091"/>
      <c r="E30" s="2034"/>
      <c r="F30" s="2034"/>
      <c r="G30" s="2034"/>
      <c r="H30" s="2034"/>
      <c r="I30" s="2034"/>
      <c r="J30" s="2021"/>
      <c r="K30" s="2113"/>
      <c r="L30" s="2020"/>
      <c r="M30" s="2020"/>
      <c r="N30" s="2021"/>
      <c r="O30" s="2022"/>
      <c r="P30" s="2021"/>
      <c r="Q30" s="2021"/>
      <c r="R30" s="2021"/>
      <c r="S30" s="2021"/>
      <c r="T30" s="2021"/>
      <c r="U30" s="2021"/>
      <c r="V30" s="2021"/>
    </row>
    <row r="31" spans="1:22" ht="18" customHeight="1">
      <c r="A31" s="3092" t="s">
        <v>1825</v>
      </c>
      <c r="B31" s="2116" t="s">
        <v>3062</v>
      </c>
      <c r="C31" s="2117" t="str">
        <f>IF(B31="现房","成新及维护状况正常否",IF(B31="在建","工程状态是否正常",IF(B31="土地","是否闲置","-")))</f>
        <v>工程状态是否正常</v>
      </c>
      <c r="D31" s="2118"/>
      <c r="E31" s="2119"/>
      <c r="F31" s="2034"/>
      <c r="G31" s="2034"/>
      <c r="H31" s="2034"/>
      <c r="I31" s="2034"/>
      <c r="J31" s="2034"/>
      <c r="K31" s="2043"/>
      <c r="L31" s="2020"/>
      <c r="M31" s="2020"/>
      <c r="N31" s="2021"/>
      <c r="O31" s="2022"/>
      <c r="P31" s="2021"/>
      <c r="Q31" s="2021"/>
      <c r="R31" s="2021"/>
      <c r="S31" s="2021"/>
      <c r="T31" s="2021"/>
      <c r="U31" s="2021"/>
      <c r="V31" s="2021"/>
    </row>
    <row r="32" spans="1:22" ht="18" customHeight="1">
      <c r="A32" s="3093"/>
      <c r="B32" s="2116" t="s">
        <v>3063</v>
      </c>
      <c r="C32" s="2117" t="str">
        <f>IF(B32="现房","成新及维护状况是否正常",IF(B32="在建","工程状态是否正常",IF(B32="土地","是否闲置","-")))</f>
        <v>是否闲置</v>
      </c>
      <c r="D32" s="2118"/>
      <c r="E32" s="2119"/>
      <c r="F32" s="2034"/>
      <c r="G32" s="2034"/>
      <c r="H32" s="2034"/>
      <c r="I32" s="2034"/>
      <c r="J32" s="2034"/>
      <c r="K32" s="2045"/>
      <c r="L32" s="2020"/>
      <c r="M32" s="2020"/>
      <c r="N32" s="2021"/>
      <c r="O32" s="2022"/>
      <c r="P32" s="2021"/>
      <c r="Q32" s="2021"/>
      <c r="R32" s="2021"/>
      <c r="S32" s="2021"/>
      <c r="T32" s="2021"/>
      <c r="U32" s="2021"/>
      <c r="V32" s="2021"/>
    </row>
    <row r="33" spans="1:22" ht="18" customHeight="1">
      <c r="A33" s="3093"/>
      <c r="B33" s="2120"/>
      <c r="C33" s="2059" t="str">
        <f>IF(B33="现房","成新及维护状况是否正常",IF(B33="在建","工程状态是否正常",IF(B33="土地","是否闲置","-")))</f>
        <v>-</v>
      </c>
      <c r="D33" s="2121"/>
      <c r="E33" s="2122"/>
      <c r="F33" s="2034"/>
      <c r="G33" s="2034"/>
      <c r="H33" s="2034"/>
      <c r="I33" s="2034"/>
      <c r="J33" s="2034"/>
      <c r="K33" s="2045"/>
      <c r="L33" s="2020"/>
      <c r="M33" s="2020"/>
      <c r="N33" s="2021"/>
      <c r="O33" s="2022"/>
      <c r="P33" s="2021"/>
      <c r="Q33" s="2021"/>
      <c r="R33" s="2021"/>
      <c r="S33" s="2021"/>
      <c r="T33" s="2021"/>
      <c r="U33" s="2021"/>
      <c r="V33" s="2021"/>
    </row>
    <row r="34" spans="1:22" ht="18" customHeight="1">
      <c r="A34" s="2027" t="s">
        <v>1826</v>
      </c>
      <c r="B34" s="2123" t="s">
        <v>3064</v>
      </c>
      <c r="C34" s="2123" t="s">
        <v>3065</v>
      </c>
      <c r="D34" s="2123" t="s">
        <v>3066</v>
      </c>
      <c r="E34" s="2123"/>
      <c r="F34" s="2123"/>
      <c r="G34" s="2123"/>
      <c r="H34" s="2123"/>
      <c r="I34" s="2034"/>
      <c r="J34" s="2034"/>
      <c r="K34" s="1788">
        <f>COUNTIF(B34:H34,"——")</f>
        <v>0</v>
      </c>
      <c r="L34" s="2064" t="s">
        <v>1827</v>
      </c>
      <c r="M34" s="2064" t="s">
        <v>1828</v>
      </c>
      <c r="N34" s="2064" t="s">
        <v>1829</v>
      </c>
      <c r="O34" s="2064" t="s">
        <v>1830</v>
      </c>
      <c r="P34" s="2064" t="s">
        <v>1831</v>
      </c>
      <c r="Q34" s="2064" t="s">
        <v>1832</v>
      </c>
      <c r="R34" s="2064" t="s">
        <v>1833</v>
      </c>
      <c r="S34" s="3087" t="s">
        <v>1834</v>
      </c>
      <c r="T34" s="2124" t="str">
        <f>NUMBERSTRING(7-K34,1)&amp;"通"</f>
        <v>七通</v>
      </c>
      <c r="U34" s="2021"/>
      <c r="V34" s="2021"/>
    </row>
    <row r="35" spans="1:22" ht="18" customHeight="1">
      <c r="A35" s="2125"/>
      <c r="B35" s="3094" t="s">
        <v>1835</v>
      </c>
      <c r="C35" s="3094"/>
      <c r="D35" s="3094"/>
      <c r="E35" s="3094"/>
      <c r="F35" s="2126" t="str">
        <f>C10</f>
        <v>浙江省杭州市萧山区</v>
      </c>
      <c r="G35" s="2034"/>
      <c r="H35" s="2034"/>
      <c r="I35" s="2034"/>
      <c r="J35" s="2034"/>
      <c r="K35" s="2064"/>
      <c r="L35" s="2064"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87"/>
      <c r="T35" s="48" t="str">
        <f>IF(T34="一通",L35,IF(T34="二通",M35,IF(T34="三通",N35,IF(T34="四通",O35,IF(T34="五通",P35,IF(T34="六通",Q35,R35))))))</f>
        <v>通路、通电、通上水、、、、</v>
      </c>
      <c r="U35" s="2021"/>
      <c r="V35" s="2021"/>
    </row>
    <row r="36" spans="1:22" ht="18" customHeight="1">
      <c r="A36" s="2127"/>
      <c r="B36" s="2126" t="s">
        <v>1836</v>
      </c>
      <c r="C36" s="2126" t="s">
        <v>1837</v>
      </c>
      <c r="D36" s="2126" t="s">
        <v>1838</v>
      </c>
      <c r="E36" s="2126" t="s">
        <v>1839</v>
      </c>
      <c r="F36" s="2128"/>
      <c r="G36" s="2034"/>
      <c r="H36" s="2034"/>
      <c r="I36" s="2034"/>
      <c r="J36" s="2034"/>
      <c r="K36" s="2045"/>
      <c r="L36" s="2020"/>
      <c r="M36" s="2020"/>
      <c r="N36" s="2021"/>
      <c r="O36" s="2022"/>
      <c r="P36" s="2021"/>
      <c r="Q36" s="2021"/>
      <c r="R36" s="2021"/>
      <c r="S36" s="2021"/>
      <c r="T36" s="2021"/>
      <c r="U36" s="2021"/>
      <c r="V36" s="2021"/>
    </row>
    <row r="37" spans="1:22" ht="18" customHeight="1">
      <c r="A37" s="2129" t="s">
        <v>1840</v>
      </c>
      <c r="B37" s="2130"/>
      <c r="C37" s="2130"/>
      <c r="D37" s="2130"/>
      <c r="E37" s="2130"/>
      <c r="F37" s="2128"/>
      <c r="G37" s="2034"/>
      <c r="H37" s="2034"/>
      <c r="I37" s="2034"/>
      <c r="J37" s="2034"/>
      <c r="K37" s="2045"/>
      <c r="L37" s="2020"/>
      <c r="M37" s="2020"/>
      <c r="N37" s="2021"/>
      <c r="O37" s="2022"/>
      <c r="P37" s="2021"/>
      <c r="Q37" s="2021"/>
      <c r="R37" s="2021"/>
      <c r="S37" s="2021"/>
      <c r="T37" s="2021"/>
      <c r="U37" s="2021"/>
      <c r="V37" s="2021"/>
    </row>
    <row r="38" spans="1:22" ht="18" customHeight="1" thickBot="1">
      <c r="A38" s="2131" t="s">
        <v>1841</v>
      </c>
      <c r="B38" s="2132"/>
      <c r="C38" s="2132"/>
      <c r="D38" s="2132"/>
      <c r="E38" s="2132"/>
      <c r="F38" s="2133"/>
      <c r="G38" s="2053"/>
      <c r="H38" s="2053"/>
      <c r="I38" s="2053"/>
      <c r="J38" s="2034"/>
      <c r="K38" s="2045"/>
      <c r="L38" s="2020"/>
      <c r="M38" s="2020"/>
      <c r="N38" s="2021"/>
      <c r="O38" s="2022"/>
      <c r="P38" s="2021"/>
      <c r="Q38" s="2021"/>
      <c r="R38" s="2021"/>
      <c r="S38" s="2021"/>
      <c r="T38" s="2021"/>
      <c r="U38" s="2021"/>
      <c r="V38" s="2021"/>
    </row>
    <row r="39" spans="1:22" s="2138" customFormat="1" ht="18" customHeight="1" thickTop="1" thickBot="1">
      <c r="A39" s="2134" t="s">
        <v>1842</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1"/>
      <c r="B40" s="2021"/>
      <c r="C40" s="2021"/>
      <c r="D40" s="2021"/>
      <c r="E40" s="2021"/>
      <c r="F40" s="2021"/>
      <c r="G40" s="2021"/>
      <c r="H40" s="2021"/>
      <c r="I40" s="2139"/>
      <c r="J40" s="2074"/>
      <c r="K40" s="663"/>
      <c r="L40" s="2073"/>
      <c r="M40" s="2073"/>
      <c r="N40" s="2074"/>
      <c r="O40" s="2073"/>
      <c r="P40" s="2021"/>
      <c r="Q40" s="2021"/>
      <c r="R40" s="2021"/>
      <c r="S40" s="2021"/>
      <c r="T40" s="2021"/>
      <c r="U40" s="2021"/>
      <c r="V40" s="2021"/>
    </row>
    <row r="41" spans="1:22" ht="18" customHeight="1">
      <c r="A41" s="8" t="s">
        <v>1843</v>
      </c>
      <c r="B41" s="2140"/>
      <c r="C41" s="2141"/>
      <c r="D41" s="2021"/>
      <c r="E41" s="2021"/>
      <c r="F41" s="2021"/>
      <c r="G41" s="2021"/>
      <c r="H41" s="2021"/>
      <c r="I41" s="2022"/>
      <c r="J41" s="2021"/>
      <c r="K41" s="2113"/>
      <c r="L41" s="2020"/>
      <c r="M41" s="2020"/>
      <c r="N41" s="2021"/>
      <c r="O41" s="2022"/>
      <c r="P41" s="2021"/>
      <c r="Q41" s="2021"/>
      <c r="R41" s="2021"/>
      <c r="S41" s="2021"/>
      <c r="T41" s="2021"/>
      <c r="U41" s="2021"/>
      <c r="V41" s="2021"/>
    </row>
    <row r="42" spans="1:22" ht="18" customHeight="1">
      <c r="A42" s="2064" t="s">
        <v>1844</v>
      </c>
      <c r="B42" s="1788" t="s">
        <v>1845</v>
      </c>
      <c r="C42" s="1788" t="s">
        <v>1846</v>
      </c>
      <c r="D42" s="1788" t="s">
        <v>1847</v>
      </c>
      <c r="E42" s="1788" t="s">
        <v>1848</v>
      </c>
      <c r="F42" s="1788" t="s">
        <v>1849</v>
      </c>
      <c r="G42" s="1788" t="s">
        <v>1850</v>
      </c>
      <c r="H42" s="1788" t="s">
        <v>1851</v>
      </c>
      <c r="I42" s="1788" t="s">
        <v>1852</v>
      </c>
      <c r="J42" s="2142" t="s">
        <v>1853</v>
      </c>
      <c r="K42" s="2065" t="s">
        <v>1854</v>
      </c>
      <c r="L42" s="2065" t="s">
        <v>1855</v>
      </c>
      <c r="M42" s="2065" t="s">
        <v>1856</v>
      </c>
      <c r="N42" s="1788" t="s">
        <v>1857</v>
      </c>
      <c r="O42" s="1788" t="s">
        <v>1858</v>
      </c>
      <c r="P42" s="1788" t="s">
        <v>1859</v>
      </c>
      <c r="Q42" s="2064" t="s">
        <v>1860</v>
      </c>
      <c r="R42" s="2064" t="s">
        <v>1861</v>
      </c>
      <c r="S42" s="2021"/>
      <c r="T42" s="2021"/>
      <c r="U42" s="2021"/>
      <c r="V42" s="2021"/>
    </row>
    <row r="43" spans="1:22" s="2147" customFormat="1" ht="18" customHeight="1">
      <c r="A43" s="2143"/>
      <c r="B43" s="1266"/>
      <c r="C43" s="1266"/>
      <c r="D43" s="1266"/>
      <c r="E43" s="1266"/>
      <c r="F43" s="1266"/>
      <c r="G43" s="1266"/>
      <c r="H43" s="9"/>
      <c r="I43" s="9"/>
      <c r="J43" s="2144"/>
      <c r="K43" s="2145"/>
      <c r="L43" s="2145"/>
      <c r="M43" s="9"/>
      <c r="N43" s="1266"/>
      <c r="O43" s="9"/>
      <c r="P43" s="1266"/>
      <c r="Q43" s="1266"/>
      <c r="R43" s="1266"/>
      <c r="S43" s="2146"/>
      <c r="T43" s="2146"/>
      <c r="U43" s="2146"/>
      <c r="V43" s="2146"/>
    </row>
    <row r="44" spans="1:22" s="2147" customFormat="1" ht="18" customHeight="1">
      <c r="A44" s="2143"/>
      <c r="B44" s="2143"/>
      <c r="C44" s="1266"/>
      <c r="D44" s="1266"/>
      <c r="E44" s="1266"/>
      <c r="F44" s="1266"/>
      <c r="G44" s="1266"/>
      <c r="H44" s="9"/>
      <c r="I44" s="9"/>
      <c r="J44" s="2144"/>
      <c r="K44" s="2145"/>
      <c r="L44" s="2145"/>
      <c r="M44" s="9"/>
      <c r="N44" s="1266"/>
      <c r="O44" s="9"/>
      <c r="P44" s="1266"/>
      <c r="Q44" s="1266"/>
      <c r="R44" s="1266"/>
      <c r="S44" s="2146"/>
      <c r="T44" s="2146"/>
      <c r="U44" s="2146"/>
      <c r="V44" s="2146"/>
    </row>
    <row r="45" spans="1:22" s="2147" customFormat="1" ht="18" customHeight="1">
      <c r="A45" s="2143"/>
      <c r="B45" s="2143"/>
      <c r="C45" s="1266"/>
      <c r="D45" s="1266"/>
      <c r="E45" s="1266"/>
      <c r="F45" s="1266"/>
      <c r="G45" s="1266"/>
      <c r="H45" s="9"/>
      <c r="I45" s="9"/>
      <c r="J45" s="2144"/>
      <c r="K45" s="2145"/>
      <c r="L45" s="2145"/>
      <c r="M45" s="9"/>
      <c r="N45" s="1266"/>
      <c r="O45" s="9"/>
      <c r="P45" s="1266"/>
      <c r="Q45" s="1266"/>
      <c r="R45" s="1266"/>
      <c r="S45" s="2146"/>
      <c r="T45" s="2146"/>
      <c r="U45" s="2146"/>
      <c r="V45" s="2146"/>
    </row>
    <row r="46" spans="1:22" s="2147" customFormat="1" ht="18" customHeight="1">
      <c r="A46" s="2143"/>
      <c r="B46" s="2143"/>
      <c r="C46" s="1266"/>
      <c r="D46" s="1266"/>
      <c r="E46" s="1266"/>
      <c r="F46" s="1266"/>
      <c r="G46" s="1266"/>
      <c r="H46" s="9"/>
      <c r="I46" s="9"/>
      <c r="J46" s="2144"/>
      <c r="K46" s="2145"/>
      <c r="L46" s="2145"/>
      <c r="M46" s="9"/>
      <c r="N46" s="1266"/>
      <c r="O46" s="9"/>
      <c r="P46" s="1266"/>
      <c r="Q46" s="1266"/>
      <c r="R46" s="1266"/>
      <c r="S46" s="2146"/>
      <c r="T46" s="2146"/>
      <c r="U46" s="2146"/>
      <c r="V46" s="2146"/>
    </row>
    <row r="47" spans="1:22" s="2147" customFormat="1" ht="18" customHeight="1">
      <c r="A47" s="2143"/>
      <c r="B47" s="2143"/>
      <c r="C47" s="1266"/>
      <c r="D47" s="1266"/>
      <c r="E47" s="1266"/>
      <c r="F47" s="1266"/>
      <c r="G47" s="1266"/>
      <c r="H47" s="9"/>
      <c r="I47" s="9"/>
      <c r="J47" s="2144"/>
      <c r="K47" s="2145"/>
      <c r="L47" s="2145"/>
      <c r="M47" s="9"/>
      <c r="N47" s="1266"/>
      <c r="O47" s="9"/>
      <c r="P47" s="1266"/>
      <c r="Q47" s="1266"/>
      <c r="R47" s="1266"/>
      <c r="S47" s="2146"/>
      <c r="T47" s="2146"/>
      <c r="U47" s="2146"/>
      <c r="V47" s="2146"/>
    </row>
    <row r="48" spans="1:22" s="2147" customFormat="1" ht="18" customHeight="1">
      <c r="A48" s="2143"/>
      <c r="B48" s="2143"/>
      <c r="C48" s="1266"/>
      <c r="D48" s="1266"/>
      <c r="E48" s="1266"/>
      <c r="F48" s="1266"/>
      <c r="G48" s="1266"/>
      <c r="H48" s="9"/>
      <c r="I48" s="9"/>
      <c r="J48" s="2144"/>
      <c r="K48" s="2145"/>
      <c r="L48" s="2145"/>
      <c r="M48" s="9"/>
      <c r="N48" s="1266"/>
      <c r="O48" s="9"/>
      <c r="P48" s="1266"/>
      <c r="Q48" s="1266"/>
      <c r="R48" s="1266"/>
      <c r="S48" s="2146"/>
      <c r="T48" s="2146"/>
      <c r="U48" s="2146"/>
      <c r="V48" s="2146"/>
    </row>
    <row r="49" spans="1:22" s="2147" customFormat="1" ht="18" customHeight="1">
      <c r="A49" s="2143"/>
      <c r="B49" s="2143"/>
      <c r="C49" s="1266"/>
      <c r="D49" s="1266"/>
      <c r="E49" s="1266"/>
      <c r="F49" s="1266"/>
      <c r="G49" s="1266"/>
      <c r="H49" s="9"/>
      <c r="I49" s="9"/>
      <c r="J49" s="2144"/>
      <c r="K49" s="2145"/>
      <c r="L49" s="2145"/>
      <c r="M49" s="9"/>
      <c r="N49" s="1266"/>
      <c r="O49" s="9"/>
      <c r="P49" s="1266"/>
      <c r="Q49" s="1266"/>
      <c r="R49" s="1266"/>
      <c r="S49" s="2146"/>
      <c r="T49" s="2146"/>
      <c r="U49" s="2146"/>
      <c r="V49" s="2146"/>
    </row>
    <row r="50" spans="1:22" s="2147" customFormat="1" ht="18" customHeight="1">
      <c r="A50" s="2143"/>
      <c r="B50" s="2143"/>
      <c r="C50" s="1266"/>
      <c r="D50" s="1266"/>
      <c r="E50" s="1266"/>
      <c r="F50" s="1266"/>
      <c r="G50" s="1266"/>
      <c r="H50" s="9"/>
      <c r="I50" s="9"/>
      <c r="J50" s="2144"/>
      <c r="K50" s="2145"/>
      <c r="L50" s="2145"/>
      <c r="M50" s="9"/>
      <c r="N50" s="1266"/>
      <c r="O50" s="9"/>
      <c r="P50" s="1266"/>
      <c r="Q50" s="1266"/>
      <c r="R50" s="1266"/>
      <c r="S50" s="2146"/>
      <c r="T50" s="2146"/>
      <c r="U50" s="2146"/>
      <c r="V50" s="2146"/>
    </row>
    <row r="51" spans="1:22" s="2147" customFormat="1" ht="18" customHeight="1">
      <c r="A51" s="2143"/>
      <c r="B51" s="2143"/>
      <c r="C51" s="1266"/>
      <c r="D51" s="1266"/>
      <c r="E51" s="1266"/>
      <c r="F51" s="1266"/>
      <c r="G51" s="1266"/>
      <c r="H51" s="9"/>
      <c r="I51" s="9"/>
      <c r="J51" s="2144"/>
      <c r="K51" s="2145"/>
      <c r="L51" s="2145"/>
      <c r="M51" s="9"/>
      <c r="N51" s="1266"/>
      <c r="O51" s="9"/>
      <c r="P51" s="1266"/>
      <c r="Q51" s="1266"/>
      <c r="R51" s="1266"/>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D25" activePane="bottomRight" state="frozen"/>
      <selection activeCell="M17" sqref="M17"/>
      <selection pane="topRight" activeCell="M17" sqref="M17"/>
      <selection pane="bottomLeft" activeCell="M17" sqref="M17"/>
      <selection pane="bottomRight" activeCell="M17" sqref="M17"/>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625" style="2149" customWidth="1"/>
    <col min="17" max="17" width="9.375" style="2149" customWidth="1"/>
    <col min="18" max="18" width="9.125" style="2149" customWidth="1"/>
    <col min="19" max="19" width="10.875" style="2149" hidden="1" customWidth="1"/>
    <col min="20" max="21" width="10.625" style="2149" hidden="1" customWidth="1"/>
    <col min="22" max="22" width="10.875" style="2149" hidden="1" customWidth="1"/>
    <col min="23" max="27" width="10.625" style="2149" hidden="1" customWidth="1"/>
    <col min="28" max="28" width="10.875" style="2149" hidden="1" customWidth="1"/>
    <col min="29" max="29" width="11" style="2149" bestFit="1" customWidth="1"/>
    <col min="30" max="30" width="10" style="2149" bestFit="1" customWidth="1"/>
    <col min="31" max="31" width="9.625" style="2149" customWidth="1"/>
    <col min="32" max="46" width="9.5" style="2149" customWidth="1"/>
    <col min="47" max="47" width="18.125" style="2149" customWidth="1"/>
    <col min="48" max="50" width="9.6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1862</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3" t="s">
        <v>1863</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7" customFormat="1" ht="24">
      <c r="A2" s="11" t="s">
        <v>1864</v>
      </c>
      <c r="B2" s="11" t="s">
        <v>1865</v>
      </c>
      <c r="C2" s="11" t="s">
        <v>1866</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3" t="s">
        <v>1867</v>
      </c>
      <c r="AZ2" s="1264" t="s">
        <v>1868</v>
      </c>
      <c r="BA2" s="11" t="s">
        <v>1869</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抵押物汇总!H11</f>
        <v>358537</v>
      </c>
      <c r="B3" s="14">
        <f>IF(C3="否",G5-AT5,G5)</f>
        <v>900384.25897299999</v>
      </c>
      <c r="C3" s="2158" t="s">
        <v>1870</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5"/>
      <c r="AZ3" s="1266"/>
      <c r="BA3" s="1267"/>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1871</v>
      </c>
      <c r="B5" s="1796"/>
      <c r="C5" s="1796"/>
      <c r="D5" s="1799"/>
      <c r="E5" s="16" t="s">
        <v>1</v>
      </c>
      <c r="F5" s="16">
        <f>SUM(F13:F587)</f>
        <v>0</v>
      </c>
      <c r="G5" s="16">
        <f>SUM(G13:G587)</f>
        <v>900384.25897299999</v>
      </c>
      <c r="H5" s="16">
        <f t="shared" ref="H5:AT5" si="0">SUM(H13:H656)</f>
        <v>611930.4</v>
      </c>
      <c r="I5" s="16">
        <f t="shared" si="0"/>
        <v>20490</v>
      </c>
      <c r="J5" s="16">
        <f t="shared" si="0"/>
        <v>0</v>
      </c>
      <c r="K5" s="16">
        <f t="shared" si="0"/>
        <v>89100</v>
      </c>
      <c r="L5" s="16">
        <f t="shared" si="0"/>
        <v>0</v>
      </c>
      <c r="M5" s="16">
        <f t="shared" si="0"/>
        <v>31006.400000000001</v>
      </c>
      <c r="N5" s="16">
        <f t="shared" si="0"/>
        <v>0</v>
      </c>
      <c r="O5" s="16">
        <f t="shared" si="0"/>
        <v>471334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288453.85897299997</v>
      </c>
      <c r="AD5" s="16">
        <f t="shared" si="0"/>
        <v>19289.398973000003</v>
      </c>
      <c r="AE5" s="16">
        <f t="shared" si="0"/>
        <v>0</v>
      </c>
      <c r="AF5" s="16">
        <f t="shared" si="0"/>
        <v>3000</v>
      </c>
      <c r="AG5" s="16">
        <f t="shared" si="0"/>
        <v>0</v>
      </c>
      <c r="AH5" s="16">
        <f t="shared" si="0"/>
        <v>0</v>
      </c>
      <c r="AI5" s="16">
        <f t="shared" si="0"/>
        <v>0</v>
      </c>
      <c r="AJ5" s="16">
        <f t="shared" si="0"/>
        <v>0</v>
      </c>
      <c r="AK5" s="16">
        <f t="shared" si="0"/>
        <v>0</v>
      </c>
      <c r="AL5" s="16">
        <f t="shared" si="0"/>
        <v>7350</v>
      </c>
      <c r="AM5" s="16">
        <f t="shared" si="0"/>
        <v>0</v>
      </c>
      <c r="AN5" s="16">
        <f t="shared" si="0"/>
        <v>258814.45999999996</v>
      </c>
      <c r="AO5" s="16">
        <f t="shared" si="0"/>
        <v>0</v>
      </c>
      <c r="AP5" s="16">
        <f t="shared" si="0"/>
        <v>0</v>
      </c>
      <c r="AQ5" s="16">
        <f t="shared" si="0"/>
        <v>0</v>
      </c>
      <c r="AR5" s="16">
        <f t="shared" si="0"/>
        <v>0</v>
      </c>
      <c r="AS5" s="16">
        <f t="shared" si="0"/>
        <v>0</v>
      </c>
      <c r="AT5" s="16">
        <f t="shared" si="0"/>
        <v>0</v>
      </c>
      <c r="AU5" s="1795"/>
      <c r="AV5" s="15" t="s">
        <v>1871</v>
      </c>
      <c r="AW5" s="1796"/>
      <c r="AX5" s="1796"/>
      <c r="AY5" s="17" t="s">
        <v>3</v>
      </c>
      <c r="AZ5" s="18">
        <f t="shared" ref="AZ5:BT5" si="1">SUM(AZ13:AZ656)</f>
        <v>900384.25897299999</v>
      </c>
      <c r="BA5" s="18">
        <f t="shared" si="1"/>
        <v>611930.4</v>
      </c>
      <c r="BB5" s="18">
        <f t="shared" si="1"/>
        <v>20490</v>
      </c>
      <c r="BC5" s="18">
        <f t="shared" si="1"/>
        <v>89100</v>
      </c>
      <c r="BD5" s="18">
        <f t="shared" si="1"/>
        <v>31006.400000000001</v>
      </c>
      <c r="BE5" s="18">
        <f t="shared" si="1"/>
        <v>471334</v>
      </c>
      <c r="BF5" s="18">
        <f t="shared" si="1"/>
        <v>0</v>
      </c>
      <c r="BG5" s="18">
        <f t="shared" si="1"/>
        <v>0</v>
      </c>
      <c r="BH5" s="18">
        <f t="shared" si="1"/>
        <v>0</v>
      </c>
      <c r="BI5" s="18">
        <f t="shared" si="1"/>
        <v>0</v>
      </c>
      <c r="BJ5" s="18">
        <f t="shared" si="1"/>
        <v>0</v>
      </c>
      <c r="BK5" s="18">
        <f t="shared" si="1"/>
        <v>0</v>
      </c>
      <c r="BL5" s="18">
        <f t="shared" si="1"/>
        <v>288453.85897299997</v>
      </c>
      <c r="BM5" s="18">
        <f t="shared" si="1"/>
        <v>19289.398973000003</v>
      </c>
      <c r="BN5" s="18">
        <f t="shared" si="1"/>
        <v>3000</v>
      </c>
      <c r="BO5" s="18">
        <f t="shared" si="1"/>
        <v>0</v>
      </c>
      <c r="BP5" s="18">
        <f t="shared" si="1"/>
        <v>0</v>
      </c>
      <c r="BQ5" s="18">
        <f t="shared" si="1"/>
        <v>7350</v>
      </c>
      <c r="BR5" s="18">
        <f t="shared" si="1"/>
        <v>258814.45999999996</v>
      </c>
      <c r="BS5" s="18">
        <f t="shared" si="1"/>
        <v>0</v>
      </c>
      <c r="BT5" s="19">
        <f t="shared" si="1"/>
        <v>0</v>
      </c>
    </row>
    <row r="6" spans="1:72" s="2167" customFormat="1" ht="12.75">
      <c r="A6" s="15" t="s">
        <v>1872</v>
      </c>
      <c r="B6" s="2164"/>
      <c r="C6" s="2164"/>
      <c r="D6" s="2165"/>
      <c r="E6" s="16">
        <f>H6+AC6+AT6</f>
        <v>358536.99</v>
      </c>
      <c r="F6" s="16" t="s">
        <v>1</v>
      </c>
      <c r="G6" s="16" t="s">
        <v>2</v>
      </c>
      <c r="H6" s="20">
        <f>SUMIF(I$12:AB$12,"总值",I6:AB6)</f>
        <v>243673.40000000002</v>
      </c>
      <c r="I6" s="16">
        <f t="shared" ref="I6:AB6" si="2">ROUND($A$3*I5/$B$3,2)</f>
        <v>8159.21</v>
      </c>
      <c r="J6" s="16">
        <f t="shared" si="2"/>
        <v>0</v>
      </c>
      <c r="K6" s="16">
        <f t="shared" si="2"/>
        <v>35480.01</v>
      </c>
      <c r="L6" s="16">
        <f t="shared" si="2"/>
        <v>0</v>
      </c>
      <c r="M6" s="16">
        <f t="shared" si="2"/>
        <v>12346.89</v>
      </c>
      <c r="N6" s="16">
        <f t="shared" si="2"/>
        <v>0</v>
      </c>
      <c r="O6" s="16">
        <f t="shared" si="2"/>
        <v>187687.29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114863.59</v>
      </c>
      <c r="AD6" s="16">
        <f t="shared" ref="AD6:AS6" si="3">ROUND($A$3*AD5/$B$3,2)</f>
        <v>7681.12</v>
      </c>
      <c r="AE6" s="16">
        <f t="shared" si="3"/>
        <v>0</v>
      </c>
      <c r="AF6" s="16">
        <f t="shared" si="3"/>
        <v>1194.6099999999999</v>
      </c>
      <c r="AG6" s="16">
        <f t="shared" si="3"/>
        <v>0</v>
      </c>
      <c r="AH6" s="16">
        <f t="shared" si="3"/>
        <v>0</v>
      </c>
      <c r="AI6" s="16">
        <f t="shared" si="3"/>
        <v>0</v>
      </c>
      <c r="AJ6" s="16">
        <f t="shared" si="3"/>
        <v>0</v>
      </c>
      <c r="AK6" s="16">
        <f t="shared" si="3"/>
        <v>0</v>
      </c>
      <c r="AL6" s="16">
        <f t="shared" si="3"/>
        <v>2926.8</v>
      </c>
      <c r="AM6" s="16">
        <f t="shared" si="3"/>
        <v>0</v>
      </c>
      <c r="AN6" s="16">
        <f t="shared" si="3"/>
        <v>103061.06</v>
      </c>
      <c r="AO6" s="16">
        <f t="shared" si="3"/>
        <v>0</v>
      </c>
      <c r="AP6" s="16">
        <f t="shared" si="3"/>
        <v>0</v>
      </c>
      <c r="AQ6" s="16">
        <f t="shared" si="3"/>
        <v>0</v>
      </c>
      <c r="AR6" s="16">
        <f t="shared" si="3"/>
        <v>0</v>
      </c>
      <c r="AS6" s="16">
        <f t="shared" si="3"/>
        <v>0</v>
      </c>
      <c r="AT6" s="20">
        <f>IF(C3="是",ROUND($A$3*AT5/$B$3,2),0)</f>
        <v>0</v>
      </c>
      <c r="AU6" s="2166"/>
      <c r="AV6" s="15" t="s">
        <v>1872</v>
      </c>
      <c r="AW6" s="2164"/>
      <c r="AX6" s="2164"/>
      <c r="AY6" s="21">
        <f>IF(AY3&gt;0,AY3,ROUND($A$3*AZ5/$B$3,2))</f>
        <v>358537</v>
      </c>
      <c r="AZ6" s="16" t="s">
        <v>3</v>
      </c>
      <c r="BA6" s="16">
        <f>ROUND($AY$6*BA5/$AZ$5,2)</f>
        <v>243673.4</v>
      </c>
      <c r="BB6" s="16">
        <f>ROUND($AY$6*BB5/$AZ$5,2)</f>
        <v>8159.21</v>
      </c>
      <c r="BC6" s="16">
        <f t="shared" ref="BC6:BH6" si="4">ROUND($AY$6*BC5/$AZ$5,2)</f>
        <v>35480.01</v>
      </c>
      <c r="BD6" s="16">
        <f t="shared" si="4"/>
        <v>12346.89</v>
      </c>
      <c r="BE6" s="16">
        <f t="shared" si="4"/>
        <v>187687.29</v>
      </c>
      <c r="BF6" s="16">
        <f t="shared" si="4"/>
        <v>0</v>
      </c>
      <c r="BG6" s="16">
        <f t="shared" si="4"/>
        <v>0</v>
      </c>
      <c r="BH6" s="16">
        <f t="shared" si="4"/>
        <v>0</v>
      </c>
      <c r="BI6" s="16">
        <f t="shared" ref="BI6:BT6" si="5">ROUND($AY$6*BI5/$AZ$5,2)</f>
        <v>0</v>
      </c>
      <c r="BJ6" s="16">
        <f t="shared" si="5"/>
        <v>0</v>
      </c>
      <c r="BK6" s="16">
        <f t="shared" si="5"/>
        <v>0</v>
      </c>
      <c r="BL6" s="16">
        <f t="shared" si="5"/>
        <v>114863.6</v>
      </c>
      <c r="BM6" s="16">
        <f t="shared" si="5"/>
        <v>7681.12</v>
      </c>
      <c r="BN6" s="16">
        <f t="shared" si="5"/>
        <v>1194.6099999999999</v>
      </c>
      <c r="BO6" s="16">
        <f t="shared" si="5"/>
        <v>0</v>
      </c>
      <c r="BP6" s="16">
        <f t="shared" si="5"/>
        <v>0</v>
      </c>
      <c r="BQ6" s="16">
        <f t="shared" si="5"/>
        <v>2926.8</v>
      </c>
      <c r="BR6" s="16">
        <f t="shared" si="5"/>
        <v>103061.06</v>
      </c>
      <c r="BS6" s="16">
        <f t="shared" si="5"/>
        <v>0</v>
      </c>
      <c r="BT6" s="22">
        <f t="shared" si="5"/>
        <v>0</v>
      </c>
    </row>
    <row r="7" spans="1:72" s="2157" customFormat="1" ht="24.75">
      <c r="A7" s="2099" t="s">
        <v>1873</v>
      </c>
      <c r="B7" s="2099" t="s">
        <v>1874</v>
      </c>
      <c r="C7" s="2099" t="s">
        <v>1875</v>
      </c>
      <c r="D7" s="2099" t="s">
        <v>1876</v>
      </c>
      <c r="E7" s="2099" t="s">
        <v>1877</v>
      </c>
      <c r="F7" s="2099" t="s">
        <v>1878</v>
      </c>
      <c r="G7" s="2168" t="s">
        <v>1879</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9"/>
      <c r="AU7" s="2169" t="s">
        <v>1880</v>
      </c>
      <c r="AV7" s="23" t="s">
        <v>1881</v>
      </c>
      <c r="AW7" s="2156" t="s">
        <v>1882</v>
      </c>
      <c r="AX7" s="23" t="s">
        <v>1875</v>
      </c>
      <c r="AY7" s="1796" t="s">
        <v>1883</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1884</v>
      </c>
      <c r="H8" s="2174" t="s">
        <v>1885</v>
      </c>
      <c r="I8" s="2175"/>
      <c r="J8" s="1811"/>
      <c r="K8" s="1811"/>
      <c r="L8" s="1811"/>
      <c r="M8" s="1811"/>
      <c r="N8" s="1811"/>
      <c r="O8" s="1811"/>
      <c r="P8" s="1811"/>
      <c r="Q8" s="1811"/>
      <c r="R8" s="1811"/>
      <c r="S8" s="1811"/>
      <c r="T8" s="1811"/>
      <c r="U8" s="1811"/>
      <c r="V8" s="2176"/>
      <c r="W8" s="1811"/>
      <c r="X8" s="1811"/>
      <c r="Y8" s="1811"/>
      <c r="Z8" s="1811"/>
      <c r="AA8" s="2176"/>
      <c r="AB8" s="2177"/>
      <c r="AC8" s="976" t="s">
        <v>1886</v>
      </c>
      <c r="AD8" s="2178"/>
      <c r="AE8" s="2170"/>
      <c r="AF8" s="1811"/>
      <c r="AG8" s="1811"/>
      <c r="AH8" s="1811"/>
      <c r="AI8" s="1811"/>
      <c r="AJ8" s="1811"/>
      <c r="AK8" s="1811"/>
      <c r="AL8" s="1811"/>
      <c r="AM8" s="1811"/>
      <c r="AN8" s="1811"/>
      <c r="AO8" s="1811"/>
      <c r="AP8" s="1811"/>
      <c r="AQ8" s="1811"/>
      <c r="AR8" s="1811"/>
      <c r="AS8" s="1811"/>
      <c r="AT8" s="1286" t="s">
        <v>1887</v>
      </c>
      <c r="AU8" s="2172" t="s">
        <v>1888</v>
      </c>
      <c r="AV8" s="1286"/>
      <c r="AW8" s="2155"/>
      <c r="AX8" s="1286"/>
      <c r="AY8" s="2156" t="s">
        <v>1889</v>
      </c>
      <c r="AZ8" s="1810" t="s">
        <v>1890</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9" customFormat="1" ht="12.75">
      <c r="A9" s="2172"/>
      <c r="B9" s="2172"/>
      <c r="C9" s="2172"/>
      <c r="D9" s="2172"/>
      <c r="E9" s="2172"/>
      <c r="F9" s="2172"/>
      <c r="G9" s="1286"/>
      <c r="H9" s="2180" t="s">
        <v>1891</v>
      </c>
      <c r="I9" s="2181" t="s">
        <v>3067</v>
      </c>
      <c r="J9" s="976"/>
      <c r="K9" s="2181" t="s">
        <v>3067</v>
      </c>
      <c r="L9" s="976"/>
      <c r="M9" s="2181" t="s">
        <v>3067</v>
      </c>
      <c r="N9" s="976"/>
      <c r="O9" s="2181" t="s">
        <v>3067</v>
      </c>
      <c r="P9" s="976"/>
      <c r="Q9" s="2181" t="s">
        <v>3069</v>
      </c>
      <c r="R9" s="976"/>
      <c r="S9" s="2181"/>
      <c r="T9" s="976"/>
      <c r="U9" s="2181"/>
      <c r="V9" s="976"/>
      <c r="W9" s="2181"/>
      <c r="X9" s="2182"/>
      <c r="Y9" s="2181"/>
      <c r="Z9" s="976"/>
      <c r="AA9" s="2181"/>
      <c r="AB9" s="976"/>
      <c r="AC9" s="2173" t="s">
        <v>1891</v>
      </c>
      <c r="AD9" s="15" t="s">
        <v>1892</v>
      </c>
      <c r="AE9" s="1292"/>
      <c r="AF9" s="15" t="s">
        <v>1893</v>
      </c>
      <c r="AG9" s="1292"/>
      <c r="AH9" s="15" t="s">
        <v>1892</v>
      </c>
      <c r="AI9" s="1292"/>
      <c r="AJ9" s="15" t="s">
        <v>1893</v>
      </c>
      <c r="AK9" s="1292"/>
      <c r="AL9" s="15" t="s">
        <v>1892</v>
      </c>
      <c r="AM9" s="1292"/>
      <c r="AN9" s="15" t="s">
        <v>1893</v>
      </c>
      <c r="AO9" s="1292"/>
      <c r="AP9" s="15" t="s">
        <v>1892</v>
      </c>
      <c r="AQ9" s="1292"/>
      <c r="AR9" s="15" t="s">
        <v>1893</v>
      </c>
      <c r="AS9" s="2183"/>
      <c r="AT9" s="2172"/>
      <c r="AU9" s="2172" t="s">
        <v>1894</v>
      </c>
      <c r="AV9" s="1286"/>
      <c r="AW9" s="2155"/>
      <c r="AX9" s="1286"/>
      <c r="AY9" s="28"/>
      <c r="AZ9" s="28" t="s">
        <v>1884</v>
      </c>
      <c r="BA9" s="2184" t="s">
        <v>1895</v>
      </c>
      <c r="BB9" s="2185"/>
      <c r="BC9" s="1332"/>
      <c r="BD9" s="1332"/>
      <c r="BE9" s="1332"/>
      <c r="BF9" s="1332"/>
      <c r="BG9" s="1332"/>
      <c r="BH9" s="1332"/>
      <c r="BI9" s="1332"/>
      <c r="BJ9" s="1332"/>
      <c r="BK9" s="2186"/>
      <c r="BL9" s="15" t="s">
        <v>1896</v>
      </c>
      <c r="BM9" s="1811"/>
      <c r="BN9" s="2175"/>
      <c r="BO9" s="1811"/>
      <c r="BP9" s="1811"/>
      <c r="BQ9" s="1811"/>
      <c r="BR9" s="1811"/>
      <c r="BS9" s="1811"/>
      <c r="BT9" s="26"/>
    </row>
    <row r="10" spans="1:72" s="2179" customFormat="1" ht="12.75">
      <c r="A10" s="2172"/>
      <c r="B10" s="2172"/>
      <c r="C10" s="2172"/>
      <c r="D10" s="2172"/>
      <c r="E10" s="2172"/>
      <c r="F10" s="2172"/>
      <c r="G10" s="1286"/>
      <c r="H10" s="28"/>
      <c r="I10" s="2181" t="s">
        <v>3059</v>
      </c>
      <c r="J10" s="976"/>
      <c r="K10" s="2187" t="s">
        <v>3059</v>
      </c>
      <c r="L10" s="976"/>
      <c r="M10" s="2187" t="s">
        <v>3059</v>
      </c>
      <c r="N10" s="976"/>
      <c r="O10" s="2187" t="s">
        <v>3059</v>
      </c>
      <c r="P10" s="976"/>
      <c r="Q10" s="2187" t="s">
        <v>3070</v>
      </c>
      <c r="R10" s="976"/>
      <c r="S10" s="2187"/>
      <c r="T10" s="976"/>
      <c r="U10" s="2187"/>
      <c r="V10" s="976"/>
      <c r="W10" s="2187"/>
      <c r="X10" s="976"/>
      <c r="Y10" s="2187"/>
      <c r="Z10" s="976"/>
      <c r="AA10" s="2187"/>
      <c r="AB10" s="976"/>
      <c r="AC10" s="1286"/>
      <c r="AD10" s="15" t="s">
        <v>1897</v>
      </c>
      <c r="AE10" s="2188"/>
      <c r="AF10" s="15" t="s">
        <v>1897</v>
      </c>
      <c r="AG10" s="2188"/>
      <c r="AH10" s="15" t="s">
        <v>1898</v>
      </c>
      <c r="AI10" s="2188"/>
      <c r="AJ10" s="15" t="s">
        <v>1898</v>
      </c>
      <c r="AK10" s="2188"/>
      <c r="AL10" s="15" t="s">
        <v>1899</v>
      </c>
      <c r="AM10" s="1292"/>
      <c r="AN10" s="15" t="s">
        <v>1899</v>
      </c>
      <c r="AO10" s="1292"/>
      <c r="AP10" s="15" t="s">
        <v>1900</v>
      </c>
      <c r="AQ10" s="1292"/>
      <c r="AR10" s="15" t="s">
        <v>1900</v>
      </c>
      <c r="AS10" s="1292"/>
      <c r="AT10" s="2172"/>
      <c r="AU10" s="2172"/>
      <c r="AV10" s="1286"/>
      <c r="AW10" s="2155"/>
      <c r="AX10" s="1286"/>
      <c r="AY10" s="28"/>
      <c r="AZ10" s="28"/>
      <c r="BA10" s="2189" t="s">
        <v>1891</v>
      </c>
      <c r="BB10" s="2190" t="str">
        <f>I9</f>
        <v>地上</v>
      </c>
      <c r="BC10" s="29" t="str">
        <f>K9</f>
        <v>地上</v>
      </c>
      <c r="BD10" s="29" t="str">
        <f>M9</f>
        <v>地上</v>
      </c>
      <c r="BE10" s="29" t="str">
        <f>O9</f>
        <v>地上</v>
      </c>
      <c r="BF10" s="29" t="str">
        <f>Q9</f>
        <v>地下</v>
      </c>
      <c r="BG10" s="29">
        <f>S9</f>
        <v>0</v>
      </c>
      <c r="BH10" s="29">
        <f>U9</f>
        <v>0</v>
      </c>
      <c r="BI10" s="29">
        <f>W9</f>
        <v>0</v>
      </c>
      <c r="BJ10" s="29">
        <f>Y9</f>
        <v>0</v>
      </c>
      <c r="BK10" s="29">
        <f>AA9</f>
        <v>0</v>
      </c>
      <c r="BL10" s="25" t="s">
        <v>1891</v>
      </c>
      <c r="BM10" s="1810" t="str">
        <f>AD9</f>
        <v>地上</v>
      </c>
      <c r="BN10" s="29" t="str">
        <f>AF9</f>
        <v>地下</v>
      </c>
      <c r="BO10" s="1810" t="str">
        <f>AH9</f>
        <v>地上</v>
      </c>
      <c r="BP10" s="29" t="str">
        <f>AJ9</f>
        <v>地下</v>
      </c>
      <c r="BQ10" s="1810" t="str">
        <f>AL9</f>
        <v>地上</v>
      </c>
      <c r="BR10" s="29" t="str">
        <f>AN9</f>
        <v>地下</v>
      </c>
      <c r="BS10" s="1810" t="str">
        <f>AP9</f>
        <v>地上</v>
      </c>
      <c r="BT10" s="2191" t="str">
        <f>AR9</f>
        <v>地下</v>
      </c>
    </row>
    <row r="11" spans="1:72" s="2179" customFormat="1" ht="12.75">
      <c r="A11" s="2172"/>
      <c r="B11" s="2172"/>
      <c r="C11" s="2172"/>
      <c r="D11" s="2172"/>
      <c r="E11" s="2172"/>
      <c r="F11" s="2172"/>
      <c r="G11" s="1286"/>
      <c r="H11" s="2189"/>
      <c r="I11" s="2192" t="s">
        <v>3068</v>
      </c>
      <c r="J11" s="2193"/>
      <c r="K11" s="2192"/>
      <c r="L11" s="2193"/>
      <c r="M11" s="2192"/>
      <c r="N11" s="2193"/>
      <c r="O11" s="2192"/>
      <c r="P11" s="2193"/>
      <c r="Q11" s="2192"/>
      <c r="R11" s="2193"/>
      <c r="S11" s="2192"/>
      <c r="T11" s="2193"/>
      <c r="U11" s="2192"/>
      <c r="V11" s="2193"/>
      <c r="W11" s="2192"/>
      <c r="X11" s="2193"/>
      <c r="Y11" s="2192"/>
      <c r="Z11" s="2193"/>
      <c r="AA11" s="2192"/>
      <c r="AB11" s="2193"/>
      <c r="AC11" s="1286"/>
      <c r="AD11" s="2194" t="s">
        <v>1901</v>
      </c>
      <c r="AE11" s="1812"/>
      <c r="AF11" s="2194" t="s">
        <v>1901</v>
      </c>
      <c r="AG11" s="1812"/>
      <c r="AH11" s="2194" t="s">
        <v>1902</v>
      </c>
      <c r="AI11" s="2195"/>
      <c r="AJ11" s="2194" t="s">
        <v>1902</v>
      </c>
      <c r="AK11" s="1812"/>
      <c r="AL11" s="1810"/>
      <c r="AM11" s="1812"/>
      <c r="AN11" s="1810"/>
      <c r="AO11" s="1812"/>
      <c r="AP11" s="1810"/>
      <c r="AQ11" s="1812"/>
      <c r="AR11" s="1810"/>
      <c r="AS11" s="1812"/>
      <c r="AT11" s="2155"/>
      <c r="AU11" s="2172"/>
      <c r="AV11" s="1286"/>
      <c r="AW11" s="2155"/>
      <c r="AX11" s="1286"/>
      <c r="AY11" s="28"/>
      <c r="AZ11" s="28"/>
      <c r="BA11" s="28"/>
      <c r="BB11" s="2177" t="str">
        <f>I10</f>
        <v>住宅</v>
      </c>
      <c r="BC11" s="2177" t="str">
        <f>K10</f>
        <v>住宅</v>
      </c>
      <c r="BD11" s="2177" t="str">
        <f>M10</f>
        <v>住宅</v>
      </c>
      <c r="BE11" s="2177" t="str">
        <f>O10</f>
        <v>住宅</v>
      </c>
      <c r="BF11" s="2177" t="str">
        <f>Q10</f>
        <v>车库</v>
      </c>
      <c r="BG11" s="2177">
        <f>S10</f>
        <v>0</v>
      </c>
      <c r="BH11" s="2177">
        <f>U10</f>
        <v>0</v>
      </c>
      <c r="BI11" s="2177">
        <f>W10</f>
        <v>0</v>
      </c>
      <c r="BJ11" s="2177">
        <f>Y10</f>
        <v>0</v>
      </c>
      <c r="BK11" s="2177">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9"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5" t="s">
        <v>1904</v>
      </c>
      <c r="W12" s="11" t="s">
        <v>1903</v>
      </c>
      <c r="X12" s="11" t="s">
        <v>1904</v>
      </c>
      <c r="Y12" s="11" t="s">
        <v>1903</v>
      </c>
      <c r="Z12" s="11" t="s">
        <v>1904</v>
      </c>
      <c r="AA12" s="11" t="s">
        <v>1903</v>
      </c>
      <c r="AB12" s="11" t="s">
        <v>1904</v>
      </c>
      <c r="AC12" s="2199"/>
      <c r="AD12" s="1799"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7" t="s">
        <v>1904</v>
      </c>
      <c r="AT12" s="2200"/>
      <c r="AU12" s="2197"/>
      <c r="AV12" s="31"/>
      <c r="AW12" s="2156"/>
      <c r="AX12" s="31"/>
      <c r="AY12" s="2201"/>
      <c r="AZ12" s="28"/>
      <c r="BA12" s="2189"/>
      <c r="BB12" s="24" t="str">
        <f>I11</f>
        <v>联排</v>
      </c>
      <c r="BC12" s="2202">
        <f>K11</f>
        <v>0</v>
      </c>
      <c r="BD12" s="2202">
        <f>M11</f>
        <v>0</v>
      </c>
      <c r="BE12" s="2177">
        <f>O11</f>
        <v>0</v>
      </c>
      <c r="BF12" s="2177">
        <f>Q11</f>
        <v>0</v>
      </c>
      <c r="BG12" s="2177">
        <f>S11</f>
        <v>0</v>
      </c>
      <c r="BH12" s="2177">
        <f>U11</f>
        <v>0</v>
      </c>
      <c r="BI12" s="2177">
        <f>W11</f>
        <v>0</v>
      </c>
      <c r="BJ12" s="2177">
        <f>Y11</f>
        <v>0</v>
      </c>
      <c r="BK12" s="2177">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6">
        <f>AR11</f>
        <v>0</v>
      </c>
    </row>
    <row r="13" spans="1:72" s="2157" customFormat="1" ht="12.75">
      <c r="A13" s="1266"/>
      <c r="B13" s="1266"/>
      <c r="C13" s="1266"/>
      <c r="D13" s="2203" t="s">
        <v>3071</v>
      </c>
      <c r="E13" s="16">
        <f>IF($C$3="是",ROUND($A$3*G13/$B$3,2),ROUND($A$3*(G13-AT13)/$B$3,2))</f>
        <v>358537</v>
      </c>
      <c r="F13" s="32"/>
      <c r="G13" s="33">
        <f>H13+AC13+AT13</f>
        <v>900384.25897299999</v>
      </c>
      <c r="H13" s="20">
        <f>SUMIF(I$12:AB$12,"总值",I13:AB13)</f>
        <v>611930.4</v>
      </c>
      <c r="I13" s="2204">
        <f>综合指标表!F16+综合指标表!F19+综合指标表!F21</f>
        <v>20490</v>
      </c>
      <c r="J13" s="2204"/>
      <c r="K13" s="2204">
        <f>综合指标表!F15</f>
        <v>89100</v>
      </c>
      <c r="L13" s="2204"/>
      <c r="M13" s="2204">
        <f>综合指标表!F18+综合指标表!F22</f>
        <v>31006.400000000001</v>
      </c>
      <c r="N13" s="2204"/>
      <c r="O13" s="2204">
        <f>综合指标表!F14+综合指标表!F17+综合指标表!F20</f>
        <v>471334</v>
      </c>
      <c r="P13" s="2204"/>
      <c r="Q13" s="2204"/>
      <c r="R13" s="2204"/>
      <c r="S13" s="2204"/>
      <c r="T13" s="2204"/>
      <c r="U13" s="2204"/>
      <c r="V13" s="2204"/>
      <c r="W13" s="2204"/>
      <c r="X13" s="2204"/>
      <c r="Y13" s="2204"/>
      <c r="Z13" s="2204"/>
      <c r="AA13" s="2204"/>
      <c r="AB13" s="2204"/>
      <c r="AC13" s="16">
        <f>SUMIF(AD$12:AS$12,"总值",AD13:AS13)</f>
        <v>288453.85897299997</v>
      </c>
      <c r="AD13" s="2205">
        <f>综合指标表!F26+综合指标表!F28</f>
        <v>19289.398973000003</v>
      </c>
      <c r="AE13" s="2205"/>
      <c r="AF13" s="2205">
        <f>综合指标表!G28</f>
        <v>3000</v>
      </c>
      <c r="AG13" s="2205"/>
      <c r="AH13" s="2205"/>
      <c r="AI13" s="2205"/>
      <c r="AJ13" s="2205"/>
      <c r="AK13" s="2205"/>
      <c r="AL13" s="2205">
        <f>综合指标表!F27+综合指标表!F23</f>
        <v>7350</v>
      </c>
      <c r="AM13" s="2205"/>
      <c r="AN13" s="2205">
        <f>综合指标表!G24</f>
        <v>258814.45999999996</v>
      </c>
      <c r="AO13" s="2205"/>
      <c r="AP13" s="2205"/>
      <c r="AQ13" s="2205"/>
      <c r="AR13" s="2205"/>
      <c r="AS13" s="2205"/>
      <c r="AT13" s="2206"/>
      <c r="AU13" s="2207"/>
      <c r="AV13" s="11">
        <f t="shared" ref="AV13:AX17" si="6">A13</f>
        <v>0</v>
      </c>
      <c r="AW13" s="11">
        <f t="shared" si="6"/>
        <v>0</v>
      </c>
      <c r="AX13" s="11">
        <f t="shared" si="6"/>
        <v>0</v>
      </c>
      <c r="AY13" s="1799">
        <f>ROUND($AY$6*AZ13/$AZ$5,2)</f>
        <v>358537</v>
      </c>
      <c r="AZ13" s="16">
        <f>BA13+BL13</f>
        <v>900384.25897299999</v>
      </c>
      <c r="BA13" s="16">
        <f>SUM(BB13:BK13)</f>
        <v>611930.4</v>
      </c>
      <c r="BB13" s="16">
        <f>IF($D13="是",I13-J13,0)</f>
        <v>20490</v>
      </c>
      <c r="BC13" s="16">
        <f>IF($D13="是",K13-L13,0)</f>
        <v>89100</v>
      </c>
      <c r="BD13" s="16">
        <f>IF($D13="是",M13-N13,0)</f>
        <v>31006.400000000001</v>
      </c>
      <c r="BE13" s="16">
        <f>IF($D13="是",O13-P13,0)</f>
        <v>471334</v>
      </c>
      <c r="BF13" s="16">
        <f>IF($D13="是",Q13-R13,0)</f>
        <v>0</v>
      </c>
      <c r="BG13" s="16">
        <f>IF($D13="是",S13-T13,0)</f>
        <v>0</v>
      </c>
      <c r="BH13" s="16">
        <f>IF($D13="是",U13-V13,0)</f>
        <v>0</v>
      </c>
      <c r="BI13" s="16">
        <f>IF($D13="是",W13-X13,0)</f>
        <v>0</v>
      </c>
      <c r="BJ13" s="16">
        <f>IF($D13="是",Y13-Z13,0)</f>
        <v>0</v>
      </c>
      <c r="BK13" s="16">
        <f>IF($D13="是",AA13-AB13,0)</f>
        <v>0</v>
      </c>
      <c r="BL13" s="16">
        <f>SUM(BM13:BT13)</f>
        <v>288453.85897299997</v>
      </c>
      <c r="BM13" s="16">
        <f>IF($D13="是",AD13-AE13,0)</f>
        <v>19289.398973000003</v>
      </c>
      <c r="BN13" s="16">
        <f>IF($D13="是",AF13-AG13,0)</f>
        <v>3000</v>
      </c>
      <c r="BO13" s="16">
        <f>IF($D13="是",AH13-AI13,0)</f>
        <v>0</v>
      </c>
      <c r="BP13" s="16">
        <f>IF($D13="是",AJ13-AK13,0)</f>
        <v>0</v>
      </c>
      <c r="BQ13" s="16">
        <f>IF($D13="是",AL13-AM13,0)</f>
        <v>7350</v>
      </c>
      <c r="BR13" s="16">
        <f>IF($D13="是",AN13-AO13,0)</f>
        <v>258814.45999999996</v>
      </c>
      <c r="BS13" s="16">
        <f>IF($D13="是",AP13-AQ13,0)</f>
        <v>0</v>
      </c>
      <c r="BT13" s="22">
        <f>IF($D13="是",AR13-AS13,0)</f>
        <v>0</v>
      </c>
    </row>
    <row r="14" spans="1:72" s="2157" customFormat="1" ht="12.75">
      <c r="A14" s="1266"/>
      <c r="B14" s="1266"/>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6"/>
      <c r="B15" s="1266"/>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6"/>
      <c r="B16" s="1266"/>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6"/>
      <c r="B17" s="1266"/>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L248"/>
  <sheetViews>
    <sheetView topLeftCell="T13" zoomScale="85" zoomScaleNormal="85" workbookViewId="0">
      <selection activeCell="AE27" sqref="Q4:AE52"/>
    </sheetView>
  </sheetViews>
  <sheetFormatPr defaultColWidth="9" defaultRowHeight="12.75"/>
  <cols>
    <col min="1" max="1" width="1.375" style="2996" customWidth="1"/>
    <col min="2" max="2" width="7.5" style="3026" customWidth="1"/>
    <col min="3" max="3" width="15.625" style="3026" customWidth="1"/>
    <col min="4" max="4" width="12.5" style="3026" customWidth="1"/>
    <col min="5" max="5" width="8.625" style="3026" customWidth="1"/>
    <col min="6" max="6" width="13.625" style="3026" customWidth="1"/>
    <col min="7" max="7" width="7.875" style="3026" customWidth="1"/>
    <col min="8" max="9" width="12" style="3026" customWidth="1"/>
    <col min="10" max="10" width="16.625" style="3026" customWidth="1"/>
    <col min="11" max="11" width="1.375" style="2996" customWidth="1"/>
    <col min="12" max="12" width="7" style="3026" customWidth="1"/>
    <col min="13" max="13" width="6.125" style="3026" customWidth="1"/>
    <col min="14" max="22" width="10.125" style="3026" customWidth="1"/>
    <col min="23" max="23" width="1.375" style="2996" customWidth="1"/>
    <col min="24" max="24" width="9.875" style="3001" customWidth="1"/>
    <col min="25" max="25" width="7.125" style="3005" customWidth="1"/>
    <col min="26" max="26" width="10.625" style="3005" customWidth="1"/>
    <col min="27" max="27" width="9.875" style="3009" customWidth="1"/>
    <col min="28" max="34" width="9.875" style="3005" customWidth="1"/>
    <col min="35" max="35" width="10.875" style="3005" customWidth="1"/>
    <col min="36" max="36" width="9.875" style="3005" customWidth="1"/>
    <col min="37" max="37" width="14.125" style="3005" customWidth="1"/>
    <col min="38" max="38" width="1.375" style="2996" customWidth="1"/>
    <col min="39" max="16384" width="9" style="3026"/>
  </cols>
  <sheetData>
    <row r="1" spans="1:38" s="2996" customFormat="1" ht="8.25" customHeight="1">
      <c r="X1" s="2997"/>
      <c r="Y1" s="2998"/>
      <c r="Z1" s="2998"/>
      <c r="AA1" s="2999"/>
      <c r="AB1" s="2998"/>
      <c r="AC1" s="2998"/>
      <c r="AD1" s="2998"/>
      <c r="AE1" s="2998"/>
      <c r="AF1" s="2998"/>
      <c r="AG1" s="2998"/>
      <c r="AH1" s="2998"/>
      <c r="AI1" s="2998"/>
      <c r="AJ1" s="2998"/>
      <c r="AK1" s="2998"/>
    </row>
    <row r="2" spans="1:38" s="3001" customFormat="1" ht="15" customHeight="1">
      <c r="A2" s="2997"/>
      <c r="B2" s="3117" t="s">
        <v>3727</v>
      </c>
      <c r="C2" s="3117" t="s">
        <v>3728</v>
      </c>
      <c r="D2" s="3117" t="s">
        <v>3729</v>
      </c>
      <c r="E2" s="3117" t="s">
        <v>3730</v>
      </c>
      <c r="F2" s="3117" t="s">
        <v>3731</v>
      </c>
      <c r="G2" s="3117" t="s">
        <v>3732</v>
      </c>
      <c r="H2" s="3117" t="s">
        <v>3733</v>
      </c>
      <c r="I2" s="3117" t="s">
        <v>3734</v>
      </c>
      <c r="J2" s="3117" t="s">
        <v>3735</v>
      </c>
      <c r="K2" s="2997"/>
      <c r="L2" s="3117" t="s">
        <v>3727</v>
      </c>
      <c r="M2" s="3117" t="s">
        <v>3736</v>
      </c>
      <c r="N2" s="3117" t="s">
        <v>3737</v>
      </c>
      <c r="O2" s="3000" t="s">
        <v>3738</v>
      </c>
      <c r="P2" s="3000"/>
      <c r="Q2" s="3000"/>
      <c r="R2" s="3000"/>
      <c r="S2" s="3000"/>
      <c r="T2" s="3000"/>
      <c r="U2" s="3000"/>
      <c r="V2" s="3000"/>
      <c r="W2" s="2997"/>
      <c r="X2" s="3117" t="s">
        <v>3728</v>
      </c>
      <c r="Y2" s="3117" t="s">
        <v>3727</v>
      </c>
      <c r="Z2" s="3117" t="s">
        <v>3739</v>
      </c>
      <c r="AA2" s="3125" t="s">
        <v>3740</v>
      </c>
      <c r="AB2" s="3117" t="s">
        <v>3741</v>
      </c>
      <c r="AC2" s="3117"/>
      <c r="AD2" s="3117"/>
      <c r="AE2" s="3117"/>
      <c r="AF2" s="3117"/>
      <c r="AG2" s="3117"/>
      <c r="AH2" s="3117"/>
      <c r="AI2" s="3117"/>
      <c r="AJ2" s="3117" t="s">
        <v>3742</v>
      </c>
      <c r="AK2" s="3117" t="s">
        <v>3743</v>
      </c>
      <c r="AL2" s="2997"/>
    </row>
    <row r="3" spans="1:38" s="3004" customFormat="1" ht="15" customHeight="1" thickBot="1">
      <c r="A3" s="3002"/>
      <c r="B3" s="3118"/>
      <c r="C3" s="3118"/>
      <c r="D3" s="3118"/>
      <c r="E3" s="3118"/>
      <c r="F3" s="3118"/>
      <c r="G3" s="3118"/>
      <c r="H3" s="3118"/>
      <c r="I3" s="3118"/>
      <c r="J3" s="3118"/>
      <c r="K3" s="3002"/>
      <c r="L3" s="3118"/>
      <c r="M3" s="3118"/>
      <c r="N3" s="3118"/>
      <c r="O3" s="3003" t="s">
        <v>3744</v>
      </c>
      <c r="P3" s="3003" t="s">
        <v>3745</v>
      </c>
      <c r="Q3" s="3003" t="s">
        <v>3746</v>
      </c>
      <c r="R3" s="3003" t="s">
        <v>3747</v>
      </c>
      <c r="S3" s="3003" t="s">
        <v>3748</v>
      </c>
      <c r="T3" s="3003" t="s">
        <v>3749</v>
      </c>
      <c r="U3" s="3003" t="s">
        <v>3750</v>
      </c>
      <c r="V3" s="3003" t="s">
        <v>3751</v>
      </c>
      <c r="W3" s="3002"/>
      <c r="X3" s="3118"/>
      <c r="Y3" s="3118"/>
      <c r="Z3" s="3118"/>
      <c r="AA3" s="3126"/>
      <c r="AB3" s="3003" t="s">
        <v>3744</v>
      </c>
      <c r="AC3" s="3003" t="s">
        <v>3752</v>
      </c>
      <c r="AD3" s="3003" t="s">
        <v>3749</v>
      </c>
      <c r="AE3" s="3003" t="s">
        <v>3753</v>
      </c>
      <c r="AF3" s="3003" t="s">
        <v>3754</v>
      </c>
      <c r="AG3" s="3003" t="s">
        <v>3755</v>
      </c>
      <c r="AH3" s="3003" t="s">
        <v>3756</v>
      </c>
      <c r="AI3" s="3003" t="s">
        <v>3757</v>
      </c>
      <c r="AJ3" s="3118"/>
      <c r="AK3" s="3118"/>
      <c r="AL3" s="3002"/>
    </row>
    <row r="4" spans="1:38" s="3005" customFormat="1" ht="37.5" customHeight="1">
      <c r="A4" s="2998"/>
      <c r="B4" s="3005" t="s">
        <v>3758</v>
      </c>
      <c r="C4" s="3005" t="s">
        <v>3759</v>
      </c>
      <c r="D4" s="3005" t="s">
        <v>3760</v>
      </c>
      <c r="E4" s="3005" t="s">
        <v>3761</v>
      </c>
      <c r="F4" s="3005" t="s">
        <v>3762</v>
      </c>
      <c r="G4" s="3005" t="s">
        <v>3763</v>
      </c>
      <c r="H4" s="3005">
        <v>56238.36</v>
      </c>
      <c r="I4" s="3006">
        <v>64907</v>
      </c>
      <c r="J4" s="3124" t="s">
        <v>3764</v>
      </c>
      <c r="K4" s="2998"/>
      <c r="L4" s="3001" t="s">
        <v>3765</v>
      </c>
      <c r="M4" s="3005">
        <f>ROUND(N4/H11,2)</f>
        <v>1.71</v>
      </c>
      <c r="N4" s="3005">
        <f>O4</f>
        <v>614575.80000000005</v>
      </c>
      <c r="O4" s="3005">
        <f>SUM(P4:V4)</f>
        <v>614575.80000000005</v>
      </c>
      <c r="P4" s="3005">
        <v>0</v>
      </c>
      <c r="Q4" s="3005">
        <v>0</v>
      </c>
      <c r="R4" s="3005">
        <f>O17+O20</f>
        <v>403405.8</v>
      </c>
      <c r="S4" s="3005">
        <f>O19</f>
        <v>211170</v>
      </c>
      <c r="T4" s="3005">
        <v>0</v>
      </c>
      <c r="U4" s="3005">
        <v>0</v>
      </c>
      <c r="V4" s="3005">
        <v>0</v>
      </c>
      <c r="W4" s="2998"/>
      <c r="X4" s="3007" t="s">
        <v>3766</v>
      </c>
      <c r="Y4" s="3124" t="s">
        <v>3767</v>
      </c>
      <c r="Z4" s="3007" t="s">
        <v>3768</v>
      </c>
      <c r="AA4" s="3008" t="s">
        <v>3769</v>
      </c>
      <c r="AB4" s="3007">
        <f>SUM(AC4:AI4)</f>
        <v>2552.89</v>
      </c>
      <c r="AC4" s="3007">
        <v>2552.89</v>
      </c>
      <c r="AD4" s="3007"/>
      <c r="AE4" s="3007"/>
      <c r="AF4" s="3007"/>
      <c r="AG4" s="3007"/>
      <c r="AH4" s="3007"/>
      <c r="AI4" s="3007"/>
      <c r="AJ4" s="3007"/>
      <c r="AK4" s="3007"/>
      <c r="AL4" s="2998"/>
    </row>
    <row r="5" spans="1:38" s="3005" customFormat="1" ht="37.5" customHeight="1">
      <c r="A5" s="2998"/>
      <c r="B5" s="3005" t="s">
        <v>3770</v>
      </c>
      <c r="C5" s="3005" t="s">
        <v>3771</v>
      </c>
      <c r="D5" s="3005" t="s">
        <v>3760</v>
      </c>
      <c r="E5" s="3005" t="s">
        <v>3761</v>
      </c>
      <c r="F5" s="3005" t="s">
        <v>3772</v>
      </c>
      <c r="G5" s="3005" t="s">
        <v>3763</v>
      </c>
      <c r="H5" s="3005">
        <v>64021.14</v>
      </c>
      <c r="I5" s="3006">
        <v>64907</v>
      </c>
      <c r="J5" s="3119"/>
      <c r="K5" s="2998"/>
      <c r="L5" s="3001" t="s">
        <v>3773</v>
      </c>
      <c r="M5" s="3005">
        <f>ROUND(N5/H12,2)</f>
        <v>1.3</v>
      </c>
      <c r="N5" s="3005">
        <f>P5+R5+S5+T5+U5+4658</f>
        <v>266831.88</v>
      </c>
      <c r="O5" s="3005">
        <f>SUM(P5:V5)</f>
        <v>391878.29</v>
      </c>
      <c r="P5" s="3005">
        <f>SUM(AC28:AC37)+SUM(AC39:AC50)+SUM(AC63:AC65)+SUM(AC68:AC81)+SUM(AC95:AC99)</f>
        <v>41999.61</v>
      </c>
      <c r="Q5" s="3005">
        <f>SUM(AI39:AI50)+SUM(AI63:AI65)</f>
        <v>5882.64</v>
      </c>
      <c r="R5" s="3005">
        <f>SUM(AC4:AC23)+SUM(AC53:AC56)+SUM(AC58:AC61)+SUM(AC83:AC91)</f>
        <v>105019.44999999998</v>
      </c>
      <c r="S5" s="3005">
        <f>SUM(AC102:AC110)</f>
        <v>106173.22</v>
      </c>
      <c r="T5" s="3005">
        <v>0</v>
      </c>
      <c r="U5" s="3005">
        <f>AE116+AF116+AG116+AH116</f>
        <v>8981.6</v>
      </c>
      <c r="V5" s="3005">
        <f>AI27+AI38+AI94+AI114</f>
        <v>123821.77</v>
      </c>
      <c r="W5" s="2998"/>
      <c r="X5" s="3119" t="s">
        <v>3774</v>
      </c>
      <c r="Y5" s="3119"/>
      <c r="Z5" s="3005" t="s">
        <v>3775</v>
      </c>
      <c r="AA5" s="3009" t="s">
        <v>3776</v>
      </c>
      <c r="AB5" s="3005">
        <f t="shared" ref="AB5:AB68" si="0">SUM(AC5:AI5)</f>
        <v>1686.74</v>
      </c>
      <c r="AC5" s="3005">
        <v>1686.74</v>
      </c>
      <c r="AL5" s="2998"/>
    </row>
    <row r="6" spans="1:38" s="3005" customFormat="1" ht="37.5" customHeight="1">
      <c r="A6" s="2998"/>
      <c r="B6" s="3005" t="s">
        <v>3777</v>
      </c>
      <c r="C6" s="3005" t="s">
        <v>3778</v>
      </c>
      <c r="D6" s="3005" t="s">
        <v>3760</v>
      </c>
      <c r="E6" s="3005" t="s">
        <v>3761</v>
      </c>
      <c r="F6" s="3005" t="s">
        <v>3779</v>
      </c>
      <c r="G6" s="3005" t="s">
        <v>3763</v>
      </c>
      <c r="H6" s="3005">
        <v>36045.08</v>
      </c>
      <c r="I6" s="3006">
        <v>64907</v>
      </c>
      <c r="J6" s="3119"/>
      <c r="K6" s="2998"/>
      <c r="L6" s="3001" t="s">
        <v>3744</v>
      </c>
      <c r="M6" s="3001">
        <f>ROUND(N6/H13,2)</f>
        <v>1.57</v>
      </c>
      <c r="N6" s="3001">
        <f>SUM(N4:N5)</f>
        <v>881407.68</v>
      </c>
      <c r="O6" s="3001">
        <f>SUM(O4:O5)</f>
        <v>1006454.0900000001</v>
      </c>
      <c r="P6" s="3001">
        <f>SUM(P4:P5)</f>
        <v>41999.61</v>
      </c>
      <c r="Q6" s="3001">
        <f>SUM(Q4:Q5)</f>
        <v>5882.64</v>
      </c>
      <c r="R6" s="3001">
        <f t="shared" ref="R6:T6" si="1">SUM(R4:R5)</f>
        <v>508425.25</v>
      </c>
      <c r="S6" s="3001">
        <f t="shared" si="1"/>
        <v>317343.21999999997</v>
      </c>
      <c r="T6" s="3001">
        <f t="shared" si="1"/>
        <v>0</v>
      </c>
      <c r="U6" s="3001">
        <f>SUM(U4:U5)</f>
        <v>8981.6</v>
      </c>
      <c r="V6" s="3001">
        <f>SUM(V4:V5)</f>
        <v>123821.77</v>
      </c>
      <c r="W6" s="2998"/>
      <c r="X6" s="3119"/>
      <c r="Y6" s="3119"/>
      <c r="Z6" s="3005" t="s">
        <v>3780</v>
      </c>
      <c r="AA6" s="3009" t="s">
        <v>3769</v>
      </c>
      <c r="AB6" s="3005">
        <f t="shared" si="0"/>
        <v>2552.89</v>
      </c>
      <c r="AC6" s="3005">
        <v>2552.89</v>
      </c>
      <c r="AL6" s="2998"/>
    </row>
    <row r="7" spans="1:38" s="3005" customFormat="1" ht="37.5" customHeight="1">
      <c r="A7" s="2998"/>
      <c r="B7" s="3005" t="s">
        <v>3781</v>
      </c>
      <c r="C7" s="3005" t="s">
        <v>3782</v>
      </c>
      <c r="D7" s="3005" t="s">
        <v>3760</v>
      </c>
      <c r="E7" s="3005" t="s">
        <v>3761</v>
      </c>
      <c r="F7" s="3005" t="s">
        <v>3783</v>
      </c>
      <c r="G7" s="3005" t="s">
        <v>3763</v>
      </c>
      <c r="H7" s="3005">
        <v>68648.86</v>
      </c>
      <c r="I7" s="3006">
        <v>64907</v>
      </c>
      <c r="J7" s="3119"/>
      <c r="K7" s="2998"/>
      <c r="L7" s="2998"/>
      <c r="M7" s="2998"/>
      <c r="N7" s="2998"/>
      <c r="O7" s="2998"/>
      <c r="P7" s="2998"/>
      <c r="Q7" s="2997" t="s">
        <v>3784</v>
      </c>
      <c r="R7" s="3010">
        <f>ROUND((Q5+U5+V5)/(P5+R5+S5+T5),2)</f>
        <v>0.55000000000000004</v>
      </c>
      <c r="S7" s="2998"/>
      <c r="T7" s="2998"/>
      <c r="U7" s="2998"/>
      <c r="V7" s="2998"/>
      <c r="W7" s="2998"/>
      <c r="X7" s="3119"/>
      <c r="Y7" s="3119"/>
      <c r="Z7" s="3005" t="s">
        <v>3785</v>
      </c>
      <c r="AA7" s="3009" t="s">
        <v>3776</v>
      </c>
      <c r="AB7" s="3005">
        <f t="shared" si="0"/>
        <v>1963.92</v>
      </c>
      <c r="AC7" s="3005">
        <v>1963.92</v>
      </c>
      <c r="AL7" s="2998"/>
    </row>
    <row r="8" spans="1:38" s="3005" customFormat="1" ht="37.5" customHeight="1">
      <c r="A8" s="2998"/>
      <c r="B8" s="3005" t="s">
        <v>3786</v>
      </c>
      <c r="C8" s="3005" t="s">
        <v>3787</v>
      </c>
      <c r="D8" s="3005" t="s">
        <v>3760</v>
      </c>
      <c r="E8" s="3005" t="s">
        <v>3761</v>
      </c>
      <c r="F8" s="3005" t="s">
        <v>3788</v>
      </c>
      <c r="G8" s="3005" t="s">
        <v>3763</v>
      </c>
      <c r="H8" s="3005">
        <v>49208.56</v>
      </c>
      <c r="I8" s="3006">
        <v>64907</v>
      </c>
      <c r="J8" s="3119"/>
      <c r="K8" s="2998"/>
      <c r="L8" s="3001" t="s">
        <v>3789</v>
      </c>
      <c r="O8" s="3005">
        <f>SUM(P8:V8)</f>
        <v>13084.709999999994</v>
      </c>
      <c r="P8" s="3005">
        <f>SUM([2]B地块113套未售!L99:L116)</f>
        <v>5592.8200000000006</v>
      </c>
      <c r="Q8" s="3005">
        <v>0</v>
      </c>
      <c r="R8" s="3005">
        <f>SUM([2]B地块113套未售!L4:L98)</f>
        <v>7491.8899999999931</v>
      </c>
      <c r="S8" s="3005">
        <v>0</v>
      </c>
      <c r="T8" s="3005">
        <v>0</v>
      </c>
      <c r="U8" s="3005">
        <v>0</v>
      </c>
      <c r="V8" s="3005">
        <v>0</v>
      </c>
      <c r="W8" s="2998"/>
      <c r="X8" s="3119" t="s">
        <v>3790</v>
      </c>
      <c r="Y8" s="3119"/>
      <c r="Z8" s="3005" t="s">
        <v>3791</v>
      </c>
      <c r="AA8" s="3009" t="s">
        <v>3776</v>
      </c>
      <c r="AB8" s="3005">
        <f t="shared" si="0"/>
        <v>1963.92</v>
      </c>
      <c r="AC8" s="3005">
        <v>1963.92</v>
      </c>
      <c r="AL8" s="2998"/>
    </row>
    <row r="9" spans="1:38" s="3005" customFormat="1" ht="37.5" customHeight="1">
      <c r="A9" s="2998"/>
      <c r="B9" s="3005" t="s">
        <v>3792</v>
      </c>
      <c r="C9" s="3005" t="s">
        <v>3793</v>
      </c>
      <c r="D9" s="3005" t="s">
        <v>3760</v>
      </c>
      <c r="E9" s="3005" t="s">
        <v>3794</v>
      </c>
      <c r="F9" s="3005" t="s">
        <v>3795</v>
      </c>
      <c r="G9" s="3005" t="s">
        <v>3763</v>
      </c>
      <c r="H9" s="3005">
        <v>70390</v>
      </c>
      <c r="I9" s="3006">
        <v>64907</v>
      </c>
      <c r="J9" s="3011" t="s">
        <v>3796</v>
      </c>
      <c r="K9" s="2998"/>
      <c r="L9" s="3001" t="s">
        <v>3797</v>
      </c>
      <c r="O9" s="3005">
        <f>SUM(P9:V9)</f>
        <v>100411.26</v>
      </c>
      <c r="P9" s="3005">
        <f>SUM(AC63:AC65)+SUM(AC68:AC81)+SUM(AC95:AC99)</f>
        <v>17684.98</v>
      </c>
      <c r="Q9" s="3005">
        <f>SUM(AI63:AI65)</f>
        <v>1429.72</v>
      </c>
      <c r="R9" s="3005">
        <f>SUM(AC53:AC56)+SUM(AC58:AC61)+SUM(AC83:AC91)</f>
        <v>50664.83</v>
      </c>
      <c r="S9" s="3005">
        <v>0</v>
      </c>
      <c r="T9" s="3005">
        <v>0</v>
      </c>
      <c r="U9" s="3005">
        <f>SUM(AD101:AH101)</f>
        <v>6659.06</v>
      </c>
      <c r="V9" s="3005">
        <f>AI94</f>
        <v>23972.67</v>
      </c>
      <c r="W9" s="2998"/>
      <c r="X9" s="3119"/>
      <c r="Y9" s="3119"/>
      <c r="Z9" s="3005" t="s">
        <v>3798</v>
      </c>
      <c r="AA9" s="3009" t="s">
        <v>3769</v>
      </c>
      <c r="AB9" s="3005">
        <f t="shared" si="0"/>
        <v>4748.2</v>
      </c>
      <c r="AC9" s="3005">
        <v>4748.2</v>
      </c>
      <c r="AL9" s="2998"/>
    </row>
    <row r="10" spans="1:38" s="3001" customFormat="1" ht="37.5" customHeight="1">
      <c r="A10" s="2997"/>
      <c r="B10" s="3005" t="s">
        <v>3799</v>
      </c>
      <c r="C10" s="3005" t="s">
        <v>3800</v>
      </c>
      <c r="D10" s="3005" t="s">
        <v>3760</v>
      </c>
      <c r="E10" s="3005" t="s">
        <v>3794</v>
      </c>
      <c r="F10" s="3005" t="s">
        <v>3801</v>
      </c>
      <c r="G10" s="3005" t="s">
        <v>3763</v>
      </c>
      <c r="H10" s="3005">
        <v>13985</v>
      </c>
      <c r="I10" s="3006">
        <v>64907</v>
      </c>
      <c r="J10" s="3011" t="s">
        <v>3802</v>
      </c>
      <c r="K10" s="2997"/>
      <c r="L10" s="3001" t="s">
        <v>3803</v>
      </c>
      <c r="M10" s="3005"/>
      <c r="N10" s="3005"/>
      <c r="O10" s="3005">
        <f>SUM(P10:V10)</f>
        <v>163601.87</v>
      </c>
      <c r="P10" s="3005">
        <v>0</v>
      </c>
      <c r="Q10" s="3005">
        <v>0</v>
      </c>
      <c r="R10" s="3005">
        <v>0</v>
      </c>
      <c r="S10" s="3005">
        <f>SUM(AC102:AC110)</f>
        <v>106173.22</v>
      </c>
      <c r="T10" s="3005">
        <v>0</v>
      </c>
      <c r="U10" s="3005">
        <f>SUM(AE115:AH115)</f>
        <v>1557.6499999999999</v>
      </c>
      <c r="V10" s="3005">
        <f>AI114</f>
        <v>55871</v>
      </c>
      <c r="W10" s="2997"/>
      <c r="X10" s="3119"/>
      <c r="Y10" s="3119"/>
      <c r="Z10" s="3005" t="s">
        <v>3804</v>
      </c>
      <c r="AA10" s="3009" t="s">
        <v>3805</v>
      </c>
      <c r="AB10" s="3005">
        <f t="shared" si="0"/>
        <v>2313.2800000000002</v>
      </c>
      <c r="AC10" s="3005">
        <v>2313.2800000000002</v>
      </c>
      <c r="AD10" s="3005"/>
      <c r="AE10" s="3005"/>
      <c r="AF10" s="3005"/>
      <c r="AG10" s="3005"/>
      <c r="AH10" s="3005"/>
      <c r="AI10" s="3005"/>
      <c r="AJ10" s="3005"/>
      <c r="AK10" s="3005"/>
      <c r="AL10" s="2997"/>
    </row>
    <row r="11" spans="1:38" s="3005" customFormat="1" ht="37.5" customHeight="1">
      <c r="A11" s="2998"/>
      <c r="B11" s="3120" t="s">
        <v>3806</v>
      </c>
      <c r="C11" s="3120"/>
      <c r="D11" s="3120"/>
      <c r="E11" s="3120"/>
      <c r="F11" s="3120"/>
      <c r="G11" s="3120"/>
      <c r="H11" s="3001">
        <f>SUM(H4:H10)</f>
        <v>358537</v>
      </c>
      <c r="I11" s="3001" t="s">
        <v>3807</v>
      </c>
      <c r="J11" s="3001" t="s">
        <v>3807</v>
      </c>
      <c r="K11" s="2998"/>
      <c r="L11" s="3001" t="s">
        <v>3744</v>
      </c>
      <c r="M11" s="3005" t="s">
        <v>3807</v>
      </c>
      <c r="N11" s="3001">
        <f>SUM(N8:N9)</f>
        <v>0</v>
      </c>
      <c r="O11" s="3001">
        <f t="shared" ref="O11:V11" si="2">SUM(O8:O10)</f>
        <v>277097.83999999997</v>
      </c>
      <c r="P11" s="3001">
        <f t="shared" si="2"/>
        <v>23277.8</v>
      </c>
      <c r="Q11" s="3001">
        <f t="shared" si="2"/>
        <v>1429.72</v>
      </c>
      <c r="R11" s="3001">
        <f t="shared" si="2"/>
        <v>58156.719999999994</v>
      </c>
      <c r="S11" s="3001">
        <f t="shared" si="2"/>
        <v>106173.22</v>
      </c>
      <c r="T11" s="3001">
        <f t="shared" si="2"/>
        <v>0</v>
      </c>
      <c r="U11" s="3001">
        <f t="shared" si="2"/>
        <v>8216.7100000000009</v>
      </c>
      <c r="V11" s="3001">
        <f t="shared" si="2"/>
        <v>79843.67</v>
      </c>
      <c r="W11" s="2997"/>
      <c r="X11" s="3005" t="s">
        <v>3808</v>
      </c>
      <c r="Y11" s="3119"/>
      <c r="Z11" s="3005" t="s">
        <v>3809</v>
      </c>
      <c r="AA11" s="3009" t="s">
        <v>3769</v>
      </c>
      <c r="AB11" s="3005">
        <f t="shared" si="0"/>
        <v>4748.2</v>
      </c>
      <c r="AC11" s="3005">
        <v>4748.2</v>
      </c>
      <c r="AL11" s="2998"/>
    </row>
    <row r="12" spans="1:38" s="3001" customFormat="1" ht="37.5" customHeight="1">
      <c r="A12" s="2997"/>
      <c r="B12" s="3005" t="s">
        <v>3773</v>
      </c>
      <c r="C12" s="3005" t="s">
        <v>3810</v>
      </c>
      <c r="D12" s="3005" t="s">
        <v>3811</v>
      </c>
      <c r="E12" s="3005" t="s">
        <v>3794</v>
      </c>
      <c r="F12" s="3005" t="s">
        <v>3812</v>
      </c>
      <c r="G12" s="3005" t="s">
        <v>3752</v>
      </c>
      <c r="H12" s="3005">
        <v>204592</v>
      </c>
      <c r="I12" s="3006">
        <v>64907</v>
      </c>
      <c r="J12" s="3005" t="s">
        <v>3813</v>
      </c>
      <c r="K12" s="2997"/>
      <c r="L12" s="2997"/>
      <c r="M12" s="2998"/>
      <c r="N12" s="2997"/>
      <c r="O12" s="2997"/>
      <c r="P12" s="2997"/>
      <c r="Q12" s="2997"/>
      <c r="R12" s="2997"/>
      <c r="S12" s="2997"/>
      <c r="T12" s="2997"/>
      <c r="U12" s="2997"/>
      <c r="V12" s="2997"/>
      <c r="W12" s="2997"/>
      <c r="X12" s="3005">
        <v>9715.1</v>
      </c>
      <c r="Y12" s="3119"/>
      <c r="Z12" s="3005" t="s">
        <v>3814</v>
      </c>
      <c r="AA12" s="3009" t="s">
        <v>3805</v>
      </c>
      <c r="AB12" s="3005">
        <f t="shared" si="0"/>
        <v>2313.2800000000002</v>
      </c>
      <c r="AC12" s="3005">
        <v>2313.2800000000002</v>
      </c>
      <c r="AD12" s="3005"/>
      <c r="AE12" s="3005"/>
      <c r="AF12" s="3005"/>
      <c r="AG12" s="3005"/>
      <c r="AH12" s="3005"/>
      <c r="AI12" s="3005"/>
      <c r="AJ12" s="3005"/>
      <c r="AK12" s="3005"/>
      <c r="AL12" s="2997"/>
    </row>
    <row r="13" spans="1:38" s="3005" customFormat="1" ht="37.5" customHeight="1">
      <c r="A13" s="2998"/>
      <c r="B13" s="3120" t="s">
        <v>3744</v>
      </c>
      <c r="C13" s="3120"/>
      <c r="D13" s="3120"/>
      <c r="E13" s="3120"/>
      <c r="F13" s="3120"/>
      <c r="G13" s="3120"/>
      <c r="H13" s="3001">
        <f>H11+H12</f>
        <v>563129</v>
      </c>
      <c r="I13" s="3001" t="s">
        <v>3807</v>
      </c>
      <c r="J13" s="3001" t="s">
        <v>3807</v>
      </c>
      <c r="K13" s="2998"/>
      <c r="L13" s="3001" t="s">
        <v>3815</v>
      </c>
      <c r="M13" s="3005" t="s">
        <v>3816</v>
      </c>
      <c r="N13" s="3001"/>
      <c r="O13" s="3001">
        <f>SUM(P13:V13)</f>
        <v>26984.839999999993</v>
      </c>
      <c r="P13" s="3001">
        <f>SUM(AC68:AC71)+SUM(AC73:AC81)+SUM(AC95:AC99)+P8</f>
        <v>19492.95</v>
      </c>
      <c r="Q13" s="3001">
        <f>Q8</f>
        <v>0</v>
      </c>
      <c r="R13" s="3001">
        <f>R8</f>
        <v>7491.8899999999931</v>
      </c>
      <c r="S13" s="3001">
        <f t="shared" ref="S13:T13" si="3">S8</f>
        <v>0</v>
      </c>
      <c r="T13" s="3001">
        <f t="shared" si="3"/>
        <v>0</v>
      </c>
      <c r="U13" s="3001">
        <v>0</v>
      </c>
      <c r="V13" s="3001">
        <v>0</v>
      </c>
      <c r="W13" s="2998"/>
      <c r="X13" s="3005" t="s">
        <v>3817</v>
      </c>
      <c r="Y13" s="3119"/>
      <c r="Z13" s="3005" t="s">
        <v>3818</v>
      </c>
      <c r="AA13" s="3009" t="s">
        <v>3769</v>
      </c>
      <c r="AB13" s="3005">
        <f t="shared" si="0"/>
        <v>4748.2</v>
      </c>
      <c r="AC13" s="3005">
        <v>4748.2</v>
      </c>
      <c r="AL13" s="2998"/>
    </row>
    <row r="14" spans="1:38" s="3005" customFormat="1" ht="37.5" customHeight="1">
      <c r="A14" s="2998"/>
      <c r="B14" s="2998"/>
      <c r="C14" s="2998"/>
      <c r="D14" s="2998"/>
      <c r="E14" s="2998"/>
      <c r="F14" s="2998"/>
      <c r="G14" s="2998"/>
      <c r="H14" s="2998"/>
      <c r="I14" s="2998"/>
      <c r="J14" s="2998"/>
      <c r="K14" s="2998"/>
      <c r="L14" s="3001" t="s">
        <v>3815</v>
      </c>
      <c r="M14" s="3005" t="s">
        <v>3819</v>
      </c>
      <c r="N14" s="3001"/>
      <c r="O14" s="3001">
        <f>SUM(P14:V14)</f>
        <v>170269.33</v>
      </c>
      <c r="P14" s="3001">
        <f>P11-P13</f>
        <v>3784.8499999999985</v>
      </c>
      <c r="Q14" s="3001">
        <f t="shared" ref="Q14:U14" si="4">Q11-Q13</f>
        <v>1429.72</v>
      </c>
      <c r="R14" s="3001">
        <f t="shared" si="4"/>
        <v>50664.83</v>
      </c>
      <c r="S14" s="3001">
        <f t="shared" si="4"/>
        <v>106173.22</v>
      </c>
      <c r="T14" s="3001">
        <f t="shared" si="4"/>
        <v>0</v>
      </c>
      <c r="U14" s="3001">
        <f t="shared" si="4"/>
        <v>8216.7100000000009</v>
      </c>
      <c r="V14" s="3001">
        <v>0</v>
      </c>
      <c r="W14" s="2998"/>
      <c r="X14" s="3005">
        <v>593</v>
      </c>
      <c r="Y14" s="3119"/>
      <c r="Z14" s="3005" t="s">
        <v>3820</v>
      </c>
      <c r="AA14" s="3009" t="s">
        <v>3805</v>
      </c>
      <c r="AB14" s="3005">
        <f t="shared" si="0"/>
        <v>2313.2800000000002</v>
      </c>
      <c r="AC14" s="3005">
        <v>2313.2800000000002</v>
      </c>
      <c r="AL14" s="2998"/>
    </row>
    <row r="15" spans="1:38" s="3005" customFormat="1" ht="37.5" customHeight="1">
      <c r="A15" s="2998"/>
      <c r="K15" s="2998"/>
      <c r="L15" s="3001" t="s">
        <v>3744</v>
      </c>
      <c r="M15" s="3005" t="s">
        <v>3807</v>
      </c>
      <c r="N15" s="3001"/>
      <c r="O15" s="3001">
        <f>SUM(O13:O14)</f>
        <v>197254.16999999998</v>
      </c>
      <c r="P15" s="3001">
        <f t="shared" ref="P15:W15" si="5">SUM(P13:P14)</f>
        <v>23277.8</v>
      </c>
      <c r="Q15" s="3001">
        <f t="shared" si="5"/>
        <v>1429.72</v>
      </c>
      <c r="R15" s="3001">
        <f t="shared" si="5"/>
        <v>58156.719999999994</v>
      </c>
      <c r="S15" s="3001">
        <f t="shared" si="5"/>
        <v>106173.22</v>
      </c>
      <c r="T15" s="3001">
        <f t="shared" si="5"/>
        <v>0</v>
      </c>
      <c r="U15" s="3001">
        <f t="shared" si="5"/>
        <v>8216.7100000000009</v>
      </c>
      <c r="V15" s="3001">
        <f t="shared" si="5"/>
        <v>0</v>
      </c>
      <c r="W15" s="2997">
        <f t="shared" si="5"/>
        <v>0</v>
      </c>
      <c r="X15" s="3119"/>
      <c r="Y15" s="3119"/>
      <c r="Z15" s="3005" t="s">
        <v>3821</v>
      </c>
      <c r="AA15" s="3009" t="s">
        <v>3769</v>
      </c>
      <c r="AB15" s="3005">
        <f t="shared" si="0"/>
        <v>4808.88</v>
      </c>
      <c r="AC15" s="3005">
        <v>4808.88</v>
      </c>
      <c r="AL15" s="2998"/>
    </row>
    <row r="16" spans="1:38" s="3005" customFormat="1" ht="37.5" customHeight="1">
      <c r="A16" s="2998"/>
      <c r="K16" s="2998"/>
      <c r="L16" s="2997"/>
      <c r="M16" s="2997"/>
      <c r="N16" s="2997"/>
      <c r="O16" s="2998"/>
      <c r="P16" s="2998"/>
      <c r="Q16" s="2998"/>
      <c r="R16" s="2998"/>
      <c r="S16" s="2998"/>
      <c r="T16" s="2998"/>
      <c r="U16" s="2998"/>
      <c r="V16" s="2998"/>
      <c r="W16" s="2998"/>
      <c r="X16" s="3119"/>
      <c r="Y16" s="3119"/>
      <c r="Z16" s="3005" t="s">
        <v>3822</v>
      </c>
      <c r="AA16" s="3009" t="s">
        <v>3805</v>
      </c>
      <c r="AB16" s="3005">
        <f t="shared" si="0"/>
        <v>3910.96</v>
      </c>
      <c r="AC16" s="3005">
        <v>3910.96</v>
      </c>
      <c r="AL16" s="2998"/>
    </row>
    <row r="17" spans="1:38" s="3005" customFormat="1" ht="37.5" customHeight="1">
      <c r="A17" s="2998"/>
      <c r="K17" s="2998"/>
      <c r="L17" s="3005" t="s">
        <v>3823</v>
      </c>
      <c r="M17" s="3005">
        <v>1.4</v>
      </c>
      <c r="N17" s="3005">
        <v>274162</v>
      </c>
      <c r="O17" s="3005">
        <f>N17*M17</f>
        <v>383826.8</v>
      </c>
      <c r="P17" s="2997"/>
      <c r="Q17" s="2997"/>
      <c r="R17" s="3005" t="str">
        <f>L8</f>
        <v>B一期</v>
      </c>
      <c r="S17" s="3005">
        <f>O8</f>
        <v>13084.709999999994</v>
      </c>
      <c r="T17" s="3005" t="s">
        <v>3824</v>
      </c>
      <c r="U17" s="3012">
        <v>0.6</v>
      </c>
      <c r="V17" s="2998"/>
      <c r="W17" s="2998"/>
      <c r="X17" s="3119"/>
      <c r="Y17" s="3119"/>
      <c r="Z17" s="3005" t="s">
        <v>3825</v>
      </c>
      <c r="AA17" s="3009" t="s">
        <v>3826</v>
      </c>
      <c r="AB17" s="3005">
        <f t="shared" si="0"/>
        <v>2552.89</v>
      </c>
      <c r="AC17" s="3005">
        <v>2552.89</v>
      </c>
      <c r="AL17" s="2998"/>
    </row>
    <row r="18" spans="1:38" s="3005" customFormat="1" ht="37.5" customHeight="1">
      <c r="A18" s="2998"/>
      <c r="K18" s="2998"/>
      <c r="L18" s="3005" t="s">
        <v>3773</v>
      </c>
      <c r="M18" s="3005">
        <v>1.4</v>
      </c>
      <c r="N18" s="3005">
        <v>204592</v>
      </c>
      <c r="O18" s="3005">
        <f>N18*M18</f>
        <v>286428.79999999999</v>
      </c>
      <c r="P18" s="2998"/>
      <c r="Q18" s="2998"/>
      <c r="R18" s="3005" t="str">
        <f>L9</f>
        <v>B二期</v>
      </c>
      <c r="S18" s="3005">
        <f>O9</f>
        <v>100411.26</v>
      </c>
      <c r="T18" s="3005" t="s">
        <v>3827</v>
      </c>
      <c r="U18" s="3012">
        <v>0.1</v>
      </c>
      <c r="V18" s="2998"/>
      <c r="W18" s="2998"/>
      <c r="X18" s="3119"/>
      <c r="Y18" s="3119"/>
      <c r="Z18" s="3005" t="s">
        <v>3828</v>
      </c>
      <c r="AA18" s="3009" t="s">
        <v>3826</v>
      </c>
      <c r="AB18" s="3005">
        <f t="shared" si="0"/>
        <v>2552.89</v>
      </c>
      <c r="AC18" s="3005">
        <v>2552.89</v>
      </c>
      <c r="AL18" s="2998"/>
    </row>
    <row r="19" spans="1:38" s="3005" customFormat="1" ht="37.5" customHeight="1">
      <c r="A19" s="2998"/>
      <c r="K19" s="2998"/>
      <c r="L19" s="3005" t="s">
        <v>3792</v>
      </c>
      <c r="M19" s="3005">
        <v>3</v>
      </c>
      <c r="N19" s="3005">
        <v>70390</v>
      </c>
      <c r="O19" s="3005">
        <f>N19*M19</f>
        <v>211170</v>
      </c>
      <c r="P19" s="2998"/>
      <c r="Q19" s="2998"/>
      <c r="R19" s="3005" t="str">
        <f>L10</f>
        <v>B三期</v>
      </c>
      <c r="S19" s="3005">
        <f>O10</f>
        <v>163601.87</v>
      </c>
      <c r="T19" s="3005" t="s">
        <v>3829</v>
      </c>
      <c r="U19" s="3012">
        <f>6/9*15%</f>
        <v>9.9999999999999992E-2</v>
      </c>
      <c r="V19" s="2998"/>
      <c r="W19" s="2998">
        <f t="shared" ref="W19" si="6">W5</f>
        <v>0</v>
      </c>
      <c r="X19" s="3119"/>
      <c r="Y19" s="3119"/>
      <c r="Z19" s="3005" t="s">
        <v>3830</v>
      </c>
      <c r="AA19" s="3009" t="s">
        <v>3831</v>
      </c>
      <c r="AB19" s="3005">
        <f t="shared" si="0"/>
        <v>1686.74</v>
      </c>
      <c r="AC19" s="3005">
        <v>1686.74</v>
      </c>
      <c r="AL19" s="2998"/>
    </row>
    <row r="20" spans="1:38" s="3005" customFormat="1" ht="37.5" customHeight="1">
      <c r="A20" s="2998"/>
      <c r="K20" s="2998"/>
      <c r="L20" s="3005" t="s">
        <v>3799</v>
      </c>
      <c r="M20" s="3005">
        <v>1.4</v>
      </c>
      <c r="N20" s="3005">
        <v>13985</v>
      </c>
      <c r="O20" s="3005">
        <f>N20*M20</f>
        <v>19579</v>
      </c>
      <c r="P20" s="2998"/>
      <c r="Q20" s="2998"/>
      <c r="R20" s="3005" t="s">
        <v>3743</v>
      </c>
      <c r="U20" s="3012">
        <f>(S17*U17+S18*U18+S19*U19)/SUM(S17:S19)</f>
        <v>0.12361027065386002</v>
      </c>
      <c r="V20" s="2998"/>
      <c r="W20" s="2998"/>
      <c r="X20" s="3119"/>
      <c r="Y20" s="3119"/>
      <c r="Z20" s="3005" t="s">
        <v>3832</v>
      </c>
      <c r="AA20" s="3009" t="s">
        <v>3831</v>
      </c>
      <c r="AB20" s="3005">
        <f t="shared" si="0"/>
        <v>1686.74</v>
      </c>
      <c r="AC20" s="3005">
        <v>1686.74</v>
      </c>
      <c r="AL20" s="2998"/>
    </row>
    <row r="21" spans="1:38" s="3005" customFormat="1" ht="37.5" customHeight="1">
      <c r="A21" s="2998"/>
      <c r="K21" s="2998"/>
      <c r="L21" s="3001" t="s">
        <v>3744</v>
      </c>
      <c r="M21" s="3001">
        <f>ROUND(O21/N21,2)</f>
        <v>1.6</v>
      </c>
      <c r="N21" s="3001">
        <f>SUM(N17:N20)</f>
        <v>563129</v>
      </c>
      <c r="O21" s="3001">
        <f>SUM(O17:O20)</f>
        <v>901004.6</v>
      </c>
      <c r="P21" s="2998"/>
      <c r="Q21" s="2998"/>
      <c r="R21" s="2998"/>
      <c r="S21" s="2998"/>
      <c r="T21" s="2998"/>
      <c r="U21" s="2998"/>
      <c r="V21" s="2998"/>
      <c r="W21" s="2998"/>
      <c r="X21" s="3119"/>
      <c r="Y21" s="3119"/>
      <c r="Z21" s="3005" t="s">
        <v>3833</v>
      </c>
      <c r="AA21" s="3009" t="s">
        <v>3831</v>
      </c>
      <c r="AB21" s="3005">
        <f t="shared" si="0"/>
        <v>1686.74</v>
      </c>
      <c r="AC21" s="3005">
        <v>1686.74</v>
      </c>
      <c r="AL21" s="2998"/>
    </row>
    <row r="22" spans="1:38" s="3005" customFormat="1" ht="37.5" customHeight="1">
      <c r="A22" s="2998"/>
      <c r="K22" s="2998"/>
      <c r="L22" s="2998"/>
      <c r="M22" s="2998"/>
      <c r="N22" s="3042"/>
      <c r="O22" s="2998"/>
      <c r="P22" s="3042"/>
      <c r="Q22" s="3042"/>
      <c r="R22" s="2998"/>
      <c r="S22" s="2998"/>
      <c r="T22" s="2998"/>
      <c r="U22" s="2998"/>
      <c r="V22" s="2998"/>
      <c r="W22" s="2998"/>
      <c r="X22" s="3119"/>
      <c r="Y22" s="3119"/>
      <c r="Z22" s="3005" t="s">
        <v>3834</v>
      </c>
      <c r="AA22" s="3009" t="s">
        <v>3831</v>
      </c>
      <c r="AB22" s="3005">
        <f t="shared" si="0"/>
        <v>1785.12</v>
      </c>
      <c r="AC22" s="3005">
        <v>1785.12</v>
      </c>
      <c r="AL22" s="2998"/>
    </row>
    <row r="23" spans="1:38" s="3005" customFormat="1" ht="37.5" customHeight="1">
      <c r="A23" s="2998"/>
      <c r="K23" s="2998"/>
      <c r="M23" s="2965"/>
      <c r="N23" s="2965"/>
      <c r="O23" s="2965"/>
      <c r="P23" s="2965"/>
      <c r="Q23" s="2965"/>
      <c r="R23" s="2965"/>
      <c r="S23" s="2965"/>
      <c r="T23" s="2965"/>
      <c r="U23" s="2965"/>
      <c r="V23" s="2965"/>
      <c r="W23" s="2998"/>
      <c r="X23" s="3119"/>
      <c r="Y23" s="3119"/>
      <c r="Z23" s="3005" t="s">
        <v>3835</v>
      </c>
      <c r="AA23" s="3009" t="s">
        <v>3831</v>
      </c>
      <c r="AB23" s="3005">
        <f t="shared" si="0"/>
        <v>1778.86</v>
      </c>
      <c r="AC23" s="3005">
        <v>1778.86</v>
      </c>
      <c r="AL23" s="2998"/>
    </row>
    <row r="24" spans="1:38" s="3005" customFormat="1" ht="37.5" customHeight="1">
      <c r="A24" s="2998"/>
      <c r="K24" s="2998"/>
      <c r="L24" s="2965"/>
      <c r="M24" s="2965"/>
      <c r="N24" s="2965"/>
      <c r="O24" s="2965"/>
      <c r="P24" s="2965"/>
      <c r="Q24" s="2965"/>
      <c r="R24" s="2965"/>
      <c r="S24" s="2965"/>
      <c r="T24" s="2965"/>
      <c r="U24" s="2965"/>
      <c r="V24" s="2965"/>
      <c r="W24" s="2998"/>
      <c r="X24" s="3119"/>
      <c r="Y24" s="3119"/>
      <c r="Z24" s="3005" t="s">
        <v>3836</v>
      </c>
      <c r="AA24" s="3009" t="s">
        <v>3837</v>
      </c>
      <c r="AB24" s="3005">
        <f t="shared" si="0"/>
        <v>125.96</v>
      </c>
      <c r="AG24" s="3005">
        <v>125.96</v>
      </c>
      <c r="AL24" s="2998"/>
    </row>
    <row r="25" spans="1:38" s="3005" customFormat="1" ht="37.5" customHeight="1" thickBot="1">
      <c r="A25" s="2998"/>
      <c r="K25" s="2998"/>
      <c r="L25" s="2965"/>
      <c r="M25" s="2965"/>
      <c r="N25" s="2965"/>
      <c r="O25" s="2965"/>
      <c r="P25" s="2965"/>
      <c r="Q25" s="2965"/>
      <c r="R25" s="2965"/>
      <c r="S25" s="2965"/>
      <c r="T25" s="2965"/>
      <c r="U25" s="2965"/>
      <c r="V25" s="2965"/>
      <c r="W25" s="2998"/>
      <c r="X25" s="3119"/>
      <c r="Y25" s="3119"/>
      <c r="Z25" s="3005" t="s">
        <v>3838</v>
      </c>
      <c r="AA25" s="3009" t="s">
        <v>3837</v>
      </c>
      <c r="AB25" s="3005">
        <f t="shared" si="0"/>
        <v>249.24</v>
      </c>
      <c r="AG25" s="3005">
        <v>249.24</v>
      </c>
      <c r="AL25" s="2998"/>
    </row>
    <row r="26" spans="1:38" s="3005" customFormat="1" ht="37.5" customHeight="1" thickBot="1">
      <c r="A26" s="2998"/>
      <c r="K26" s="2998"/>
      <c r="L26" s="2965"/>
      <c r="M26" s="2965"/>
      <c r="N26" s="3122" t="s">
        <v>3839</v>
      </c>
      <c r="O26" s="3122" t="s">
        <v>3840</v>
      </c>
      <c r="P26" s="3122" t="s">
        <v>3841</v>
      </c>
      <c r="Q26" s="3127" t="s">
        <v>3673</v>
      </c>
      <c r="R26" s="3128"/>
      <c r="S26" s="3128"/>
      <c r="T26" s="3128"/>
      <c r="U26" s="3128"/>
      <c r="V26" s="3129"/>
      <c r="W26" s="2998"/>
      <c r="X26" s="3119"/>
      <c r="Y26" s="3119"/>
      <c r="Z26" s="3005" t="s">
        <v>3842</v>
      </c>
      <c r="AA26" s="3009" t="s">
        <v>3837</v>
      </c>
      <c r="AB26" s="3005">
        <f t="shared" si="0"/>
        <v>203.84</v>
      </c>
      <c r="AG26" s="3005">
        <v>203.84</v>
      </c>
      <c r="AL26" s="2998"/>
    </row>
    <row r="27" spans="1:38" s="3005" customFormat="1" ht="37.5" customHeight="1" thickBot="1">
      <c r="A27" s="2998"/>
      <c r="K27" s="2998"/>
      <c r="L27" s="2965"/>
      <c r="M27" s="2965"/>
      <c r="N27" s="3123"/>
      <c r="O27" s="3123"/>
      <c r="P27" s="3123"/>
      <c r="Q27" s="3013" t="s">
        <v>37</v>
      </c>
      <c r="R27" s="3013" t="s">
        <v>3068</v>
      </c>
      <c r="S27" s="3013" t="s">
        <v>3843</v>
      </c>
      <c r="T27" s="3013" t="s">
        <v>3844</v>
      </c>
      <c r="U27" s="3013" t="s">
        <v>3076</v>
      </c>
      <c r="V27" s="3013" t="s">
        <v>3845</v>
      </c>
      <c r="W27" s="2998"/>
      <c r="X27" s="3119"/>
      <c r="Y27" s="3119"/>
      <c r="Z27" s="3005" t="s">
        <v>3846</v>
      </c>
      <c r="AA27" s="3009" t="s">
        <v>3847</v>
      </c>
      <c r="AB27" s="3005">
        <f t="shared" si="0"/>
        <v>24635.7</v>
      </c>
      <c r="AI27" s="3005">
        <v>24635.7</v>
      </c>
      <c r="AL27" s="2998"/>
    </row>
    <row r="28" spans="1:38" s="3005" customFormat="1" ht="37.5" customHeight="1" thickBot="1">
      <c r="A28" s="2998"/>
      <c r="K28" s="2998"/>
      <c r="M28" s="2965"/>
      <c r="N28" s="3014" t="s">
        <v>3848</v>
      </c>
      <c r="O28" s="3015" t="s">
        <v>1038</v>
      </c>
      <c r="P28" s="3015">
        <f>'[2]数据-汇总表'!D3+'[5]数据-汇总表'!$D$3</f>
        <v>102982.54999999999</v>
      </c>
      <c r="Q28" s="3015">
        <f>SUM(R28:V28)</f>
        <v>197254.16999999998</v>
      </c>
      <c r="R28" s="3015">
        <f>P15</f>
        <v>23277.8</v>
      </c>
      <c r="S28" s="3015">
        <f>Q15</f>
        <v>1429.72</v>
      </c>
      <c r="T28" s="3015">
        <f>R15</f>
        <v>58156.719999999994</v>
      </c>
      <c r="U28" s="3015">
        <f>S15</f>
        <v>106173.22</v>
      </c>
      <c r="V28" s="3015">
        <f>U15</f>
        <v>8216.7100000000009</v>
      </c>
      <c r="W28" s="2998"/>
      <c r="X28" s="3119"/>
      <c r="Y28" s="3119" t="s">
        <v>3849</v>
      </c>
      <c r="Z28" s="3005" t="s">
        <v>3850</v>
      </c>
      <c r="AA28" s="3009" t="s">
        <v>3851</v>
      </c>
      <c r="AB28" s="3005">
        <f t="shared" si="0"/>
        <v>1250.02</v>
      </c>
      <c r="AC28" s="3005">
        <v>1250.02</v>
      </c>
      <c r="AL28" s="2998"/>
    </row>
    <row r="29" spans="1:38" s="3005" customFormat="1" ht="37.5" customHeight="1" thickBot="1">
      <c r="A29" s="2998"/>
      <c r="K29" s="2998"/>
      <c r="M29" s="2965"/>
      <c r="N29" s="3014" t="s">
        <v>3852</v>
      </c>
      <c r="O29" s="3015" t="s">
        <v>3853</v>
      </c>
      <c r="P29" s="3015">
        <v>358537</v>
      </c>
      <c r="Q29" s="3015">
        <f>SUM(R29:V29)</f>
        <v>614575.80000000005</v>
      </c>
      <c r="R29" s="3015">
        <v>0</v>
      </c>
      <c r="S29" s="3015">
        <v>0</v>
      </c>
      <c r="T29" s="3015">
        <f>R4</f>
        <v>403405.8</v>
      </c>
      <c r="U29" s="3015">
        <f>S4</f>
        <v>211170</v>
      </c>
      <c r="V29" s="3015">
        <v>0</v>
      </c>
      <c r="W29" s="2998"/>
      <c r="X29" s="3119"/>
      <c r="Y29" s="3119"/>
      <c r="Z29" s="3005" t="s">
        <v>3854</v>
      </c>
      <c r="AA29" s="3009" t="s">
        <v>3851</v>
      </c>
      <c r="AB29" s="3005">
        <f t="shared" si="0"/>
        <v>1250.02</v>
      </c>
      <c r="AC29" s="3005">
        <v>1250.02</v>
      </c>
      <c r="AL29" s="2998"/>
    </row>
    <row r="30" spans="1:38" s="3005" customFormat="1" ht="37.5" customHeight="1" thickBot="1">
      <c r="A30" s="2998"/>
      <c r="K30" s="2998"/>
      <c r="M30" s="2965"/>
      <c r="N30" s="3014" t="s">
        <v>37</v>
      </c>
      <c r="O30" s="3013" t="s">
        <v>70</v>
      </c>
      <c r="P30" s="3015">
        <f>SUM(P28:P29)</f>
        <v>461519.55</v>
      </c>
      <c r="Q30" s="3015">
        <f>SUM(Q28:Q29)</f>
        <v>811829.97</v>
      </c>
      <c r="R30" s="3015">
        <f t="shared" ref="R30:V30" si="7">SUM(R28:R29)</f>
        <v>23277.8</v>
      </c>
      <c r="S30" s="3015">
        <f t="shared" si="7"/>
        <v>1429.72</v>
      </c>
      <c r="T30" s="3015">
        <f t="shared" si="7"/>
        <v>461562.51999999996</v>
      </c>
      <c r="U30" s="3015">
        <f t="shared" si="7"/>
        <v>317343.21999999997</v>
      </c>
      <c r="V30" s="3015">
        <f t="shared" si="7"/>
        <v>8216.7100000000009</v>
      </c>
      <c r="W30" s="2998"/>
      <c r="X30" s="3119"/>
      <c r="Y30" s="3119"/>
      <c r="Z30" s="3005" t="s">
        <v>3855</v>
      </c>
      <c r="AA30" s="3009" t="s">
        <v>3851</v>
      </c>
      <c r="AB30" s="3005">
        <f t="shared" si="0"/>
        <v>1528.02</v>
      </c>
      <c r="AC30" s="3005">
        <v>1528.02</v>
      </c>
      <c r="AL30" s="2998"/>
    </row>
    <row r="31" spans="1:38" s="3005" customFormat="1" ht="37.5" customHeight="1" thickBot="1">
      <c r="A31" s="2998"/>
      <c r="K31" s="2998"/>
      <c r="M31" s="2965"/>
      <c r="N31" s="2965"/>
      <c r="O31" s="2965"/>
      <c r="P31" s="2965"/>
      <c r="Q31" s="2965"/>
      <c r="R31" s="2965"/>
      <c r="S31" s="2965"/>
      <c r="T31" s="2965"/>
      <c r="U31" s="2965"/>
      <c r="V31" s="2965"/>
      <c r="W31" s="2998"/>
      <c r="X31" s="3119"/>
      <c r="Y31" s="3119"/>
      <c r="Z31" s="3005" t="s">
        <v>3856</v>
      </c>
      <c r="AA31" s="3009" t="s">
        <v>3851</v>
      </c>
      <c r="AB31" s="3005">
        <f t="shared" si="0"/>
        <v>1250.02</v>
      </c>
      <c r="AC31" s="3005">
        <v>1250.02</v>
      </c>
      <c r="AL31" s="2998"/>
    </row>
    <row r="32" spans="1:38" s="3005" customFormat="1" ht="37.5" customHeight="1" thickBot="1">
      <c r="A32" s="2998"/>
      <c r="K32" s="2998"/>
      <c r="M32" s="2965"/>
      <c r="N32" s="3016" t="s">
        <v>3839</v>
      </c>
      <c r="O32" s="3017" t="s">
        <v>3857</v>
      </c>
      <c r="P32" s="3017" t="s">
        <v>3858</v>
      </c>
      <c r="Q32" s="2965"/>
      <c r="R32" s="2965"/>
      <c r="S32" s="2965"/>
      <c r="T32" s="2965"/>
      <c r="U32" s="2965"/>
      <c r="V32" s="2965"/>
      <c r="W32" s="2998"/>
      <c r="X32" s="3119"/>
      <c r="Y32" s="3119"/>
      <c r="Z32" s="3005" t="s">
        <v>3859</v>
      </c>
      <c r="AA32" s="3009" t="s">
        <v>3851</v>
      </c>
      <c r="AB32" s="3005">
        <f t="shared" si="0"/>
        <v>1250.02</v>
      </c>
      <c r="AC32" s="3005">
        <v>1250.02</v>
      </c>
      <c r="AL32" s="2998"/>
    </row>
    <row r="33" spans="1:38" s="3005" customFormat="1" ht="37.5" customHeight="1" thickBot="1">
      <c r="A33" s="2998"/>
      <c r="K33" s="2998"/>
      <c r="M33" s="2965"/>
      <c r="N33" s="3018" t="s">
        <v>3860</v>
      </c>
      <c r="O33" s="3019">
        <v>126792</v>
      </c>
      <c r="P33" s="3019">
        <f>ROUND(O33/(R28+T28+U28)*10000,0)</f>
        <v>6758</v>
      </c>
      <c r="Q33" s="2965"/>
      <c r="R33" s="2965"/>
      <c r="S33" s="2965"/>
      <c r="T33" s="2965"/>
      <c r="U33" s="2965"/>
      <c r="V33" s="2965"/>
      <c r="W33" s="2998"/>
      <c r="X33" s="3119"/>
      <c r="Y33" s="3119"/>
      <c r="Z33" s="3005" t="s">
        <v>3861</v>
      </c>
      <c r="AA33" s="3009" t="s">
        <v>3851</v>
      </c>
      <c r="AB33" s="3005">
        <f t="shared" si="0"/>
        <v>1528.02</v>
      </c>
      <c r="AC33" s="3005">
        <v>1528.02</v>
      </c>
      <c r="AL33" s="2998"/>
    </row>
    <row r="34" spans="1:38" s="3005" customFormat="1" ht="37.5" customHeight="1" thickBot="1">
      <c r="A34" s="2998"/>
      <c r="K34" s="2998"/>
      <c r="M34" s="2965"/>
      <c r="N34" s="3018" t="s">
        <v>3862</v>
      </c>
      <c r="O34" s="3019">
        <v>352132</v>
      </c>
      <c r="P34" s="3019">
        <f>ROUND(O34/(R29+T29+U29)*10000,0)</f>
        <v>5730</v>
      </c>
      <c r="Q34" s="2965"/>
      <c r="R34" s="2965"/>
      <c r="S34" s="2965"/>
      <c r="T34" s="2965"/>
      <c r="U34" s="2965"/>
      <c r="V34" s="2965"/>
      <c r="W34" s="2998"/>
      <c r="X34" s="3119"/>
      <c r="Y34" s="3119"/>
      <c r="Z34" s="3005" t="s">
        <v>3863</v>
      </c>
      <c r="AA34" s="3009" t="s">
        <v>3851</v>
      </c>
      <c r="AB34" s="3005">
        <f t="shared" si="0"/>
        <v>1528.02</v>
      </c>
      <c r="AC34" s="3005">
        <v>1528.02</v>
      </c>
      <c r="AL34" s="2998"/>
    </row>
    <row r="35" spans="1:38" s="3005" customFormat="1" ht="37.5" customHeight="1" thickBot="1">
      <c r="A35" s="2998"/>
      <c r="K35" s="2998"/>
      <c r="M35" s="2965"/>
      <c r="N35" s="3018" t="s">
        <v>37</v>
      </c>
      <c r="O35" s="3020"/>
      <c r="P35" s="3020" t="s">
        <v>70</v>
      </c>
      <c r="Q35" s="2965"/>
      <c r="R35" s="2965"/>
      <c r="S35" s="2965"/>
      <c r="T35" s="2965"/>
      <c r="U35" s="2965"/>
      <c r="V35" s="2965"/>
      <c r="W35" s="2998"/>
      <c r="X35" s="3119"/>
      <c r="Y35" s="3119"/>
      <c r="Z35" s="3005" t="s">
        <v>3864</v>
      </c>
      <c r="AA35" s="3009" t="s">
        <v>3851</v>
      </c>
      <c r="AB35" s="3005">
        <f t="shared" si="0"/>
        <v>1250.02</v>
      </c>
      <c r="AC35" s="3005">
        <v>1250.02</v>
      </c>
      <c r="AL35" s="2998"/>
    </row>
    <row r="36" spans="1:38" s="3005" customFormat="1" ht="37.5" customHeight="1">
      <c r="A36" s="2998"/>
      <c r="K36" s="2998"/>
      <c r="M36" s="2965"/>
      <c r="N36" s="2965"/>
      <c r="O36" s="2965"/>
      <c r="P36" s="2965"/>
      <c r="Q36" s="2965"/>
      <c r="R36" s="2965"/>
      <c r="S36" s="2965"/>
      <c r="T36" s="2965"/>
      <c r="U36" s="2965"/>
      <c r="V36" s="2965"/>
      <c r="W36" s="2998"/>
      <c r="X36" s="3119"/>
      <c r="Y36" s="3119"/>
      <c r="Z36" s="3005" t="s">
        <v>3865</v>
      </c>
      <c r="AA36" s="3009" t="s">
        <v>3851</v>
      </c>
      <c r="AB36" s="3005">
        <f t="shared" si="0"/>
        <v>1250.02</v>
      </c>
      <c r="AC36" s="3005">
        <v>1250.02</v>
      </c>
      <c r="AL36" s="2998"/>
    </row>
    <row r="37" spans="1:38" s="3005" customFormat="1" ht="37.5" customHeight="1">
      <c r="A37" s="2998"/>
      <c r="K37" s="2998"/>
      <c r="M37" s="2965"/>
      <c r="N37" s="2965"/>
      <c r="O37" s="2965"/>
      <c r="P37" s="2965"/>
      <c r="Q37" s="2965"/>
      <c r="R37" s="2965"/>
      <c r="S37" s="2965"/>
      <c r="T37" s="2965"/>
      <c r="U37" s="2965"/>
      <c r="V37" s="2965"/>
      <c r="W37" s="2998"/>
      <c r="X37" s="3119"/>
      <c r="Y37" s="3119"/>
      <c r="Z37" s="3005" t="s">
        <v>3866</v>
      </c>
      <c r="AA37" s="3009" t="s">
        <v>3851</v>
      </c>
      <c r="AB37" s="3005">
        <f t="shared" si="0"/>
        <v>1807.13</v>
      </c>
      <c r="AC37" s="3005">
        <v>1807.13</v>
      </c>
      <c r="AL37" s="2998"/>
    </row>
    <row r="38" spans="1:38" s="3005" customFormat="1" ht="37.5" customHeight="1">
      <c r="A38" s="2998"/>
      <c r="K38" s="2998"/>
      <c r="M38" s="2965"/>
      <c r="N38" s="2965"/>
      <c r="O38" s="2965"/>
      <c r="P38" s="2965"/>
      <c r="Q38" s="2965"/>
      <c r="R38" s="2965"/>
      <c r="S38" s="2965"/>
      <c r="T38" s="2965"/>
      <c r="U38" s="2965"/>
      <c r="V38" s="2965"/>
      <c r="W38" s="2998"/>
      <c r="X38" s="3119"/>
      <c r="Y38" s="3119"/>
      <c r="Z38" s="3005" t="s">
        <v>3867</v>
      </c>
      <c r="AA38" s="3009" t="s">
        <v>3847</v>
      </c>
      <c r="AB38" s="3005">
        <f t="shared" si="0"/>
        <v>19342.400000000001</v>
      </c>
      <c r="AI38" s="3005">
        <v>19342.400000000001</v>
      </c>
      <c r="AJ38" s="3005" t="s">
        <v>3868</v>
      </c>
      <c r="AL38" s="2998"/>
    </row>
    <row r="39" spans="1:38" s="3005" customFormat="1" ht="37.5" customHeight="1">
      <c r="A39" s="2998"/>
      <c r="K39" s="2998"/>
      <c r="W39" s="2998"/>
      <c r="X39" s="3119"/>
      <c r="Y39" s="3119" t="s">
        <v>3869</v>
      </c>
      <c r="Z39" s="3005" t="s">
        <v>3870</v>
      </c>
      <c r="AA39" s="3009" t="s">
        <v>3871</v>
      </c>
      <c r="AB39" s="3005">
        <f t="shared" si="0"/>
        <v>1483.9499999999998</v>
      </c>
      <c r="AC39" s="3005">
        <v>1074.8399999999999</v>
      </c>
      <c r="AI39" s="3005">
        <v>409.11</v>
      </c>
      <c r="AL39" s="2998"/>
    </row>
    <row r="40" spans="1:38" s="3005" customFormat="1" ht="37.5" customHeight="1">
      <c r="A40" s="2998"/>
      <c r="K40" s="2998"/>
      <c r="W40" s="2998"/>
      <c r="X40" s="3119"/>
      <c r="Y40" s="3119"/>
      <c r="Z40" s="3005" t="s">
        <v>3872</v>
      </c>
      <c r="AA40" s="3009" t="s">
        <v>3871</v>
      </c>
      <c r="AB40" s="3005">
        <f t="shared" si="0"/>
        <v>1468.9699999999998</v>
      </c>
      <c r="AC40" s="3005">
        <v>1059.8699999999999</v>
      </c>
      <c r="AI40" s="3005">
        <v>409.1</v>
      </c>
      <c r="AL40" s="2998"/>
    </row>
    <row r="41" spans="1:38" s="3005" customFormat="1" ht="37.5" customHeight="1">
      <c r="A41" s="2998"/>
      <c r="K41" s="2998"/>
      <c r="W41" s="2998"/>
      <c r="X41" s="3119"/>
      <c r="Y41" s="3119"/>
      <c r="Z41" s="3005" t="s">
        <v>3873</v>
      </c>
      <c r="AA41" s="3009" t="s">
        <v>3871</v>
      </c>
      <c r="AB41" s="3005">
        <f t="shared" si="0"/>
        <v>889.47</v>
      </c>
      <c r="AC41" s="3005">
        <v>647.52</v>
      </c>
      <c r="AI41" s="3005">
        <v>241.95</v>
      </c>
      <c r="AL41" s="2998"/>
    </row>
    <row r="42" spans="1:38" s="3005" customFormat="1" ht="37.5" customHeight="1">
      <c r="A42" s="2998"/>
      <c r="K42" s="2998"/>
      <c r="W42" s="2998"/>
      <c r="X42" s="3119"/>
      <c r="Y42" s="3119"/>
      <c r="Z42" s="3005" t="s">
        <v>3874</v>
      </c>
      <c r="AA42" s="3009" t="s">
        <v>3871</v>
      </c>
      <c r="AB42" s="3005">
        <f t="shared" si="0"/>
        <v>1468.9699999999998</v>
      </c>
      <c r="AC42" s="3005">
        <v>1059.8699999999999</v>
      </c>
      <c r="AI42" s="3005">
        <v>409.1</v>
      </c>
      <c r="AL42" s="2998"/>
    </row>
    <row r="43" spans="1:38" s="3005" customFormat="1" ht="37.5" customHeight="1">
      <c r="A43" s="2998"/>
      <c r="K43" s="2998"/>
      <c r="W43" s="2998"/>
      <c r="X43" s="3119"/>
      <c r="Y43" s="3119"/>
      <c r="Z43" s="3005" t="s">
        <v>3875</v>
      </c>
      <c r="AA43" s="3009" t="s">
        <v>3871</v>
      </c>
      <c r="AB43" s="3005">
        <f t="shared" si="0"/>
        <v>1483.9499999999998</v>
      </c>
      <c r="AC43" s="3005">
        <v>1074.8399999999999</v>
      </c>
      <c r="AI43" s="3005">
        <v>409.11</v>
      </c>
      <c r="AL43" s="2998"/>
    </row>
    <row r="44" spans="1:38" s="3005" customFormat="1" ht="37.5" customHeight="1">
      <c r="A44" s="2998"/>
      <c r="K44" s="2998"/>
      <c r="W44" s="2998"/>
      <c r="X44" s="3119"/>
      <c r="Y44" s="3119"/>
      <c r="Z44" s="3005" t="s">
        <v>3876</v>
      </c>
      <c r="AA44" s="3009" t="s">
        <v>3871</v>
      </c>
      <c r="AB44" s="3005">
        <f t="shared" si="0"/>
        <v>1483.9499999999998</v>
      </c>
      <c r="AC44" s="3005">
        <v>1074.8399999999999</v>
      </c>
      <c r="AI44" s="3005">
        <v>409.11</v>
      </c>
      <c r="AL44" s="2998"/>
    </row>
    <row r="45" spans="1:38" s="3005" customFormat="1" ht="37.5" customHeight="1">
      <c r="A45" s="2998"/>
      <c r="K45" s="2998"/>
      <c r="W45" s="2998"/>
      <c r="X45" s="3119"/>
      <c r="Y45" s="3119"/>
      <c r="Z45" s="3005" t="s">
        <v>3877</v>
      </c>
      <c r="AA45" s="3009" t="s">
        <v>3871</v>
      </c>
      <c r="AB45" s="3005">
        <f t="shared" si="0"/>
        <v>889.47</v>
      </c>
      <c r="AC45" s="3005">
        <v>647.52</v>
      </c>
      <c r="AI45" s="3005">
        <v>241.95</v>
      </c>
      <c r="AL45" s="2998"/>
    </row>
    <row r="46" spans="1:38" s="3005" customFormat="1" ht="37.5" customHeight="1">
      <c r="A46" s="2998"/>
      <c r="K46" s="2998"/>
      <c r="W46" s="2998"/>
      <c r="X46" s="3119"/>
      <c r="Y46" s="3119"/>
      <c r="Z46" s="3005" t="s">
        <v>3878</v>
      </c>
      <c r="AA46" s="3009" t="s">
        <v>3879</v>
      </c>
      <c r="AB46" s="3005">
        <f t="shared" si="0"/>
        <v>1134.1100000000001</v>
      </c>
      <c r="AC46" s="3005">
        <v>756.89</v>
      </c>
      <c r="AI46" s="3005">
        <v>377.22</v>
      </c>
      <c r="AL46" s="2998"/>
    </row>
    <row r="47" spans="1:38" s="3005" customFormat="1" ht="37.5" customHeight="1">
      <c r="A47" s="2998"/>
      <c r="K47" s="2998"/>
      <c r="W47" s="2998"/>
      <c r="X47" s="3119"/>
      <c r="Y47" s="3119"/>
      <c r="Z47" s="3005" t="s">
        <v>3880</v>
      </c>
      <c r="AA47" s="3009" t="s">
        <v>3879</v>
      </c>
      <c r="AB47" s="3005">
        <f t="shared" si="0"/>
        <v>1144.73</v>
      </c>
      <c r="AC47" s="3005">
        <v>770.4</v>
      </c>
      <c r="AI47" s="3005">
        <v>374.33</v>
      </c>
      <c r="AL47" s="2998"/>
    </row>
    <row r="48" spans="1:38" s="3005" customFormat="1" ht="37.5" customHeight="1">
      <c r="A48" s="2998"/>
      <c r="K48" s="2998"/>
      <c r="W48" s="2998"/>
      <c r="X48" s="3119"/>
      <c r="Y48" s="3119"/>
      <c r="Z48" s="3005" t="s">
        <v>3881</v>
      </c>
      <c r="AA48" s="3009" t="s">
        <v>3879</v>
      </c>
      <c r="AB48" s="3005">
        <f t="shared" si="0"/>
        <v>1149.81</v>
      </c>
      <c r="AC48" s="3005">
        <v>748.2</v>
      </c>
      <c r="AI48" s="3005">
        <v>401.61</v>
      </c>
      <c r="AL48" s="2998"/>
    </row>
    <row r="49" spans="1:38" s="3005" customFormat="1" ht="37.5" customHeight="1">
      <c r="A49" s="2998"/>
      <c r="K49" s="2998"/>
      <c r="W49" s="2998"/>
      <c r="X49" s="3119"/>
      <c r="Y49" s="3119"/>
      <c r="Z49" s="3005" t="s">
        <v>3882</v>
      </c>
      <c r="AA49" s="3009" t="s">
        <v>3879</v>
      </c>
      <c r="AB49" s="3005">
        <f t="shared" si="0"/>
        <v>1134.1100000000001</v>
      </c>
      <c r="AC49" s="3005">
        <v>756.89</v>
      </c>
      <c r="AI49" s="3005">
        <v>377.22</v>
      </c>
      <c r="AL49" s="2998"/>
    </row>
    <row r="50" spans="1:38" s="3005" customFormat="1" ht="37.5" customHeight="1">
      <c r="A50" s="2998"/>
      <c r="K50" s="2998"/>
      <c r="W50" s="2998"/>
      <c r="X50" s="3119"/>
      <c r="Y50" s="3119"/>
      <c r="Z50" s="3005" t="s">
        <v>3883</v>
      </c>
      <c r="AA50" s="3009" t="s">
        <v>3879</v>
      </c>
      <c r="AB50" s="3005">
        <f t="shared" si="0"/>
        <v>1144.75</v>
      </c>
      <c r="AC50" s="3005">
        <v>751.64</v>
      </c>
      <c r="AI50" s="3005">
        <v>393.11</v>
      </c>
      <c r="AL50" s="2998"/>
    </row>
    <row r="51" spans="1:38" s="3005" customFormat="1" ht="37.5" customHeight="1">
      <c r="A51" s="2998"/>
      <c r="K51" s="2998"/>
      <c r="W51" s="2998"/>
      <c r="X51" s="3119"/>
      <c r="Y51" s="3119" t="s">
        <v>3884</v>
      </c>
      <c r="Z51" s="3119"/>
      <c r="AA51" s="3009" t="s">
        <v>3807</v>
      </c>
      <c r="AB51" s="3005">
        <f t="shared" si="0"/>
        <v>185.85</v>
      </c>
      <c r="AG51" s="3005">
        <v>185.85</v>
      </c>
      <c r="AL51" s="2998"/>
    </row>
    <row r="52" spans="1:38" s="3005" customFormat="1" ht="37.5" customHeight="1">
      <c r="A52" s="2998"/>
      <c r="K52" s="2998"/>
      <c r="W52" s="2998"/>
      <c r="X52" s="3121"/>
      <c r="Y52" s="3121" t="s">
        <v>3744</v>
      </c>
      <c r="Z52" s="3121"/>
      <c r="AA52" s="3121"/>
      <c r="AB52" s="3021">
        <f>SUM(AB4:AB51)</f>
        <v>127865.16000000003</v>
      </c>
      <c r="AC52" s="3021">
        <f t="shared" ref="AC52:AI52" si="8">SUM(AC4:AC51)</f>
        <v>78669.249999999956</v>
      </c>
      <c r="AD52" s="3021">
        <f t="shared" si="8"/>
        <v>0</v>
      </c>
      <c r="AE52" s="3021">
        <f t="shared" si="8"/>
        <v>0</v>
      </c>
      <c r="AF52" s="3021">
        <f t="shared" si="8"/>
        <v>0</v>
      </c>
      <c r="AG52" s="3021">
        <f t="shared" si="8"/>
        <v>764.89</v>
      </c>
      <c r="AH52" s="3021"/>
      <c r="AI52" s="3021">
        <f t="shared" si="8"/>
        <v>48431.020000000004</v>
      </c>
      <c r="AJ52" s="3021"/>
      <c r="AK52" s="3021"/>
      <c r="AL52" s="2998"/>
    </row>
    <row r="53" spans="1:38" s="3005" customFormat="1" ht="37.5" customHeight="1">
      <c r="A53" s="2998"/>
      <c r="K53" s="2998"/>
      <c r="W53" s="2998"/>
      <c r="X53" s="3001" t="s">
        <v>3885</v>
      </c>
      <c r="Y53" s="3120" t="s">
        <v>3886</v>
      </c>
      <c r="Z53" s="3001" t="s">
        <v>3887</v>
      </c>
      <c r="AA53" s="3022" t="s">
        <v>3831</v>
      </c>
      <c r="AB53" s="3001">
        <f t="shared" si="0"/>
        <v>1686.74</v>
      </c>
      <c r="AC53" s="3001">
        <v>1686.74</v>
      </c>
      <c r="AD53" s="3001"/>
      <c r="AE53" s="3001"/>
      <c r="AF53" s="3001"/>
      <c r="AG53" s="3001"/>
      <c r="AH53" s="3001"/>
      <c r="AI53" s="3001"/>
      <c r="AJ53" s="3001"/>
      <c r="AK53" s="3001"/>
      <c r="AL53" s="2998"/>
    </row>
    <row r="54" spans="1:38" s="3005" customFormat="1" ht="37.5" customHeight="1">
      <c r="A54" s="2998"/>
      <c r="K54" s="2998"/>
      <c r="W54" s="2998"/>
      <c r="X54" s="3120" t="s">
        <v>3888</v>
      </c>
      <c r="Y54" s="3120"/>
      <c r="Z54" s="3001" t="s">
        <v>3889</v>
      </c>
      <c r="AA54" s="3022" t="s">
        <v>3831</v>
      </c>
      <c r="AB54" s="3001">
        <f t="shared" si="0"/>
        <v>1686.74</v>
      </c>
      <c r="AC54" s="3001">
        <v>1686.74</v>
      </c>
      <c r="AD54" s="3001"/>
      <c r="AE54" s="3001"/>
      <c r="AF54" s="3001"/>
      <c r="AG54" s="3001"/>
      <c r="AH54" s="3001"/>
      <c r="AI54" s="3001"/>
      <c r="AJ54" s="3001"/>
      <c r="AK54" s="3001"/>
      <c r="AL54" s="2998"/>
    </row>
    <row r="55" spans="1:38" s="3005" customFormat="1" ht="37.5" customHeight="1">
      <c r="A55" s="2998"/>
      <c r="K55" s="2998"/>
      <c r="W55" s="2998"/>
      <c r="X55" s="3120"/>
      <c r="Y55" s="3120"/>
      <c r="Z55" s="3001" t="s">
        <v>3890</v>
      </c>
      <c r="AA55" s="3022" t="s">
        <v>3831</v>
      </c>
      <c r="AB55" s="3001">
        <f t="shared" si="0"/>
        <v>1686.74</v>
      </c>
      <c r="AC55" s="3001">
        <v>1686.74</v>
      </c>
      <c r="AD55" s="3001"/>
      <c r="AE55" s="3001"/>
      <c r="AF55" s="3001"/>
      <c r="AG55" s="3001"/>
      <c r="AH55" s="3001"/>
      <c r="AI55" s="3001"/>
      <c r="AJ55" s="3001"/>
      <c r="AK55" s="3001"/>
      <c r="AL55" s="2998"/>
    </row>
    <row r="56" spans="1:38" s="3005" customFormat="1" ht="37.5" customHeight="1">
      <c r="A56" s="2998"/>
      <c r="K56" s="2998"/>
      <c r="W56" s="2998"/>
      <c r="X56" s="3120"/>
      <c r="Y56" s="3120"/>
      <c r="Z56" s="3001" t="s">
        <v>3891</v>
      </c>
      <c r="AA56" s="3022" t="s">
        <v>3831</v>
      </c>
      <c r="AB56" s="3001">
        <f t="shared" si="0"/>
        <v>975.35</v>
      </c>
      <c r="AC56" s="3001">
        <v>975.35</v>
      </c>
      <c r="AD56" s="3001"/>
      <c r="AE56" s="3001"/>
      <c r="AF56" s="3001"/>
      <c r="AG56" s="3001"/>
      <c r="AH56" s="3001"/>
      <c r="AI56" s="3001"/>
      <c r="AJ56" s="3001"/>
      <c r="AK56" s="3001"/>
      <c r="AL56" s="2998"/>
    </row>
    <row r="57" spans="1:38" s="3005" customFormat="1" ht="37.5" customHeight="1">
      <c r="A57" s="2998"/>
      <c r="K57" s="2998"/>
      <c r="W57" s="2998"/>
      <c r="X57" s="3120" t="s">
        <v>3892</v>
      </c>
      <c r="Y57" s="3120"/>
      <c r="Z57" s="3001" t="s">
        <v>3893</v>
      </c>
      <c r="AA57" s="3022" t="s">
        <v>3894</v>
      </c>
      <c r="AB57" s="3001">
        <f t="shared" si="0"/>
        <v>3227.92</v>
      </c>
      <c r="AC57" s="3001"/>
      <c r="AD57" s="3001"/>
      <c r="AE57" s="3001">
        <v>683.25</v>
      </c>
      <c r="AF57" s="3001">
        <v>812.37</v>
      </c>
      <c r="AG57" s="3001">
        <v>1732.3</v>
      </c>
      <c r="AH57" s="3001"/>
      <c r="AI57" s="3001"/>
      <c r="AJ57" s="3001"/>
      <c r="AK57" s="3001"/>
      <c r="AL57" s="2998"/>
    </row>
    <row r="58" spans="1:38" s="3005" customFormat="1" ht="37.5" customHeight="1">
      <c r="A58" s="2998"/>
      <c r="K58" s="2998"/>
      <c r="W58" s="2998"/>
      <c r="X58" s="3120"/>
      <c r="Y58" s="3120"/>
      <c r="Z58" s="3001" t="s">
        <v>3895</v>
      </c>
      <c r="AA58" s="3022" t="s">
        <v>3831</v>
      </c>
      <c r="AB58" s="3001">
        <f t="shared" si="0"/>
        <v>975.35</v>
      </c>
      <c r="AC58" s="3001">
        <v>975.35</v>
      </c>
      <c r="AD58" s="3001"/>
      <c r="AE58" s="3001"/>
      <c r="AF58" s="3001"/>
      <c r="AG58" s="3001"/>
      <c r="AH58" s="3001"/>
      <c r="AI58" s="3001"/>
      <c r="AJ58" s="3001"/>
      <c r="AK58" s="3001"/>
      <c r="AL58" s="2998"/>
    </row>
    <row r="59" spans="1:38" s="3005" customFormat="1" ht="37.5" customHeight="1">
      <c r="A59" s="2998"/>
      <c r="K59" s="2998"/>
      <c r="W59" s="2998"/>
      <c r="X59" s="3120"/>
      <c r="Y59" s="3120"/>
      <c r="Z59" s="3001" t="s">
        <v>3896</v>
      </c>
      <c r="AA59" s="3022" t="s">
        <v>3831</v>
      </c>
      <c r="AB59" s="3001">
        <f t="shared" si="0"/>
        <v>1686.74</v>
      </c>
      <c r="AC59" s="3001">
        <v>1686.74</v>
      </c>
      <c r="AD59" s="3001"/>
      <c r="AE59" s="3001"/>
      <c r="AF59" s="3001"/>
      <c r="AG59" s="3001"/>
      <c r="AH59" s="3001"/>
      <c r="AI59" s="3001"/>
      <c r="AJ59" s="3001"/>
      <c r="AK59" s="3001"/>
      <c r="AL59" s="2998"/>
    </row>
    <row r="60" spans="1:38" s="3005" customFormat="1" ht="37.5" customHeight="1">
      <c r="A60" s="2998"/>
      <c r="K60" s="2998"/>
      <c r="W60" s="2998"/>
      <c r="X60" s="3001" t="s">
        <v>3808</v>
      </c>
      <c r="Y60" s="3120"/>
      <c r="Z60" s="3001" t="s">
        <v>3897</v>
      </c>
      <c r="AA60" s="3022" t="s">
        <v>3831</v>
      </c>
      <c r="AB60" s="3001">
        <f t="shared" si="0"/>
        <v>3373.66</v>
      </c>
      <c r="AC60" s="3001">
        <v>3373.66</v>
      </c>
      <c r="AD60" s="3001"/>
      <c r="AE60" s="3001"/>
      <c r="AF60" s="3001"/>
      <c r="AG60" s="3001"/>
      <c r="AH60" s="3001"/>
      <c r="AI60" s="3001"/>
      <c r="AJ60" s="3001"/>
      <c r="AK60" s="3001"/>
      <c r="AL60" s="2998"/>
    </row>
    <row r="61" spans="1:38" s="3005" customFormat="1" ht="37.5" customHeight="1">
      <c r="A61" s="2998"/>
      <c r="K61" s="2998"/>
      <c r="W61" s="2998"/>
      <c r="X61" s="3001">
        <v>16964.16</v>
      </c>
      <c r="Y61" s="3120"/>
      <c r="Z61" s="3001" t="s">
        <v>3898</v>
      </c>
      <c r="AA61" s="3022" t="s">
        <v>3831</v>
      </c>
      <c r="AB61" s="3001">
        <f t="shared" si="0"/>
        <v>1686.74</v>
      </c>
      <c r="AC61" s="3001">
        <v>1686.74</v>
      </c>
      <c r="AD61" s="3001"/>
      <c r="AE61" s="3001"/>
      <c r="AF61" s="3001"/>
      <c r="AG61" s="3001"/>
      <c r="AH61" s="3001"/>
      <c r="AI61" s="3001"/>
      <c r="AJ61" s="3001"/>
      <c r="AK61" s="3001"/>
      <c r="AL61" s="2998"/>
    </row>
    <row r="62" spans="1:38" s="3005" customFormat="1" ht="37.5" customHeight="1">
      <c r="A62" s="2998"/>
      <c r="K62" s="2998"/>
      <c r="W62" s="2998"/>
      <c r="X62" s="3001" t="s">
        <v>3817</v>
      </c>
      <c r="Y62" s="3120"/>
      <c r="Z62" s="3001" t="s">
        <v>3899</v>
      </c>
      <c r="AA62" s="3022" t="s">
        <v>3837</v>
      </c>
      <c r="AB62" s="3001">
        <f t="shared" si="0"/>
        <v>127</v>
      </c>
      <c r="AC62" s="3001"/>
      <c r="AD62" s="3001"/>
      <c r="AE62" s="3001"/>
      <c r="AF62" s="3001"/>
      <c r="AG62" s="3001">
        <v>127</v>
      </c>
      <c r="AH62" s="3001"/>
      <c r="AI62" s="3001"/>
      <c r="AJ62" s="3001"/>
      <c r="AK62" s="3001"/>
      <c r="AL62" s="2998"/>
    </row>
    <row r="63" spans="1:38" s="3005" customFormat="1" ht="37.5" customHeight="1">
      <c r="A63" s="2998"/>
      <c r="K63" s="2998"/>
      <c r="W63" s="2998"/>
      <c r="X63" s="3001">
        <v>697</v>
      </c>
      <c r="Y63" s="3120" t="s">
        <v>3900</v>
      </c>
      <c r="Z63" s="3001" t="s">
        <v>3901</v>
      </c>
      <c r="AA63" s="3022" t="s">
        <v>3871</v>
      </c>
      <c r="AB63" s="3001">
        <f t="shared" si="0"/>
        <v>1468.9699999999998</v>
      </c>
      <c r="AC63" s="3001">
        <v>1059.8699999999999</v>
      </c>
      <c r="AD63" s="3001"/>
      <c r="AE63" s="3001"/>
      <c r="AF63" s="3001"/>
      <c r="AG63" s="3001"/>
      <c r="AH63" s="3001"/>
      <c r="AI63" s="3001">
        <v>409.1</v>
      </c>
      <c r="AJ63" s="3001"/>
      <c r="AK63" s="3001"/>
      <c r="AL63" s="2998"/>
    </row>
    <row r="64" spans="1:38" s="3005" customFormat="1" ht="37.5" customHeight="1">
      <c r="A64" s="2998"/>
      <c r="K64" s="2998"/>
      <c r="W64" s="2998"/>
      <c r="X64" s="3120"/>
      <c r="Y64" s="3120"/>
      <c r="Z64" s="3001" t="s">
        <v>3902</v>
      </c>
      <c r="AA64" s="3022" t="s">
        <v>3879</v>
      </c>
      <c r="AB64" s="3001">
        <f t="shared" si="0"/>
        <v>1361.48</v>
      </c>
      <c r="AC64" s="3001">
        <v>856.9</v>
      </c>
      <c r="AD64" s="3001"/>
      <c r="AE64" s="3001"/>
      <c r="AF64" s="3001"/>
      <c r="AG64" s="3001"/>
      <c r="AH64" s="3001"/>
      <c r="AI64" s="3001">
        <v>504.58</v>
      </c>
      <c r="AJ64" s="3001"/>
      <c r="AK64" s="3001"/>
      <c r="AL64" s="2998"/>
    </row>
    <row r="65" spans="1:38" s="3005" customFormat="1" ht="37.5" customHeight="1">
      <c r="A65" s="2998"/>
      <c r="K65" s="2998"/>
      <c r="W65" s="2998"/>
      <c r="X65" s="3120"/>
      <c r="Y65" s="3120"/>
      <c r="Z65" s="3001" t="s">
        <v>3903</v>
      </c>
      <c r="AA65" s="3022" t="s">
        <v>3879</v>
      </c>
      <c r="AB65" s="3001">
        <f t="shared" si="0"/>
        <v>1366.54</v>
      </c>
      <c r="AC65" s="3001">
        <v>850.5</v>
      </c>
      <c r="AD65" s="3001"/>
      <c r="AE65" s="3001"/>
      <c r="AF65" s="3001"/>
      <c r="AG65" s="3001"/>
      <c r="AH65" s="3001"/>
      <c r="AI65" s="3001">
        <v>516.04</v>
      </c>
      <c r="AJ65" s="3001"/>
      <c r="AK65" s="3001"/>
      <c r="AL65" s="2998"/>
    </row>
    <row r="66" spans="1:38" s="3005" customFormat="1" ht="37.5" customHeight="1">
      <c r="A66" s="2998"/>
      <c r="K66" s="2998"/>
      <c r="W66" s="2998"/>
      <c r="X66" s="3120"/>
      <c r="Y66" s="3120"/>
      <c r="Z66" s="3001" t="s">
        <v>3904</v>
      </c>
      <c r="AA66" s="3022" t="s">
        <v>3837</v>
      </c>
      <c r="AB66" s="3001">
        <f t="shared" si="0"/>
        <v>122</v>
      </c>
      <c r="AC66" s="3001"/>
      <c r="AD66" s="3001"/>
      <c r="AE66" s="3001"/>
      <c r="AF66" s="3001"/>
      <c r="AG66" s="3001">
        <v>122</v>
      </c>
      <c r="AH66" s="3001"/>
      <c r="AI66" s="3001"/>
      <c r="AJ66" s="3001"/>
      <c r="AK66" s="3001"/>
      <c r="AL66" s="2998"/>
    </row>
    <row r="67" spans="1:38" s="3005" customFormat="1" ht="37.5" customHeight="1">
      <c r="A67" s="2998"/>
      <c r="K67" s="2998"/>
      <c r="W67" s="2998"/>
      <c r="X67" s="3120"/>
      <c r="Y67" s="3120"/>
      <c r="Z67" s="3001" t="s">
        <v>3905</v>
      </c>
      <c r="AA67" s="3022" t="s">
        <v>3837</v>
      </c>
      <c r="AB67" s="3001">
        <f t="shared" si="0"/>
        <v>121.4</v>
      </c>
      <c r="AC67" s="3001"/>
      <c r="AD67" s="3001"/>
      <c r="AE67" s="3001"/>
      <c r="AF67" s="3001"/>
      <c r="AG67" s="3001">
        <v>121.4</v>
      </c>
      <c r="AH67" s="3001"/>
      <c r="AI67" s="3001"/>
      <c r="AJ67" s="3001"/>
      <c r="AK67" s="3001"/>
      <c r="AL67" s="2998"/>
    </row>
    <row r="68" spans="1:38" s="3005" customFormat="1" ht="37.5" customHeight="1">
      <c r="A68" s="2998"/>
      <c r="K68" s="2998"/>
      <c r="W68" s="2998"/>
      <c r="X68" s="3120"/>
      <c r="Y68" s="3120" t="s">
        <v>3906</v>
      </c>
      <c r="Z68" s="3023" t="s">
        <v>3907</v>
      </c>
      <c r="AA68" s="3024" t="s">
        <v>3894</v>
      </c>
      <c r="AB68" s="3023">
        <f t="shared" si="0"/>
        <v>505.6</v>
      </c>
      <c r="AC68" s="3023">
        <v>505.6</v>
      </c>
      <c r="AD68" s="3023"/>
      <c r="AE68" s="3023"/>
      <c r="AF68" s="3023"/>
      <c r="AG68" s="3023"/>
      <c r="AH68" s="3023"/>
      <c r="AI68" s="3023"/>
      <c r="AJ68" s="3023"/>
      <c r="AK68" s="3023" t="s">
        <v>3908</v>
      </c>
      <c r="AL68" s="2998"/>
    </row>
    <row r="69" spans="1:38" s="3005" customFormat="1" ht="37.5" customHeight="1">
      <c r="A69" s="2998"/>
      <c r="K69" s="2998"/>
      <c r="W69" s="2998"/>
      <c r="X69" s="3120"/>
      <c r="Y69" s="3120"/>
      <c r="Z69" s="3023" t="s">
        <v>3909</v>
      </c>
      <c r="AA69" s="3024" t="s">
        <v>3894</v>
      </c>
      <c r="AB69" s="3023">
        <f t="shared" ref="AB69:AB114" si="9">SUM(AC69:AI69)</f>
        <v>670.17</v>
      </c>
      <c r="AC69" s="3023">
        <v>670.17</v>
      </c>
      <c r="AD69" s="3023"/>
      <c r="AE69" s="3023"/>
      <c r="AF69" s="3023"/>
      <c r="AG69" s="3023"/>
      <c r="AH69" s="3023"/>
      <c r="AI69" s="3023"/>
      <c r="AJ69" s="3023"/>
      <c r="AK69" s="3023" t="s">
        <v>3908</v>
      </c>
      <c r="AL69" s="2998"/>
    </row>
    <row r="70" spans="1:38" s="3005" customFormat="1" ht="37.5" customHeight="1">
      <c r="A70" s="2998"/>
      <c r="K70" s="2998"/>
      <c r="W70" s="2998"/>
      <c r="X70" s="3120"/>
      <c r="Y70" s="3120"/>
      <c r="Z70" s="3023" t="s">
        <v>3910</v>
      </c>
      <c r="AA70" s="3024" t="s">
        <v>3894</v>
      </c>
      <c r="AB70" s="3023">
        <f t="shared" si="9"/>
        <v>1183.6400000000001</v>
      </c>
      <c r="AC70" s="3023">
        <v>1183.6400000000001</v>
      </c>
      <c r="AD70" s="3023"/>
      <c r="AE70" s="3023"/>
      <c r="AF70" s="3023"/>
      <c r="AG70" s="3023"/>
      <c r="AH70" s="3023"/>
      <c r="AI70" s="3023"/>
      <c r="AJ70" s="3023"/>
      <c r="AK70" s="3023" t="s">
        <v>3908</v>
      </c>
      <c r="AL70" s="2998"/>
    </row>
    <row r="71" spans="1:38" s="3005" customFormat="1" ht="37.5" customHeight="1">
      <c r="A71" s="2998"/>
      <c r="K71" s="2998"/>
      <c r="W71" s="2998"/>
      <c r="X71" s="3120"/>
      <c r="Y71" s="3120"/>
      <c r="Z71" s="3023" t="s">
        <v>3911</v>
      </c>
      <c r="AA71" s="3024" t="s">
        <v>3894</v>
      </c>
      <c r="AB71" s="3023">
        <f t="shared" si="9"/>
        <v>670.17</v>
      </c>
      <c r="AC71" s="3023">
        <v>670.17</v>
      </c>
      <c r="AD71" s="3023"/>
      <c r="AE71" s="3023"/>
      <c r="AF71" s="3023"/>
      <c r="AG71" s="3023"/>
      <c r="AH71" s="3023"/>
      <c r="AI71" s="3023"/>
      <c r="AJ71" s="3023"/>
      <c r="AK71" s="3023" t="s">
        <v>3908</v>
      </c>
      <c r="AL71" s="2998"/>
    </row>
    <row r="72" spans="1:38" s="3005" customFormat="1" ht="37.5" customHeight="1">
      <c r="A72" s="2998"/>
      <c r="K72" s="2998"/>
      <c r="W72" s="2998"/>
      <c r="X72" s="3120"/>
      <c r="Y72" s="3120"/>
      <c r="Z72" s="3001" t="s">
        <v>3912</v>
      </c>
      <c r="AA72" s="3022" t="s">
        <v>3894</v>
      </c>
      <c r="AB72" s="3001">
        <f t="shared" si="9"/>
        <v>1017.58</v>
      </c>
      <c r="AC72" s="3001">
        <v>1017.58</v>
      </c>
      <c r="AD72" s="3001"/>
      <c r="AE72" s="3001"/>
      <c r="AF72" s="3001"/>
      <c r="AG72" s="3001"/>
      <c r="AH72" s="3001"/>
      <c r="AI72" s="3001"/>
      <c r="AJ72" s="3001"/>
      <c r="AK72" s="3001"/>
      <c r="AL72" s="2998"/>
    </row>
    <row r="73" spans="1:38" s="3005" customFormat="1" ht="37.5" customHeight="1">
      <c r="A73" s="2998"/>
      <c r="K73" s="2998"/>
      <c r="W73" s="2998"/>
      <c r="X73" s="3120"/>
      <c r="Y73" s="3120"/>
      <c r="Z73" s="3023" t="s">
        <v>3913</v>
      </c>
      <c r="AA73" s="3024" t="s">
        <v>3894</v>
      </c>
      <c r="AB73" s="3023">
        <f t="shared" si="9"/>
        <v>662.66</v>
      </c>
      <c r="AC73" s="3023">
        <v>662.66</v>
      </c>
      <c r="AD73" s="3023"/>
      <c r="AE73" s="3023"/>
      <c r="AF73" s="3023"/>
      <c r="AG73" s="3023"/>
      <c r="AH73" s="3023"/>
      <c r="AI73" s="3023"/>
      <c r="AJ73" s="3023"/>
      <c r="AK73" s="3023" t="s">
        <v>3914</v>
      </c>
      <c r="AL73" s="2998"/>
    </row>
    <row r="74" spans="1:38" s="3005" customFormat="1" ht="37.5" customHeight="1">
      <c r="A74" s="2998"/>
      <c r="K74" s="2998"/>
      <c r="W74" s="2998"/>
      <c r="X74" s="3120"/>
      <c r="Y74" s="3120"/>
      <c r="Z74" s="3023" t="s">
        <v>3915</v>
      </c>
      <c r="AA74" s="3024" t="s">
        <v>3894</v>
      </c>
      <c r="AB74" s="3023">
        <f t="shared" si="9"/>
        <v>670.17</v>
      </c>
      <c r="AC74" s="3023">
        <v>670.17</v>
      </c>
      <c r="AD74" s="3023"/>
      <c r="AE74" s="3023"/>
      <c r="AF74" s="3023"/>
      <c r="AG74" s="3023"/>
      <c r="AH74" s="3023"/>
      <c r="AI74" s="3023"/>
      <c r="AJ74" s="3023"/>
      <c r="AK74" s="3023" t="s">
        <v>3914</v>
      </c>
      <c r="AL74" s="2998"/>
    </row>
    <row r="75" spans="1:38" s="3005" customFormat="1" ht="37.5" customHeight="1">
      <c r="A75" s="2998"/>
      <c r="K75" s="2998"/>
      <c r="W75" s="2998"/>
      <c r="X75" s="3120"/>
      <c r="Y75" s="3120"/>
      <c r="Z75" s="3023" t="s">
        <v>3916</v>
      </c>
      <c r="AA75" s="3024" t="s">
        <v>3894</v>
      </c>
      <c r="AB75" s="3023">
        <f t="shared" si="9"/>
        <v>507.31</v>
      </c>
      <c r="AC75" s="3023">
        <v>507.31</v>
      </c>
      <c r="AD75" s="3023"/>
      <c r="AE75" s="3023"/>
      <c r="AF75" s="3023"/>
      <c r="AG75" s="3023"/>
      <c r="AH75" s="3023"/>
      <c r="AI75" s="3023"/>
      <c r="AJ75" s="3023"/>
      <c r="AK75" s="3023" t="s">
        <v>3914</v>
      </c>
      <c r="AL75" s="2998"/>
    </row>
    <row r="76" spans="1:38" s="3005" customFormat="1" ht="37.5" customHeight="1">
      <c r="A76" s="2998"/>
      <c r="K76" s="2998"/>
      <c r="W76" s="2998"/>
      <c r="X76" s="3120"/>
      <c r="Y76" s="3120"/>
      <c r="Z76" s="3023" t="s">
        <v>3917</v>
      </c>
      <c r="AA76" s="3024" t="s">
        <v>3894</v>
      </c>
      <c r="AB76" s="3023">
        <f t="shared" si="9"/>
        <v>1004.67</v>
      </c>
      <c r="AC76" s="3023">
        <v>1004.67</v>
      </c>
      <c r="AD76" s="3023"/>
      <c r="AE76" s="3023"/>
      <c r="AF76" s="3023"/>
      <c r="AG76" s="3023"/>
      <c r="AH76" s="3023"/>
      <c r="AI76" s="3023"/>
      <c r="AJ76" s="3023"/>
      <c r="AK76" s="3023" t="s">
        <v>3914</v>
      </c>
      <c r="AL76" s="2998"/>
    </row>
    <row r="77" spans="1:38" s="3005" customFormat="1" ht="37.5" customHeight="1">
      <c r="A77" s="2998"/>
      <c r="K77" s="2998"/>
      <c r="W77" s="2998"/>
      <c r="X77" s="3120"/>
      <c r="Y77" s="3120"/>
      <c r="Z77" s="3023" t="s">
        <v>3918</v>
      </c>
      <c r="AA77" s="3024" t="s">
        <v>3894</v>
      </c>
      <c r="AB77" s="3023">
        <f t="shared" si="9"/>
        <v>670.17</v>
      </c>
      <c r="AC77" s="3023">
        <v>670.17</v>
      </c>
      <c r="AD77" s="3023"/>
      <c r="AE77" s="3023"/>
      <c r="AF77" s="3023"/>
      <c r="AG77" s="3023"/>
      <c r="AH77" s="3023"/>
      <c r="AI77" s="3023"/>
      <c r="AJ77" s="3023"/>
      <c r="AK77" s="3023" t="s">
        <v>3914</v>
      </c>
      <c r="AL77" s="2998"/>
    </row>
    <row r="78" spans="1:38" s="3005" customFormat="1" ht="37.5" customHeight="1">
      <c r="A78" s="2998"/>
      <c r="K78" s="2998"/>
      <c r="W78" s="2998"/>
      <c r="X78" s="3120"/>
      <c r="Y78" s="3120"/>
      <c r="Z78" s="3023" t="s">
        <v>3919</v>
      </c>
      <c r="AA78" s="3024" t="s">
        <v>3894</v>
      </c>
      <c r="AB78" s="3023">
        <f t="shared" si="9"/>
        <v>666.88</v>
      </c>
      <c r="AC78" s="3023">
        <v>666.88</v>
      </c>
      <c r="AD78" s="3023"/>
      <c r="AE78" s="3023"/>
      <c r="AF78" s="3023"/>
      <c r="AG78" s="3023"/>
      <c r="AH78" s="3023"/>
      <c r="AI78" s="3023"/>
      <c r="AJ78" s="3023"/>
      <c r="AK78" s="3023" t="s">
        <v>3914</v>
      </c>
      <c r="AL78" s="2998"/>
    </row>
    <row r="79" spans="1:38" s="3005" customFormat="1" ht="37.5" customHeight="1">
      <c r="A79" s="2998"/>
      <c r="K79" s="2998"/>
      <c r="W79" s="2998"/>
      <c r="X79" s="3120"/>
      <c r="Y79" s="3120"/>
      <c r="Z79" s="3023" t="s">
        <v>3920</v>
      </c>
      <c r="AA79" s="3024" t="s">
        <v>3894</v>
      </c>
      <c r="AB79" s="3023">
        <f t="shared" si="9"/>
        <v>1347.51</v>
      </c>
      <c r="AC79" s="3023">
        <v>1347.51</v>
      </c>
      <c r="AD79" s="3023"/>
      <c r="AE79" s="3023"/>
      <c r="AF79" s="3023"/>
      <c r="AG79" s="3023"/>
      <c r="AH79" s="3023"/>
      <c r="AI79" s="3023"/>
      <c r="AJ79" s="3023"/>
      <c r="AK79" s="3023" t="s">
        <v>3921</v>
      </c>
      <c r="AL79" s="2998"/>
    </row>
    <row r="80" spans="1:38" s="3005" customFormat="1" ht="37.5" customHeight="1">
      <c r="A80" s="2998"/>
      <c r="K80" s="2998"/>
      <c r="W80" s="2998"/>
      <c r="X80" s="3120"/>
      <c r="Y80" s="3120"/>
      <c r="Z80" s="3023" t="s">
        <v>3922</v>
      </c>
      <c r="AA80" s="3024" t="s">
        <v>3894</v>
      </c>
      <c r="AB80" s="3023">
        <f t="shared" si="9"/>
        <v>669.26</v>
      </c>
      <c r="AC80" s="3023">
        <v>669.26</v>
      </c>
      <c r="AD80" s="3023"/>
      <c r="AE80" s="3023"/>
      <c r="AF80" s="3023"/>
      <c r="AG80" s="3023"/>
      <c r="AH80" s="3023"/>
      <c r="AI80" s="3023"/>
      <c r="AJ80" s="3023"/>
      <c r="AK80" s="3023" t="s">
        <v>3923</v>
      </c>
      <c r="AL80" s="2998"/>
    </row>
    <row r="81" spans="1:38" s="3005" customFormat="1" ht="37.5" customHeight="1">
      <c r="A81" s="2998"/>
      <c r="K81" s="2998"/>
      <c r="W81" s="2998"/>
      <c r="X81" s="3120"/>
      <c r="Y81" s="3120"/>
      <c r="Z81" s="3023" t="s">
        <v>3924</v>
      </c>
      <c r="AA81" s="3024" t="s">
        <v>3894</v>
      </c>
      <c r="AB81" s="3023">
        <f t="shared" si="9"/>
        <v>682.98</v>
      </c>
      <c r="AC81" s="3023">
        <v>682.98</v>
      </c>
      <c r="AD81" s="3023"/>
      <c r="AE81" s="3023"/>
      <c r="AF81" s="3023"/>
      <c r="AG81" s="3023"/>
      <c r="AH81" s="3023"/>
      <c r="AI81" s="3023"/>
      <c r="AJ81" s="3023"/>
      <c r="AK81" s="3023" t="s">
        <v>3921</v>
      </c>
      <c r="AL81" s="2998"/>
    </row>
    <row r="82" spans="1:38" s="3005" customFormat="1" ht="37.5" customHeight="1">
      <c r="A82" s="2998"/>
      <c r="K82" s="2998"/>
      <c r="W82" s="2998"/>
      <c r="X82" s="3120"/>
      <c r="Y82" s="3120"/>
      <c r="Z82" s="3001" t="s">
        <v>3925</v>
      </c>
      <c r="AA82" s="3022" t="s">
        <v>3926</v>
      </c>
      <c r="AB82" s="3001">
        <f t="shared" si="9"/>
        <v>122</v>
      </c>
      <c r="AC82" s="3001"/>
      <c r="AD82" s="3001"/>
      <c r="AE82" s="3001"/>
      <c r="AF82" s="3001"/>
      <c r="AG82" s="3001">
        <v>122</v>
      </c>
      <c r="AH82" s="3001"/>
      <c r="AI82" s="3001"/>
      <c r="AJ82" s="3001"/>
      <c r="AK82" s="3001"/>
      <c r="AL82" s="2998"/>
    </row>
    <row r="83" spans="1:38" s="3005" customFormat="1" ht="37.5" customHeight="1">
      <c r="A83" s="2998"/>
      <c r="K83" s="2998"/>
      <c r="W83" s="2998"/>
      <c r="X83" s="3120"/>
      <c r="Y83" s="3120" t="s">
        <v>3927</v>
      </c>
      <c r="Z83" s="3001" t="s">
        <v>3928</v>
      </c>
      <c r="AA83" s="3022" t="s">
        <v>3929</v>
      </c>
      <c r="AB83" s="3001">
        <f t="shared" si="9"/>
        <v>3307.8199999999997</v>
      </c>
      <c r="AC83" s="3001">
        <v>3279.66</v>
      </c>
      <c r="AD83" s="3001"/>
      <c r="AE83" s="3001"/>
      <c r="AF83" s="3001"/>
      <c r="AG83" s="3001"/>
      <c r="AH83" s="3001">
        <v>28.16</v>
      </c>
      <c r="AI83" s="3001"/>
      <c r="AJ83" s="3001"/>
      <c r="AK83" s="3001" t="s">
        <v>3930</v>
      </c>
      <c r="AL83" s="2998"/>
    </row>
    <row r="84" spans="1:38" s="3005" customFormat="1" ht="37.5" customHeight="1">
      <c r="A84" s="2998"/>
      <c r="K84" s="2998"/>
      <c r="W84" s="2998"/>
      <c r="X84" s="3120"/>
      <c r="Y84" s="3120"/>
      <c r="Z84" s="3001" t="s">
        <v>3931</v>
      </c>
      <c r="AA84" s="3022" t="s">
        <v>3929</v>
      </c>
      <c r="AB84" s="3001">
        <f t="shared" si="9"/>
        <v>3307.8199999999997</v>
      </c>
      <c r="AC84" s="3001">
        <v>3279.66</v>
      </c>
      <c r="AD84" s="3001"/>
      <c r="AE84" s="3001"/>
      <c r="AF84" s="3001"/>
      <c r="AG84" s="3001"/>
      <c r="AH84" s="3001">
        <v>28.16</v>
      </c>
      <c r="AI84" s="3001"/>
      <c r="AJ84" s="3001"/>
      <c r="AK84" s="3001"/>
      <c r="AL84" s="2998"/>
    </row>
    <row r="85" spans="1:38" s="3005" customFormat="1" ht="37.5" customHeight="1">
      <c r="A85" s="2998"/>
      <c r="K85" s="2998"/>
      <c r="W85" s="2998"/>
      <c r="X85" s="3120"/>
      <c r="Y85" s="3120"/>
      <c r="Z85" s="3001" t="s">
        <v>3932</v>
      </c>
      <c r="AA85" s="3022" t="s">
        <v>3929</v>
      </c>
      <c r="AB85" s="3001">
        <f t="shared" si="9"/>
        <v>4931.99</v>
      </c>
      <c r="AC85" s="3001">
        <v>4927.49</v>
      </c>
      <c r="AD85" s="3001"/>
      <c r="AE85" s="3001"/>
      <c r="AF85" s="3001"/>
      <c r="AG85" s="3001"/>
      <c r="AH85" s="3001">
        <v>4.5</v>
      </c>
      <c r="AI85" s="3001"/>
      <c r="AJ85" s="3001"/>
      <c r="AK85" s="3001" t="s">
        <v>3933</v>
      </c>
      <c r="AL85" s="2998"/>
    </row>
    <row r="86" spans="1:38" s="3005" customFormat="1" ht="37.5" customHeight="1">
      <c r="A86" s="2998"/>
      <c r="K86" s="2998"/>
      <c r="W86" s="2998"/>
      <c r="X86" s="3120"/>
      <c r="Y86" s="3120"/>
      <c r="Z86" s="3001" t="s">
        <v>3934</v>
      </c>
      <c r="AA86" s="3022" t="s">
        <v>3929</v>
      </c>
      <c r="AB86" s="3001">
        <f t="shared" si="9"/>
        <v>3307.8199999999997</v>
      </c>
      <c r="AC86" s="3001">
        <v>3279.66</v>
      </c>
      <c r="AD86" s="3001"/>
      <c r="AE86" s="3001"/>
      <c r="AF86" s="3001"/>
      <c r="AG86" s="3001"/>
      <c r="AH86" s="3001">
        <v>28.16</v>
      </c>
      <c r="AI86" s="3001"/>
      <c r="AJ86" s="3001"/>
      <c r="AK86" s="3001" t="s">
        <v>3935</v>
      </c>
      <c r="AL86" s="2998"/>
    </row>
    <row r="87" spans="1:38" s="3005" customFormat="1" ht="37.5" customHeight="1">
      <c r="A87" s="2998"/>
      <c r="K87" s="2998"/>
      <c r="W87" s="2998"/>
      <c r="X87" s="3120"/>
      <c r="Y87" s="3120"/>
      <c r="Z87" s="3001" t="s">
        <v>3936</v>
      </c>
      <c r="AA87" s="3022" t="s">
        <v>3929</v>
      </c>
      <c r="AB87" s="3001">
        <f t="shared" si="9"/>
        <v>3307.8199999999997</v>
      </c>
      <c r="AC87" s="3001">
        <v>3279.66</v>
      </c>
      <c r="AD87" s="3001"/>
      <c r="AE87" s="3001"/>
      <c r="AF87" s="3001"/>
      <c r="AG87" s="3001"/>
      <c r="AH87" s="3001">
        <v>28.16</v>
      </c>
      <c r="AI87" s="3001"/>
      <c r="AJ87" s="3001"/>
      <c r="AK87" s="3001"/>
      <c r="AL87" s="2998"/>
    </row>
    <row r="88" spans="1:38" s="3005" customFormat="1" ht="37.5" customHeight="1">
      <c r="A88" s="2998"/>
      <c r="K88" s="2998"/>
      <c r="W88" s="2998"/>
      <c r="X88" s="3120"/>
      <c r="Y88" s="3120"/>
      <c r="Z88" s="3001" t="s">
        <v>3937</v>
      </c>
      <c r="AA88" s="3022" t="s">
        <v>3929</v>
      </c>
      <c r="AB88" s="3001">
        <f t="shared" si="9"/>
        <v>3307.8199999999997</v>
      </c>
      <c r="AC88" s="3001">
        <v>3279.66</v>
      </c>
      <c r="AD88" s="3001"/>
      <c r="AE88" s="3001"/>
      <c r="AF88" s="3001"/>
      <c r="AG88" s="3001"/>
      <c r="AH88" s="3001">
        <v>28.16</v>
      </c>
      <c r="AI88" s="3001"/>
      <c r="AJ88" s="3001"/>
      <c r="AK88" s="3001"/>
      <c r="AL88" s="2998"/>
    </row>
    <row r="89" spans="1:38" s="3005" customFormat="1" ht="37.5" customHeight="1">
      <c r="A89" s="2998"/>
      <c r="K89" s="2998"/>
      <c r="W89" s="2998"/>
      <c r="X89" s="3120"/>
      <c r="Y89" s="3120"/>
      <c r="Z89" s="3001" t="s">
        <v>3938</v>
      </c>
      <c r="AA89" s="3022" t="s">
        <v>3929</v>
      </c>
      <c r="AB89" s="3001">
        <f t="shared" si="9"/>
        <v>3307.8199999999997</v>
      </c>
      <c r="AC89" s="3001">
        <v>3279.66</v>
      </c>
      <c r="AD89" s="3001"/>
      <c r="AE89" s="3001"/>
      <c r="AF89" s="3001"/>
      <c r="AG89" s="3001"/>
      <c r="AH89" s="3001">
        <v>28.16</v>
      </c>
      <c r="AI89" s="3001"/>
      <c r="AJ89" s="3001"/>
      <c r="AK89" s="3001"/>
      <c r="AL89" s="2998"/>
    </row>
    <row r="90" spans="1:38" s="3005" customFormat="1" ht="37.5" customHeight="1">
      <c r="A90" s="2998"/>
      <c r="K90" s="2998"/>
      <c r="W90" s="2998"/>
      <c r="X90" s="3120"/>
      <c r="Y90" s="3120"/>
      <c r="Z90" s="3001" t="s">
        <v>3939</v>
      </c>
      <c r="AA90" s="3022" t="s">
        <v>3940</v>
      </c>
      <c r="AB90" s="3001">
        <f t="shared" si="9"/>
        <v>6185.86</v>
      </c>
      <c r="AC90" s="3001">
        <v>6150.66</v>
      </c>
      <c r="AD90" s="3001"/>
      <c r="AE90" s="3001"/>
      <c r="AF90" s="3001"/>
      <c r="AG90" s="3001"/>
      <c r="AH90" s="3001">
        <v>35.200000000000003</v>
      </c>
      <c r="AI90" s="3001"/>
      <c r="AJ90" s="3001"/>
      <c r="AK90" s="3001"/>
      <c r="AL90" s="2998"/>
    </row>
    <row r="91" spans="1:38" s="3005" customFormat="1" ht="37.5" customHeight="1">
      <c r="A91" s="2998"/>
      <c r="K91" s="2998"/>
      <c r="W91" s="2998"/>
      <c r="X91" s="3120"/>
      <c r="Y91" s="3120"/>
      <c r="Z91" s="3001" t="s">
        <v>3941</v>
      </c>
      <c r="AA91" s="3022" t="s">
        <v>3940</v>
      </c>
      <c r="AB91" s="3001">
        <f t="shared" si="9"/>
        <v>6185.86</v>
      </c>
      <c r="AC91" s="3001">
        <v>6150.66</v>
      </c>
      <c r="AD91" s="3001"/>
      <c r="AE91" s="3001"/>
      <c r="AF91" s="3001"/>
      <c r="AG91" s="3001"/>
      <c r="AH91" s="3001">
        <v>35.200000000000003</v>
      </c>
      <c r="AI91" s="3001"/>
      <c r="AJ91" s="3001"/>
      <c r="AK91" s="3001"/>
      <c r="AL91" s="2998"/>
    </row>
    <row r="92" spans="1:38" s="3005" customFormat="1" ht="37.5" customHeight="1">
      <c r="A92" s="2998"/>
      <c r="K92" s="2998"/>
      <c r="W92" s="2998"/>
      <c r="X92" s="3120"/>
      <c r="Y92" s="3120"/>
      <c r="Z92" s="3001" t="s">
        <v>3942</v>
      </c>
      <c r="AA92" s="3022" t="s">
        <v>3943</v>
      </c>
      <c r="AB92" s="3001">
        <f t="shared" si="9"/>
        <v>2008.8</v>
      </c>
      <c r="AC92" s="3001"/>
      <c r="AD92" s="3001"/>
      <c r="AE92" s="3001"/>
      <c r="AF92" s="3001">
        <v>250.8</v>
      </c>
      <c r="AG92" s="3001">
        <v>1753.6</v>
      </c>
      <c r="AH92" s="3001">
        <v>4.4000000000000004</v>
      </c>
      <c r="AI92" s="3001"/>
      <c r="AJ92" s="3001"/>
      <c r="AK92" s="3001"/>
      <c r="AL92" s="2998"/>
    </row>
    <row r="93" spans="1:38" s="3005" customFormat="1" ht="37.5" customHeight="1">
      <c r="A93" s="2998"/>
      <c r="K93" s="2998"/>
      <c r="W93" s="2998"/>
      <c r="X93" s="3120"/>
      <c r="Y93" s="3120"/>
      <c r="Z93" s="3001" t="s">
        <v>3944</v>
      </c>
      <c r="AA93" s="3022" t="s">
        <v>3837</v>
      </c>
      <c r="AB93" s="3001">
        <f t="shared" si="9"/>
        <v>619.08000000000004</v>
      </c>
      <c r="AC93" s="3001"/>
      <c r="AD93" s="3001"/>
      <c r="AE93" s="3001"/>
      <c r="AF93" s="3001"/>
      <c r="AG93" s="3001">
        <v>619.08000000000004</v>
      </c>
      <c r="AH93" s="3001"/>
      <c r="AI93" s="3001"/>
      <c r="AJ93" s="3001"/>
      <c r="AK93" s="3001"/>
      <c r="AL93" s="2998"/>
    </row>
    <row r="94" spans="1:38" s="3005" customFormat="1" ht="37.5" customHeight="1">
      <c r="A94" s="2998"/>
      <c r="K94" s="2998"/>
      <c r="W94" s="2998"/>
      <c r="X94" s="3120"/>
      <c r="Y94" s="3120"/>
      <c r="Z94" s="3001" t="s">
        <v>3945</v>
      </c>
      <c r="AA94" s="3022" t="s">
        <v>3847</v>
      </c>
      <c r="AB94" s="3001">
        <f t="shared" si="9"/>
        <v>23972.67</v>
      </c>
      <c r="AC94" s="3001"/>
      <c r="AD94" s="3001"/>
      <c r="AE94" s="3001"/>
      <c r="AF94" s="3001"/>
      <c r="AG94" s="3001"/>
      <c r="AH94" s="3001"/>
      <c r="AI94" s="3001">
        <v>23972.67</v>
      </c>
      <c r="AJ94" s="3001"/>
      <c r="AK94" s="3001"/>
      <c r="AL94" s="2998"/>
    </row>
    <row r="95" spans="1:38" s="3005" customFormat="1" ht="37.5" customHeight="1">
      <c r="A95" s="2998"/>
      <c r="K95" s="2998"/>
      <c r="W95" s="2998"/>
      <c r="X95" s="3120"/>
      <c r="Y95" s="3120" t="s">
        <v>3946</v>
      </c>
      <c r="Z95" s="3023" t="s">
        <v>3947</v>
      </c>
      <c r="AA95" s="3024" t="s">
        <v>3894</v>
      </c>
      <c r="AB95" s="3023">
        <f t="shared" si="9"/>
        <v>656.98</v>
      </c>
      <c r="AC95" s="3023">
        <v>656.98</v>
      </c>
      <c r="AD95" s="3023"/>
      <c r="AE95" s="3023"/>
      <c r="AF95" s="3023"/>
      <c r="AG95" s="3023"/>
      <c r="AH95" s="3023"/>
      <c r="AI95" s="3023"/>
      <c r="AJ95" s="3023"/>
      <c r="AK95" s="3023" t="s">
        <v>3923</v>
      </c>
      <c r="AL95" s="2998"/>
    </row>
    <row r="96" spans="1:38" s="3005" customFormat="1" ht="37.5" customHeight="1">
      <c r="A96" s="2998"/>
      <c r="K96" s="2998"/>
      <c r="W96" s="2998"/>
      <c r="X96" s="3120"/>
      <c r="Y96" s="3120"/>
      <c r="Z96" s="3023" t="s">
        <v>3948</v>
      </c>
      <c r="AA96" s="3024" t="s">
        <v>3894</v>
      </c>
      <c r="AB96" s="3023">
        <f t="shared" si="9"/>
        <v>1020.32</v>
      </c>
      <c r="AC96" s="3023">
        <v>1020.32</v>
      </c>
      <c r="AD96" s="3023"/>
      <c r="AE96" s="3023"/>
      <c r="AF96" s="3023"/>
      <c r="AG96" s="3023"/>
      <c r="AH96" s="3023"/>
      <c r="AI96" s="3023"/>
      <c r="AJ96" s="3023"/>
      <c r="AK96" s="3023" t="s">
        <v>3914</v>
      </c>
      <c r="AL96" s="2998"/>
    </row>
    <row r="97" spans="1:38" s="3005" customFormat="1" ht="37.5" customHeight="1">
      <c r="A97" s="2998"/>
      <c r="K97" s="2998"/>
      <c r="W97" s="2998"/>
      <c r="X97" s="3120"/>
      <c r="Y97" s="3120"/>
      <c r="Z97" s="3023" t="s">
        <v>3949</v>
      </c>
      <c r="AA97" s="3024" t="s">
        <v>3894</v>
      </c>
      <c r="AB97" s="3023">
        <f t="shared" si="9"/>
        <v>818.96</v>
      </c>
      <c r="AC97" s="3023">
        <v>818.96</v>
      </c>
      <c r="AD97" s="3023"/>
      <c r="AE97" s="3023"/>
      <c r="AF97" s="3023"/>
      <c r="AG97" s="3023"/>
      <c r="AH97" s="3023"/>
      <c r="AI97" s="3023"/>
      <c r="AJ97" s="3023"/>
      <c r="AK97" s="3023" t="s">
        <v>3923</v>
      </c>
      <c r="AL97" s="2998"/>
    </row>
    <row r="98" spans="1:38" s="3005" customFormat="1" ht="37.5" customHeight="1">
      <c r="A98" s="2998"/>
      <c r="K98" s="2998"/>
      <c r="W98" s="2998"/>
      <c r="X98" s="3120"/>
      <c r="Y98" s="3120"/>
      <c r="Z98" s="3023" t="s">
        <v>3950</v>
      </c>
      <c r="AA98" s="3024" t="s">
        <v>3894</v>
      </c>
      <c r="AB98" s="3023">
        <f t="shared" si="9"/>
        <v>833.28</v>
      </c>
      <c r="AC98" s="3023">
        <v>833.28</v>
      </c>
      <c r="AD98" s="3023"/>
      <c r="AE98" s="3023"/>
      <c r="AF98" s="3023"/>
      <c r="AG98" s="3023"/>
      <c r="AH98" s="3023"/>
      <c r="AI98" s="3023"/>
      <c r="AJ98" s="3023"/>
      <c r="AK98" s="3023" t="s">
        <v>3914</v>
      </c>
      <c r="AL98" s="2998"/>
    </row>
    <row r="99" spans="1:38" s="3005" customFormat="1" ht="37.5" customHeight="1">
      <c r="A99" s="2998"/>
      <c r="K99" s="2998"/>
      <c r="W99" s="2998"/>
      <c r="X99" s="3120"/>
      <c r="Y99" s="3120"/>
      <c r="Z99" s="3023" t="s">
        <v>3951</v>
      </c>
      <c r="AA99" s="3024" t="s">
        <v>3894</v>
      </c>
      <c r="AB99" s="3023">
        <f t="shared" si="9"/>
        <v>659.4</v>
      </c>
      <c r="AC99" s="3023">
        <v>659.4</v>
      </c>
      <c r="AD99" s="3023"/>
      <c r="AE99" s="3023"/>
      <c r="AF99" s="3023"/>
      <c r="AG99" s="3023"/>
      <c r="AH99" s="3023"/>
      <c r="AI99" s="3023"/>
      <c r="AJ99" s="3023"/>
      <c r="AK99" s="3023" t="s">
        <v>3914</v>
      </c>
      <c r="AL99" s="2998"/>
    </row>
    <row r="100" spans="1:38" s="3005" customFormat="1" ht="37.5" customHeight="1">
      <c r="A100" s="2998"/>
      <c r="K100" s="2998"/>
      <c r="W100" s="2998"/>
      <c r="X100" s="3120"/>
      <c r="Y100" s="3120"/>
      <c r="Z100" s="3001" t="s">
        <v>3952</v>
      </c>
      <c r="AA100" s="3022" t="s">
        <v>3837</v>
      </c>
      <c r="AB100" s="3001">
        <f t="shared" si="9"/>
        <v>67</v>
      </c>
      <c r="AC100" s="3001"/>
      <c r="AD100" s="3001"/>
      <c r="AE100" s="3001"/>
      <c r="AF100" s="3001"/>
      <c r="AG100" s="3001">
        <v>67</v>
      </c>
      <c r="AH100" s="3001"/>
      <c r="AI100" s="3001"/>
      <c r="AJ100" s="3001"/>
      <c r="AK100" s="3001"/>
      <c r="AL100" s="2998"/>
    </row>
    <row r="101" spans="1:38" s="3005" customFormat="1" ht="37.5" customHeight="1">
      <c r="A101" s="2998"/>
      <c r="K101" s="2998"/>
      <c r="W101" s="2998"/>
      <c r="X101" s="3130"/>
      <c r="Y101" s="3130" t="s">
        <v>3744</v>
      </c>
      <c r="Z101" s="3130"/>
      <c r="AA101" s="3130"/>
      <c r="AB101" s="3025">
        <f>SUM(AB53:AB100)</f>
        <v>100411.26</v>
      </c>
      <c r="AC101" s="3025">
        <f t="shared" ref="AC101:AI101" si="10">SUM(AC53:AC100)</f>
        <v>68349.810000000012</v>
      </c>
      <c r="AD101" s="3025">
        <f t="shared" si="10"/>
        <v>0</v>
      </c>
      <c r="AE101" s="3025">
        <f t="shared" si="10"/>
        <v>683.25</v>
      </c>
      <c r="AF101" s="3025">
        <f t="shared" si="10"/>
        <v>1063.17</v>
      </c>
      <c r="AG101" s="3025">
        <f t="shared" si="10"/>
        <v>4664.38</v>
      </c>
      <c r="AH101" s="3025">
        <f t="shared" si="10"/>
        <v>248.26000000000002</v>
      </c>
      <c r="AI101" s="3025">
        <f t="shared" si="10"/>
        <v>25402.39</v>
      </c>
      <c r="AJ101" s="3025"/>
      <c r="AK101" s="3025"/>
      <c r="AL101" s="2998"/>
    </row>
    <row r="102" spans="1:38" s="3005" customFormat="1" ht="37.5" customHeight="1">
      <c r="A102" s="2998"/>
      <c r="K102" s="2998"/>
      <c r="W102" s="2998"/>
      <c r="X102" s="3001" t="s">
        <v>3953</v>
      </c>
      <c r="Y102" s="3120" t="s">
        <v>3954</v>
      </c>
      <c r="Z102" s="3001" t="s">
        <v>3955</v>
      </c>
      <c r="AA102" s="3022" t="s">
        <v>3956</v>
      </c>
      <c r="AB102" s="3001">
        <f t="shared" si="9"/>
        <v>11522.06</v>
      </c>
      <c r="AC102" s="3001">
        <v>11345.88</v>
      </c>
      <c r="AD102" s="3001"/>
      <c r="AE102" s="3001"/>
      <c r="AF102" s="3001"/>
      <c r="AG102" s="3001">
        <v>64.64</v>
      </c>
      <c r="AH102" s="3001">
        <v>111.54</v>
      </c>
      <c r="AI102" s="3001"/>
      <c r="AJ102" s="3001"/>
      <c r="AK102" s="3001" t="s">
        <v>3957</v>
      </c>
      <c r="AL102" s="2998"/>
    </row>
    <row r="103" spans="1:38" s="3005" customFormat="1" ht="37.5" customHeight="1">
      <c r="A103" s="2998"/>
      <c r="K103" s="2998"/>
      <c r="W103" s="2998"/>
      <c r="X103" s="3120" t="s">
        <v>3958</v>
      </c>
      <c r="Y103" s="3120"/>
      <c r="Z103" s="3001" t="s">
        <v>3959</v>
      </c>
      <c r="AA103" s="3022" t="s">
        <v>3956</v>
      </c>
      <c r="AB103" s="3001">
        <f t="shared" si="9"/>
        <v>12055.48</v>
      </c>
      <c r="AC103" s="3001">
        <v>11933.83</v>
      </c>
      <c r="AD103" s="3001"/>
      <c r="AE103" s="3001"/>
      <c r="AF103" s="3001"/>
      <c r="AG103" s="3001"/>
      <c r="AH103" s="3001">
        <v>121.65</v>
      </c>
      <c r="AI103" s="3001"/>
      <c r="AJ103" s="3001"/>
      <c r="AK103" s="3001" t="s">
        <v>3957</v>
      </c>
      <c r="AL103" s="2998"/>
    </row>
    <row r="104" spans="1:38" s="3005" customFormat="1" ht="37.5" customHeight="1">
      <c r="A104" s="2998"/>
      <c r="K104" s="2998"/>
      <c r="W104" s="2998"/>
      <c r="X104" s="3120"/>
      <c r="Y104" s="3120"/>
      <c r="Z104" s="3001" t="s">
        <v>3960</v>
      </c>
      <c r="AA104" s="3022" t="s">
        <v>3961</v>
      </c>
      <c r="AB104" s="3001">
        <f t="shared" si="9"/>
        <v>15983.06</v>
      </c>
      <c r="AC104" s="3001">
        <v>15785.08</v>
      </c>
      <c r="AD104" s="3001"/>
      <c r="AE104" s="3001"/>
      <c r="AF104" s="3001"/>
      <c r="AG104" s="3001"/>
      <c r="AH104" s="3001">
        <v>197.98</v>
      </c>
      <c r="AI104" s="3001"/>
      <c r="AJ104" s="3001"/>
      <c r="AK104" s="3001" t="s">
        <v>3962</v>
      </c>
      <c r="AL104" s="2998"/>
    </row>
    <row r="105" spans="1:38" s="3005" customFormat="1" ht="37.5" customHeight="1">
      <c r="A105" s="2998"/>
      <c r="K105" s="2998"/>
      <c r="W105" s="2998"/>
      <c r="X105" s="3120"/>
      <c r="Y105" s="3120"/>
      <c r="Z105" s="3001" t="s">
        <v>3963</v>
      </c>
      <c r="AA105" s="3022" t="s">
        <v>3964</v>
      </c>
      <c r="AB105" s="3001">
        <f t="shared" si="9"/>
        <v>17885.87</v>
      </c>
      <c r="AC105" s="3001">
        <v>17721.09</v>
      </c>
      <c r="AD105" s="3001"/>
      <c r="AE105" s="3001"/>
      <c r="AF105" s="3001"/>
      <c r="AG105" s="3001"/>
      <c r="AH105" s="3001">
        <v>164.78</v>
      </c>
      <c r="AI105" s="3001"/>
      <c r="AJ105" s="3001"/>
      <c r="AK105" s="3001" t="s">
        <v>3957</v>
      </c>
      <c r="AL105" s="2998"/>
    </row>
    <row r="106" spans="1:38" s="3005" customFormat="1" ht="37.5" customHeight="1">
      <c r="A106" s="2998"/>
      <c r="K106" s="2998"/>
      <c r="W106" s="2998"/>
      <c r="X106" s="3120" t="s">
        <v>3965</v>
      </c>
      <c r="Y106" s="3120"/>
      <c r="Z106" s="3001" t="s">
        <v>3966</v>
      </c>
      <c r="AA106" s="3022" t="s">
        <v>3964</v>
      </c>
      <c r="AB106" s="3001">
        <f t="shared" si="9"/>
        <v>9894.4</v>
      </c>
      <c r="AC106" s="3001">
        <v>9734.32</v>
      </c>
      <c r="AD106" s="3001"/>
      <c r="AE106" s="3001"/>
      <c r="AF106" s="3001"/>
      <c r="AG106" s="3001"/>
      <c r="AH106" s="3001">
        <v>160.08000000000001</v>
      </c>
      <c r="AI106" s="3001"/>
      <c r="AJ106" s="3001"/>
      <c r="AK106" s="3001" t="s">
        <v>3962</v>
      </c>
      <c r="AL106" s="2998"/>
    </row>
    <row r="107" spans="1:38" s="3005" customFormat="1" ht="37.5" customHeight="1">
      <c r="A107" s="2998"/>
      <c r="K107" s="2998"/>
      <c r="W107" s="2998"/>
      <c r="X107" s="3120"/>
      <c r="Y107" s="3120"/>
      <c r="Z107" s="3001" t="s">
        <v>3967</v>
      </c>
      <c r="AA107" s="3022" t="s">
        <v>3964</v>
      </c>
      <c r="AB107" s="3001">
        <f t="shared" si="9"/>
        <v>9844.91</v>
      </c>
      <c r="AC107" s="3001">
        <v>9758.0300000000007</v>
      </c>
      <c r="AD107" s="3001"/>
      <c r="AE107" s="3001"/>
      <c r="AF107" s="3001"/>
      <c r="AG107" s="3001"/>
      <c r="AH107" s="3001">
        <v>86.88</v>
      </c>
      <c r="AI107" s="3001"/>
      <c r="AJ107" s="3001"/>
      <c r="AK107" s="3001" t="s">
        <v>3962</v>
      </c>
      <c r="AL107" s="2998"/>
    </row>
    <row r="108" spans="1:38" s="3005" customFormat="1" ht="37.5" customHeight="1">
      <c r="A108" s="2998"/>
      <c r="K108" s="2998"/>
      <c r="W108" s="2998"/>
      <c r="X108" s="3120"/>
      <c r="Y108" s="3120"/>
      <c r="Z108" s="3001" t="s">
        <v>3968</v>
      </c>
      <c r="AA108" s="3022" t="s">
        <v>3969</v>
      </c>
      <c r="AB108" s="3001">
        <f t="shared" si="9"/>
        <v>10138.07</v>
      </c>
      <c r="AC108" s="3001">
        <v>9958.2099999999991</v>
      </c>
      <c r="AD108" s="3001"/>
      <c r="AE108" s="3001"/>
      <c r="AF108" s="3001"/>
      <c r="AG108" s="3001"/>
      <c r="AH108" s="3001">
        <v>179.86</v>
      </c>
      <c r="AI108" s="3001"/>
      <c r="AJ108" s="3001"/>
      <c r="AK108" s="3001" t="s">
        <v>3962</v>
      </c>
      <c r="AL108" s="2998"/>
    </row>
    <row r="109" spans="1:38" s="3005" customFormat="1" ht="37.5" customHeight="1">
      <c r="A109" s="2998"/>
      <c r="K109" s="2998"/>
      <c r="W109" s="2998"/>
      <c r="X109" s="3001" t="s">
        <v>3808</v>
      </c>
      <c r="Y109" s="3120"/>
      <c r="Z109" s="3001" t="s">
        <v>3970</v>
      </c>
      <c r="AA109" s="3022" t="s">
        <v>3969</v>
      </c>
      <c r="AB109" s="3001">
        <f t="shared" si="9"/>
        <v>10115.91</v>
      </c>
      <c r="AC109" s="3001">
        <v>9968.39</v>
      </c>
      <c r="AD109" s="3001"/>
      <c r="AE109" s="3001"/>
      <c r="AF109" s="3001"/>
      <c r="AG109" s="3001"/>
      <c r="AH109" s="3001">
        <v>147.52000000000001</v>
      </c>
      <c r="AI109" s="3001"/>
      <c r="AJ109" s="3001"/>
      <c r="AK109" s="3001" t="s">
        <v>3962</v>
      </c>
      <c r="AL109" s="2998"/>
    </row>
    <row r="110" spans="1:38" s="3005" customFormat="1" ht="37.5" customHeight="1">
      <c r="A110" s="2998"/>
      <c r="K110" s="2998"/>
      <c r="W110" s="2998"/>
      <c r="X110" s="3001">
        <v>27812.85</v>
      </c>
      <c r="Y110" s="3120"/>
      <c r="Z110" s="3001" t="s">
        <v>3971</v>
      </c>
      <c r="AA110" s="3022" t="s">
        <v>3969</v>
      </c>
      <c r="AB110" s="3001">
        <f t="shared" si="9"/>
        <v>10115.91</v>
      </c>
      <c r="AC110" s="3001">
        <v>9968.39</v>
      </c>
      <c r="AD110" s="3001"/>
      <c r="AE110" s="3001"/>
      <c r="AF110" s="3001"/>
      <c r="AG110" s="3001"/>
      <c r="AH110" s="3001">
        <v>147.52000000000001</v>
      </c>
      <c r="AI110" s="3001"/>
      <c r="AJ110" s="3001"/>
      <c r="AK110" s="3001" t="s">
        <v>3962</v>
      </c>
      <c r="AL110" s="2998"/>
    </row>
    <row r="111" spans="1:38" s="3005" customFormat="1" ht="37.5" customHeight="1">
      <c r="A111" s="2998"/>
      <c r="K111" s="2998"/>
      <c r="W111" s="2998"/>
      <c r="X111" s="3001" t="s">
        <v>3817</v>
      </c>
      <c r="Y111" s="3120"/>
      <c r="Z111" s="3001" t="s">
        <v>3972</v>
      </c>
      <c r="AA111" s="3022" t="s">
        <v>3837</v>
      </c>
      <c r="AB111" s="3001">
        <f t="shared" si="9"/>
        <v>142.19999999999999</v>
      </c>
      <c r="AC111" s="3001"/>
      <c r="AD111" s="3001"/>
      <c r="AE111" s="3001">
        <v>142.19999999999999</v>
      </c>
      <c r="AF111" s="3001"/>
      <c r="AG111" s="3001"/>
      <c r="AH111" s="3001"/>
      <c r="AI111" s="3001"/>
      <c r="AJ111" s="3001"/>
      <c r="AK111" s="3001"/>
      <c r="AL111" s="2998"/>
    </row>
    <row r="112" spans="1:38" s="3005" customFormat="1" ht="37.5" customHeight="1">
      <c r="A112" s="2998"/>
      <c r="K112" s="2998"/>
      <c r="W112" s="2998"/>
      <c r="X112" s="3001">
        <v>689</v>
      </c>
      <c r="Y112" s="3120"/>
      <c r="Z112" s="3001" t="s">
        <v>3973</v>
      </c>
      <c r="AA112" s="3022" t="s">
        <v>3837</v>
      </c>
      <c r="AB112" s="3001">
        <f t="shared" si="9"/>
        <v>0</v>
      </c>
      <c r="AC112" s="3001"/>
      <c r="AD112" s="3001"/>
      <c r="AE112" s="3001"/>
      <c r="AF112" s="3001"/>
      <c r="AG112" s="3001"/>
      <c r="AH112" s="3001"/>
      <c r="AI112" s="3001"/>
      <c r="AJ112" s="3001" t="s">
        <v>3974</v>
      </c>
      <c r="AK112" s="3001"/>
      <c r="AL112" s="2998"/>
    </row>
    <row r="113" spans="1:38" s="3005" customFormat="1" ht="37.5" customHeight="1">
      <c r="A113" s="2998"/>
      <c r="K113" s="2998"/>
      <c r="W113" s="2998"/>
      <c r="X113" s="3120"/>
      <c r="Y113" s="3120"/>
      <c r="Z113" s="3001" t="s">
        <v>3975</v>
      </c>
      <c r="AA113" s="3022" t="s">
        <v>3837</v>
      </c>
      <c r="AB113" s="3001">
        <f t="shared" si="9"/>
        <v>33</v>
      </c>
      <c r="AC113" s="3001"/>
      <c r="AD113" s="3001"/>
      <c r="AE113" s="3001"/>
      <c r="AF113" s="3001"/>
      <c r="AG113" s="3001">
        <v>33</v>
      </c>
      <c r="AH113" s="3001"/>
      <c r="AI113" s="3001"/>
      <c r="AJ113" s="3001"/>
      <c r="AK113" s="3001"/>
      <c r="AL113" s="2998"/>
    </row>
    <row r="114" spans="1:38" s="3005" customFormat="1" ht="37.5" customHeight="1">
      <c r="A114" s="2998"/>
      <c r="K114" s="2998"/>
      <c r="W114" s="2998"/>
      <c r="X114" s="3120"/>
      <c r="Y114" s="3120"/>
      <c r="Z114" s="3001" t="s">
        <v>3976</v>
      </c>
      <c r="AA114" s="3022" t="s">
        <v>3977</v>
      </c>
      <c r="AB114" s="3001">
        <f t="shared" si="9"/>
        <v>55871</v>
      </c>
      <c r="AC114" s="3001"/>
      <c r="AD114" s="3001"/>
      <c r="AE114" s="3001"/>
      <c r="AF114" s="3001"/>
      <c r="AG114" s="3001"/>
      <c r="AH114" s="3001"/>
      <c r="AI114" s="3001">
        <v>55871</v>
      </c>
      <c r="AJ114" s="3001"/>
      <c r="AK114" s="3001"/>
      <c r="AL114" s="2998"/>
    </row>
    <row r="115" spans="1:38" s="3005" customFormat="1" ht="37.5" customHeight="1">
      <c r="A115" s="2998"/>
      <c r="K115" s="2998"/>
      <c r="W115" s="2998"/>
      <c r="X115" s="3120"/>
      <c r="Y115" s="3120" t="s">
        <v>3744</v>
      </c>
      <c r="Z115" s="3120"/>
      <c r="AA115" s="3120"/>
      <c r="AB115" s="3001">
        <f>SUM(AB102:AB114)</f>
        <v>163601.87</v>
      </c>
      <c r="AC115" s="3001">
        <f t="shared" ref="AC115:AI115" si="11">SUM(AC102:AC114)</f>
        <v>106173.22</v>
      </c>
      <c r="AD115" s="3001">
        <f t="shared" si="11"/>
        <v>0</v>
      </c>
      <c r="AE115" s="3001">
        <f t="shared" si="11"/>
        <v>142.19999999999999</v>
      </c>
      <c r="AF115" s="3001">
        <f t="shared" si="11"/>
        <v>0</v>
      </c>
      <c r="AG115" s="3001">
        <f t="shared" si="11"/>
        <v>97.64</v>
      </c>
      <c r="AH115" s="3001">
        <f t="shared" si="11"/>
        <v>1317.81</v>
      </c>
      <c r="AI115" s="3001">
        <f t="shared" si="11"/>
        <v>55871</v>
      </c>
      <c r="AJ115" s="3001"/>
      <c r="AK115" s="3001"/>
      <c r="AL115" s="2998"/>
    </row>
    <row r="116" spans="1:38" s="3005" customFormat="1" ht="37.5" customHeight="1">
      <c r="A116" s="2998"/>
      <c r="K116" s="2998"/>
      <c r="W116" s="2998"/>
      <c r="X116" s="3130" t="s">
        <v>3744</v>
      </c>
      <c r="Y116" s="3130"/>
      <c r="Z116" s="3130"/>
      <c r="AA116" s="3130"/>
      <c r="AB116" s="3025">
        <f>AB52+AB101+AB115</f>
        <v>391878.29000000004</v>
      </c>
      <c r="AC116" s="3025">
        <f t="shared" ref="AC116:AH116" si="12">AC52+AC101+AC115</f>
        <v>253192.27999999997</v>
      </c>
      <c r="AD116" s="3025">
        <f t="shared" si="12"/>
        <v>0</v>
      </c>
      <c r="AE116" s="3025">
        <f t="shared" si="12"/>
        <v>825.45</v>
      </c>
      <c r="AF116" s="3025">
        <f t="shared" si="12"/>
        <v>1063.17</v>
      </c>
      <c r="AG116" s="3025">
        <f t="shared" si="12"/>
        <v>5526.9100000000008</v>
      </c>
      <c r="AH116" s="3025">
        <f t="shared" si="12"/>
        <v>1566.07</v>
      </c>
      <c r="AI116" s="3025">
        <f>AI52+AI101+AI115</f>
        <v>129704.41</v>
      </c>
      <c r="AJ116" s="3025"/>
      <c r="AK116" s="3025"/>
      <c r="AL116" s="2998"/>
    </row>
    <row r="117" spans="1:38" s="3005" customFormat="1" ht="37.5" customHeight="1">
      <c r="A117" s="2998"/>
      <c r="K117" s="2998"/>
      <c r="W117" s="2998"/>
      <c r="X117" s="3001"/>
      <c r="AA117" s="3009"/>
      <c r="AL117" s="2998"/>
    </row>
    <row r="118" spans="1:38" s="3005" customFormat="1" ht="37.5" customHeight="1">
      <c r="A118" s="2998"/>
      <c r="K118" s="2998"/>
      <c r="W118" s="2998"/>
      <c r="X118" s="3001"/>
      <c r="AA118" s="3009"/>
      <c r="AL118" s="2998"/>
    </row>
    <row r="119" spans="1:38" s="3005" customFormat="1" ht="37.5" customHeight="1">
      <c r="A119" s="2998"/>
      <c r="K119" s="2998"/>
      <c r="W119" s="2998"/>
      <c r="X119" s="3001"/>
      <c r="AA119" s="3009"/>
      <c r="AL119" s="2998"/>
    </row>
    <row r="120" spans="1:38" s="3005" customFormat="1" ht="37.5" customHeight="1">
      <c r="A120" s="2998"/>
      <c r="K120" s="2998"/>
      <c r="W120" s="2998"/>
      <c r="X120" s="3001"/>
      <c r="AA120" s="3009"/>
      <c r="AL120" s="2998"/>
    </row>
    <row r="121" spans="1:38" s="3005" customFormat="1" ht="37.5" customHeight="1">
      <c r="A121" s="2998"/>
      <c r="K121" s="2998"/>
      <c r="W121" s="2998"/>
      <c r="X121" s="3001"/>
      <c r="AA121" s="3009"/>
      <c r="AL121" s="2998"/>
    </row>
    <row r="122" spans="1:38" s="3005" customFormat="1" ht="37.5" customHeight="1">
      <c r="A122" s="2998"/>
      <c r="K122" s="2998"/>
      <c r="W122" s="2998"/>
      <c r="X122" s="3001"/>
      <c r="AA122" s="3009"/>
      <c r="AL122" s="2998"/>
    </row>
    <row r="123" spans="1:38" s="3005" customFormat="1" ht="37.5" customHeight="1">
      <c r="A123" s="2998"/>
      <c r="K123" s="2998"/>
      <c r="W123" s="2998"/>
      <c r="X123" s="3001"/>
      <c r="AA123" s="3009"/>
      <c r="AL123" s="2998"/>
    </row>
    <row r="124" spans="1:38" s="3005" customFormat="1" ht="37.5" customHeight="1">
      <c r="A124" s="2998"/>
      <c r="K124" s="2998"/>
      <c r="W124" s="2998"/>
      <c r="X124" s="3001"/>
      <c r="AA124" s="3009"/>
      <c r="AL124" s="2998"/>
    </row>
    <row r="125" spans="1:38" s="3005" customFormat="1" ht="37.5" customHeight="1">
      <c r="A125" s="2998"/>
      <c r="K125" s="2998"/>
      <c r="W125" s="2998"/>
      <c r="X125" s="3001"/>
      <c r="AA125" s="3009"/>
      <c r="AL125" s="2998"/>
    </row>
    <row r="126" spans="1:38" s="3005" customFormat="1" ht="37.5" customHeight="1">
      <c r="A126" s="2998"/>
      <c r="K126" s="2998"/>
      <c r="W126" s="2998"/>
      <c r="X126" s="3001"/>
      <c r="AA126" s="3009"/>
      <c r="AL126" s="2998"/>
    </row>
    <row r="127" spans="1:38" s="3005" customFormat="1" ht="37.5" customHeight="1">
      <c r="A127" s="2998"/>
      <c r="K127" s="2998"/>
      <c r="W127" s="2998"/>
      <c r="X127" s="3001"/>
      <c r="AA127" s="3009"/>
      <c r="AL127" s="2998"/>
    </row>
    <row r="128" spans="1:38" s="3005" customFormat="1" ht="37.5" customHeight="1">
      <c r="A128" s="2998"/>
      <c r="K128" s="2998"/>
      <c r="W128" s="2998"/>
      <c r="X128" s="3001"/>
      <c r="AA128" s="3009"/>
      <c r="AL128" s="2998"/>
    </row>
    <row r="129" spans="1:38" s="3005" customFormat="1" ht="37.5" customHeight="1">
      <c r="A129" s="2998"/>
      <c r="K129" s="2998"/>
      <c r="W129" s="2998"/>
      <c r="X129" s="3001"/>
      <c r="AA129" s="3009"/>
      <c r="AL129" s="2998"/>
    </row>
    <row r="130" spans="1:38" s="3005" customFormat="1" ht="37.5" customHeight="1">
      <c r="A130" s="2998"/>
      <c r="K130" s="2998"/>
      <c r="W130" s="2998"/>
      <c r="X130" s="3001"/>
      <c r="AA130" s="3009"/>
      <c r="AL130" s="2998"/>
    </row>
    <row r="131" spans="1:38" s="3005" customFormat="1" ht="37.5" customHeight="1">
      <c r="A131" s="2998"/>
      <c r="K131" s="2998"/>
      <c r="W131" s="2998"/>
      <c r="X131" s="3001"/>
      <c r="AA131" s="3009"/>
      <c r="AL131" s="2998"/>
    </row>
    <row r="132" spans="1:38" s="3005" customFormat="1" ht="37.5" customHeight="1">
      <c r="A132" s="2998"/>
      <c r="K132" s="2998"/>
      <c r="W132" s="2998"/>
      <c r="X132" s="3001"/>
      <c r="AA132" s="3009"/>
      <c r="AL132" s="2998"/>
    </row>
    <row r="133" spans="1:38" s="3005" customFormat="1" ht="37.5" customHeight="1">
      <c r="A133" s="2998"/>
      <c r="K133" s="2998"/>
      <c r="W133" s="2998"/>
      <c r="X133" s="3001"/>
      <c r="AA133" s="3009"/>
      <c r="AL133" s="2998"/>
    </row>
    <row r="134" spans="1:38" s="3005" customFormat="1" ht="37.5" customHeight="1">
      <c r="A134" s="2998"/>
      <c r="K134" s="2998"/>
      <c r="W134" s="2998"/>
      <c r="X134" s="3001"/>
      <c r="AA134" s="3009"/>
      <c r="AL134" s="2998"/>
    </row>
    <row r="135" spans="1:38" s="3005" customFormat="1" ht="37.5" customHeight="1">
      <c r="A135" s="2998"/>
      <c r="K135" s="2998"/>
      <c r="W135" s="2998"/>
      <c r="X135" s="3001"/>
      <c r="AA135" s="3009"/>
      <c r="AL135" s="2998"/>
    </row>
    <row r="136" spans="1:38" s="3005" customFormat="1" ht="37.5" customHeight="1">
      <c r="A136" s="2998"/>
      <c r="K136" s="2998"/>
      <c r="W136" s="2998"/>
      <c r="X136" s="3001"/>
      <c r="AA136" s="3009"/>
      <c r="AL136" s="2998"/>
    </row>
    <row r="137" spans="1:38" s="3005" customFormat="1" ht="37.5" customHeight="1">
      <c r="A137" s="2998"/>
      <c r="K137" s="2998"/>
      <c r="W137" s="2998"/>
      <c r="X137" s="3001"/>
      <c r="AA137" s="3009"/>
      <c r="AL137" s="2998"/>
    </row>
    <row r="138" spans="1:38" s="3005" customFormat="1" ht="37.5" customHeight="1">
      <c r="A138" s="2998"/>
      <c r="K138" s="2998"/>
      <c r="W138" s="2998"/>
      <c r="X138" s="3001"/>
      <c r="AA138" s="3009"/>
      <c r="AL138" s="2998"/>
    </row>
    <row r="139" spans="1:38" s="3005" customFormat="1" ht="37.5" customHeight="1">
      <c r="A139" s="2998"/>
      <c r="K139" s="2998"/>
      <c r="W139" s="2998"/>
      <c r="X139" s="3001"/>
      <c r="AA139" s="3009"/>
      <c r="AL139" s="2998"/>
    </row>
    <row r="140" spans="1:38" s="3005" customFormat="1" ht="37.5" customHeight="1">
      <c r="A140" s="2998"/>
      <c r="K140" s="2998"/>
      <c r="W140" s="2998"/>
      <c r="X140" s="3001"/>
      <c r="AA140" s="3009"/>
      <c r="AL140" s="2998"/>
    </row>
    <row r="141" spans="1:38" s="3005" customFormat="1" ht="37.5" customHeight="1">
      <c r="A141" s="2998"/>
      <c r="K141" s="2998"/>
      <c r="W141" s="2998"/>
      <c r="X141" s="3001"/>
      <c r="AA141" s="3009"/>
      <c r="AL141" s="2998"/>
    </row>
    <row r="142" spans="1:38" s="3005" customFormat="1" ht="37.5" customHeight="1">
      <c r="A142" s="2998"/>
      <c r="K142" s="2998"/>
      <c r="W142" s="2998"/>
      <c r="X142" s="3001"/>
      <c r="AA142" s="3009"/>
      <c r="AL142" s="2998"/>
    </row>
    <row r="143" spans="1:38" s="3005" customFormat="1" ht="37.5" customHeight="1">
      <c r="A143" s="2998"/>
      <c r="K143" s="2998"/>
      <c r="W143" s="2998"/>
      <c r="X143" s="3001"/>
      <c r="AA143" s="3009"/>
      <c r="AL143" s="2998"/>
    </row>
    <row r="144" spans="1:38" s="3005" customFormat="1" ht="37.5" customHeight="1">
      <c r="A144" s="2998"/>
      <c r="K144" s="2998"/>
      <c r="W144" s="2998"/>
      <c r="X144" s="3001"/>
      <c r="AA144" s="3009"/>
      <c r="AL144" s="2998"/>
    </row>
    <row r="145" spans="1:38" s="3005" customFormat="1" ht="37.5" customHeight="1">
      <c r="A145" s="2998"/>
      <c r="K145" s="2998"/>
      <c r="W145" s="2998"/>
      <c r="X145" s="3001"/>
      <c r="AA145" s="3009"/>
      <c r="AL145" s="2998"/>
    </row>
    <row r="146" spans="1:38" s="3005" customFormat="1" ht="37.5" customHeight="1">
      <c r="A146" s="2998"/>
      <c r="K146" s="2998"/>
      <c r="W146" s="2998"/>
      <c r="X146" s="2997"/>
      <c r="Y146" s="2998"/>
      <c r="Z146" s="2998"/>
      <c r="AA146" s="2999"/>
      <c r="AB146" s="2998"/>
      <c r="AC146" s="2998"/>
      <c r="AD146" s="2998"/>
      <c r="AE146" s="2998"/>
      <c r="AF146" s="2998"/>
      <c r="AG146" s="2998"/>
      <c r="AH146" s="2998"/>
      <c r="AI146" s="2998"/>
      <c r="AJ146" s="2998"/>
      <c r="AK146" s="2998"/>
      <c r="AL146" s="2998"/>
    </row>
    <row r="147" spans="1:38" s="3005" customFormat="1" ht="37.5" customHeight="1">
      <c r="A147" s="2998"/>
      <c r="K147" s="2998"/>
      <c r="W147" s="2998"/>
      <c r="X147" s="3001"/>
      <c r="AA147" s="3009"/>
      <c r="AL147" s="2998"/>
    </row>
    <row r="148" spans="1:38" s="3005" customFormat="1" ht="37.5" customHeight="1">
      <c r="A148" s="2998"/>
      <c r="K148" s="2998"/>
      <c r="W148" s="2998"/>
      <c r="X148" s="3001"/>
      <c r="AA148" s="3009"/>
      <c r="AL148" s="2998"/>
    </row>
    <row r="149" spans="1:38" s="3005" customFormat="1" ht="37.5" customHeight="1">
      <c r="A149" s="2998"/>
      <c r="K149" s="2998"/>
      <c r="W149" s="2998"/>
      <c r="X149" s="3001"/>
      <c r="AA149" s="3009"/>
      <c r="AL149" s="2998"/>
    </row>
    <row r="150" spans="1:38" s="3005" customFormat="1" ht="37.5" customHeight="1">
      <c r="A150" s="2998"/>
      <c r="K150" s="2998"/>
      <c r="W150" s="2998"/>
      <c r="X150" s="3001"/>
      <c r="AA150" s="3009"/>
      <c r="AL150" s="2998"/>
    </row>
    <row r="151" spans="1:38" s="3005" customFormat="1" ht="37.5" customHeight="1">
      <c r="A151" s="2998"/>
      <c r="K151" s="2998"/>
      <c r="W151" s="2998"/>
      <c r="X151" s="3001"/>
      <c r="AA151" s="3009"/>
      <c r="AL151" s="2998"/>
    </row>
    <row r="152" spans="1:38" s="3005" customFormat="1" ht="37.5" customHeight="1">
      <c r="A152" s="2998"/>
      <c r="K152" s="2998"/>
      <c r="W152" s="2998"/>
      <c r="X152" s="3001"/>
      <c r="AA152" s="3009"/>
      <c r="AL152" s="2998"/>
    </row>
    <row r="153" spans="1:38" s="3005" customFormat="1" ht="37.5" customHeight="1">
      <c r="A153" s="2998"/>
      <c r="K153" s="2998"/>
      <c r="W153" s="2998"/>
      <c r="X153" s="3001"/>
      <c r="AA153" s="3009"/>
      <c r="AL153" s="2998"/>
    </row>
    <row r="154" spans="1:38" s="3005" customFormat="1" ht="37.5" customHeight="1">
      <c r="A154" s="2998"/>
      <c r="K154" s="2998"/>
      <c r="W154" s="2998"/>
      <c r="X154" s="3001"/>
      <c r="AA154" s="3009"/>
      <c r="AL154" s="2998"/>
    </row>
    <row r="155" spans="1:38" s="3005" customFormat="1" ht="37.5" customHeight="1">
      <c r="A155" s="2998"/>
      <c r="K155" s="2998"/>
      <c r="W155" s="2998"/>
      <c r="X155" s="3001"/>
      <c r="AA155" s="3009"/>
      <c r="AL155" s="2998"/>
    </row>
    <row r="156" spans="1:38" s="3005" customFormat="1" ht="37.5" customHeight="1">
      <c r="A156" s="2998"/>
      <c r="K156" s="2998"/>
      <c r="W156" s="2998"/>
      <c r="X156" s="3001"/>
      <c r="AA156" s="3009"/>
      <c r="AL156" s="2998"/>
    </row>
    <row r="157" spans="1:38" s="3005" customFormat="1" ht="37.5" customHeight="1">
      <c r="A157" s="2998"/>
      <c r="K157" s="2998"/>
      <c r="W157" s="2998"/>
      <c r="X157" s="3001"/>
      <c r="AA157" s="3009"/>
      <c r="AL157" s="2998"/>
    </row>
    <row r="158" spans="1:38" s="3005" customFormat="1" ht="37.5" customHeight="1">
      <c r="A158" s="2998"/>
      <c r="K158" s="2998"/>
      <c r="W158" s="2998"/>
      <c r="X158" s="3001"/>
      <c r="AA158" s="3009"/>
      <c r="AL158" s="2998"/>
    </row>
    <row r="159" spans="1:38" s="3005" customFormat="1" ht="37.5" customHeight="1">
      <c r="A159" s="2998"/>
      <c r="K159" s="2998"/>
      <c r="W159" s="2998"/>
      <c r="X159" s="3001"/>
      <c r="AA159" s="3009"/>
      <c r="AL159" s="2998"/>
    </row>
    <row r="160" spans="1:38" s="3005" customFormat="1" ht="37.5" customHeight="1">
      <c r="A160" s="2998"/>
      <c r="K160" s="2998"/>
      <c r="W160" s="2998"/>
      <c r="X160" s="3001"/>
      <c r="AA160" s="3009"/>
      <c r="AL160" s="2998"/>
    </row>
    <row r="161" spans="1:38" s="3005" customFormat="1" ht="37.5" customHeight="1">
      <c r="A161" s="2998"/>
      <c r="K161" s="2998"/>
      <c r="W161" s="2998"/>
      <c r="X161" s="3001"/>
      <c r="AA161" s="3009"/>
      <c r="AL161" s="2998"/>
    </row>
    <row r="162" spans="1:38" s="3005" customFormat="1" ht="37.5" customHeight="1">
      <c r="A162" s="2998"/>
      <c r="K162" s="2998"/>
      <c r="W162" s="2998"/>
      <c r="X162" s="3001"/>
      <c r="AA162" s="3009"/>
      <c r="AL162" s="2998"/>
    </row>
    <row r="163" spans="1:38" s="3005" customFormat="1" ht="37.5" customHeight="1">
      <c r="A163" s="2998"/>
      <c r="K163" s="2998"/>
      <c r="W163" s="2998"/>
      <c r="X163" s="3001"/>
      <c r="AA163" s="3009"/>
      <c r="AL163" s="2998"/>
    </row>
    <row r="164" spans="1:38" s="3005" customFormat="1" ht="37.5" customHeight="1">
      <c r="A164" s="2998"/>
      <c r="K164" s="2998"/>
      <c r="W164" s="2998"/>
      <c r="X164" s="3001"/>
      <c r="AA164" s="3009"/>
      <c r="AL164" s="2998"/>
    </row>
    <row r="165" spans="1:38" s="3005" customFormat="1" ht="37.5" customHeight="1">
      <c r="A165" s="2998"/>
      <c r="K165" s="2998"/>
      <c r="W165" s="2998"/>
      <c r="X165" s="3001"/>
      <c r="AA165" s="3009"/>
      <c r="AL165" s="2998"/>
    </row>
    <row r="166" spans="1:38" s="3005" customFormat="1" ht="37.5" customHeight="1">
      <c r="A166" s="2998"/>
      <c r="K166" s="2998"/>
      <c r="W166" s="2998"/>
      <c r="X166" s="3001"/>
      <c r="AA166" s="3009"/>
      <c r="AL166" s="2998"/>
    </row>
    <row r="167" spans="1:38" s="3005" customFormat="1" ht="37.5" customHeight="1">
      <c r="A167" s="2998"/>
      <c r="K167" s="2998"/>
      <c r="W167" s="2998"/>
      <c r="X167" s="3001"/>
      <c r="AA167" s="3009"/>
      <c r="AL167" s="2998"/>
    </row>
    <row r="168" spans="1:38" s="3005" customFormat="1" ht="37.5" customHeight="1">
      <c r="A168" s="2998"/>
      <c r="K168" s="2998"/>
      <c r="W168" s="2998"/>
      <c r="X168" s="3001"/>
      <c r="AA168" s="3009"/>
      <c r="AL168" s="2998"/>
    </row>
    <row r="169" spans="1:38" s="3005" customFormat="1" ht="37.5" customHeight="1">
      <c r="A169" s="2998"/>
      <c r="K169" s="2998"/>
      <c r="W169" s="2998"/>
      <c r="X169" s="3001"/>
      <c r="AA169" s="3009"/>
      <c r="AL169" s="2998"/>
    </row>
    <row r="170" spans="1:38" s="3005" customFormat="1" ht="37.5" customHeight="1">
      <c r="A170" s="2998"/>
      <c r="K170" s="2998"/>
      <c r="W170" s="2998"/>
      <c r="X170" s="3001"/>
      <c r="AA170" s="3009"/>
      <c r="AL170" s="2998"/>
    </row>
    <row r="171" spans="1:38" s="3005" customFormat="1" ht="37.5" customHeight="1">
      <c r="A171" s="2998"/>
      <c r="K171" s="2998"/>
      <c r="W171" s="2998"/>
      <c r="X171" s="3001"/>
      <c r="AA171" s="3009"/>
      <c r="AL171" s="2998"/>
    </row>
    <row r="172" spans="1:38" s="3005" customFormat="1" ht="37.5" customHeight="1">
      <c r="A172" s="2998"/>
      <c r="K172" s="2998"/>
      <c r="W172" s="2998"/>
      <c r="X172" s="3001"/>
      <c r="AA172" s="3009"/>
      <c r="AL172" s="2998"/>
    </row>
    <row r="173" spans="1:38" s="3005" customFormat="1" ht="37.5" customHeight="1">
      <c r="A173" s="2998"/>
      <c r="K173" s="2998"/>
      <c r="W173" s="2998"/>
      <c r="X173" s="3001"/>
      <c r="AA173" s="3009"/>
      <c r="AL173" s="2998"/>
    </row>
    <row r="174" spans="1:38" s="3005" customFormat="1" ht="37.5" customHeight="1">
      <c r="A174" s="2998"/>
      <c r="K174" s="2998"/>
      <c r="W174" s="2998"/>
      <c r="X174" s="3001"/>
      <c r="AA174" s="3009"/>
      <c r="AL174" s="2998"/>
    </row>
    <row r="175" spans="1:38" s="3005" customFormat="1" ht="37.5" customHeight="1">
      <c r="A175" s="2998"/>
      <c r="K175" s="2998"/>
      <c r="W175" s="2998"/>
      <c r="X175" s="3001"/>
      <c r="AA175" s="3009"/>
      <c r="AL175" s="2998"/>
    </row>
    <row r="176" spans="1:38" s="3005" customFormat="1" ht="37.5" customHeight="1">
      <c r="A176" s="2998"/>
      <c r="K176" s="2998"/>
      <c r="W176" s="2998"/>
      <c r="X176" s="3001"/>
      <c r="AA176" s="3009"/>
      <c r="AL176" s="2998"/>
    </row>
    <row r="177" spans="1:38" s="3005" customFormat="1" ht="37.5" customHeight="1">
      <c r="A177" s="2998"/>
      <c r="K177" s="2998"/>
      <c r="W177" s="2998"/>
      <c r="X177" s="3001"/>
      <c r="AA177" s="3009"/>
      <c r="AL177" s="2998"/>
    </row>
    <row r="178" spans="1:38" s="3005" customFormat="1" ht="37.5" customHeight="1">
      <c r="A178" s="2998"/>
      <c r="K178" s="2998"/>
      <c r="W178" s="2998"/>
      <c r="X178" s="3001"/>
      <c r="AA178" s="3009"/>
      <c r="AL178" s="2998"/>
    </row>
    <row r="179" spans="1:38" s="3005" customFormat="1" ht="37.5" customHeight="1">
      <c r="A179" s="2998"/>
      <c r="K179" s="2998"/>
      <c r="W179" s="2998"/>
      <c r="X179" s="3001"/>
      <c r="AA179" s="3009"/>
      <c r="AL179" s="2998"/>
    </row>
    <row r="180" spans="1:38" s="3005" customFormat="1" ht="37.5" customHeight="1">
      <c r="A180" s="2998"/>
      <c r="K180" s="2998"/>
      <c r="W180" s="2998"/>
      <c r="X180" s="3001"/>
      <c r="AA180" s="3009"/>
      <c r="AL180" s="2998"/>
    </row>
    <row r="181" spans="1:38" s="3005" customFormat="1" ht="37.5" customHeight="1">
      <c r="A181" s="2998"/>
      <c r="K181" s="2998"/>
      <c r="W181" s="2998"/>
      <c r="X181" s="3001"/>
      <c r="AA181" s="3009"/>
      <c r="AL181" s="2998"/>
    </row>
    <row r="182" spans="1:38" s="3005" customFormat="1" ht="37.5" customHeight="1">
      <c r="A182" s="2998"/>
      <c r="K182" s="2998"/>
      <c r="W182" s="2998"/>
      <c r="X182" s="3001"/>
      <c r="AA182" s="3009"/>
      <c r="AL182" s="2998"/>
    </row>
    <row r="183" spans="1:38" s="3005" customFormat="1" ht="37.5" customHeight="1">
      <c r="A183" s="2998"/>
      <c r="K183" s="2998"/>
      <c r="W183" s="2998"/>
      <c r="X183" s="3001"/>
      <c r="AA183" s="3009"/>
      <c r="AL183" s="2998"/>
    </row>
    <row r="184" spans="1:38" s="3005" customFormat="1" ht="37.5" customHeight="1">
      <c r="A184" s="2998"/>
      <c r="K184" s="2998"/>
      <c r="W184" s="2998"/>
      <c r="X184" s="3001"/>
      <c r="AA184" s="3009"/>
      <c r="AL184" s="2998"/>
    </row>
    <row r="185" spans="1:38" s="3005" customFormat="1" ht="37.5" customHeight="1">
      <c r="A185" s="2998"/>
      <c r="K185" s="2998"/>
      <c r="W185" s="2998"/>
      <c r="X185" s="3001"/>
      <c r="AA185" s="3009"/>
      <c r="AL185" s="2998"/>
    </row>
    <row r="186" spans="1:38" s="3005" customFormat="1" ht="37.5" customHeight="1">
      <c r="A186" s="2998"/>
      <c r="K186" s="2998"/>
      <c r="W186" s="2998"/>
      <c r="X186" s="3001"/>
      <c r="AA186" s="3009"/>
      <c r="AL186" s="2998"/>
    </row>
    <row r="187" spans="1:38" s="3005" customFormat="1" ht="37.5" customHeight="1">
      <c r="A187" s="2998"/>
      <c r="K187" s="2998"/>
      <c r="W187" s="2998"/>
      <c r="X187" s="3001"/>
      <c r="AA187" s="3009"/>
      <c r="AL187" s="2998"/>
    </row>
    <row r="188" spans="1:38" s="3005" customFormat="1" ht="37.5" customHeight="1">
      <c r="A188" s="2998"/>
      <c r="K188" s="2998"/>
      <c r="W188" s="2998"/>
      <c r="X188" s="3001"/>
      <c r="AA188" s="3009"/>
      <c r="AL188" s="2998"/>
    </row>
    <row r="189" spans="1:38" s="3005" customFormat="1" ht="37.5" customHeight="1">
      <c r="A189" s="2998"/>
      <c r="K189" s="2998"/>
      <c r="W189" s="2998"/>
      <c r="X189" s="3001"/>
      <c r="AA189" s="3009"/>
      <c r="AL189" s="2998"/>
    </row>
    <row r="190" spans="1:38" s="3005" customFormat="1" ht="37.5" customHeight="1">
      <c r="A190" s="2998"/>
      <c r="K190" s="2998"/>
      <c r="W190" s="2998"/>
      <c r="X190" s="3001"/>
      <c r="AA190" s="3009"/>
      <c r="AL190" s="2998"/>
    </row>
    <row r="191" spans="1:38" s="3005" customFormat="1" ht="37.5" customHeight="1">
      <c r="A191" s="2998"/>
      <c r="K191" s="2998"/>
      <c r="W191" s="2998"/>
      <c r="X191" s="3001"/>
      <c r="AA191" s="3009"/>
      <c r="AL191" s="2998"/>
    </row>
    <row r="192" spans="1:38" s="3005" customFormat="1" ht="37.5" customHeight="1">
      <c r="A192" s="2998"/>
      <c r="K192" s="2998"/>
      <c r="W192" s="2998"/>
      <c r="X192" s="3001"/>
      <c r="AA192" s="3009"/>
      <c r="AL192" s="2998"/>
    </row>
    <row r="193" spans="1:38" s="3005" customFormat="1" ht="37.5" customHeight="1">
      <c r="A193" s="2998"/>
      <c r="K193" s="2998"/>
      <c r="W193" s="2998"/>
      <c r="X193" s="3001"/>
      <c r="AA193" s="3009"/>
      <c r="AL193" s="2998"/>
    </row>
    <row r="194" spans="1:38" s="3005" customFormat="1" ht="37.5" customHeight="1">
      <c r="A194" s="2998"/>
      <c r="K194" s="2998"/>
      <c r="W194" s="2998"/>
      <c r="X194" s="3001"/>
      <c r="AA194" s="3009"/>
      <c r="AL194" s="2998"/>
    </row>
    <row r="195" spans="1:38" s="3005" customFormat="1" ht="37.5" customHeight="1">
      <c r="A195" s="2998"/>
      <c r="K195" s="2998"/>
      <c r="W195" s="2998"/>
      <c r="X195" s="3001"/>
      <c r="AA195" s="3009"/>
      <c r="AL195" s="2998"/>
    </row>
    <row r="196" spans="1:38" s="3005" customFormat="1" ht="37.5" customHeight="1">
      <c r="A196" s="2998"/>
      <c r="K196" s="2998"/>
      <c r="W196" s="2998"/>
      <c r="X196" s="3001"/>
      <c r="AA196" s="3009"/>
      <c r="AL196" s="2998"/>
    </row>
    <row r="197" spans="1:38" s="3005" customFormat="1" ht="37.5" customHeight="1">
      <c r="A197" s="2998"/>
      <c r="K197" s="2998"/>
      <c r="W197" s="2998"/>
      <c r="X197" s="3001"/>
      <c r="AA197" s="3009"/>
      <c r="AL197" s="2998"/>
    </row>
    <row r="198" spans="1:38" s="3005" customFormat="1" ht="37.5" customHeight="1">
      <c r="A198" s="2998"/>
      <c r="K198" s="2998"/>
      <c r="W198" s="2998"/>
      <c r="X198" s="3001"/>
      <c r="AA198" s="3009"/>
      <c r="AL198" s="2998"/>
    </row>
    <row r="199" spans="1:38" s="3005" customFormat="1" ht="37.5" customHeight="1">
      <c r="A199" s="2998"/>
      <c r="K199" s="2998"/>
      <c r="W199" s="2998"/>
      <c r="X199" s="3001"/>
      <c r="AA199" s="3009"/>
      <c r="AL199" s="2998"/>
    </row>
    <row r="200" spans="1:38" s="3005" customFormat="1" ht="37.5" customHeight="1">
      <c r="A200" s="2998"/>
      <c r="K200" s="2998"/>
      <c r="W200" s="2998"/>
      <c r="X200" s="3001"/>
      <c r="AA200" s="3009"/>
      <c r="AL200" s="2998"/>
    </row>
    <row r="201" spans="1:38" s="3005" customFormat="1" ht="37.5" customHeight="1">
      <c r="A201" s="2998"/>
      <c r="K201" s="2998"/>
      <c r="W201" s="2998"/>
      <c r="X201" s="3001"/>
      <c r="AA201" s="3009"/>
      <c r="AL201" s="2998"/>
    </row>
    <row r="202" spans="1:38" s="3005" customFormat="1" ht="37.5" customHeight="1">
      <c r="A202" s="2998"/>
      <c r="K202" s="2998"/>
      <c r="W202" s="2998"/>
      <c r="X202" s="3001"/>
      <c r="AA202" s="3009"/>
      <c r="AL202" s="2998"/>
    </row>
    <row r="203" spans="1:38" s="3005" customFormat="1" ht="37.5" customHeight="1">
      <c r="A203" s="2998"/>
      <c r="K203" s="2998"/>
      <c r="W203" s="2998"/>
      <c r="X203" s="3001"/>
      <c r="AA203" s="3009"/>
      <c r="AL203" s="2998"/>
    </row>
    <row r="204" spans="1:38" s="3005" customFormat="1" ht="37.5" customHeight="1">
      <c r="A204" s="2998"/>
      <c r="K204" s="2998"/>
      <c r="W204" s="2998"/>
      <c r="X204" s="3001"/>
      <c r="AA204" s="3009"/>
      <c r="AL204" s="2998"/>
    </row>
    <row r="205" spans="1:38" s="3005" customFormat="1" ht="37.5" customHeight="1">
      <c r="A205" s="2998"/>
      <c r="K205" s="2998"/>
      <c r="W205" s="2998"/>
      <c r="X205" s="3001"/>
      <c r="AA205" s="3009"/>
      <c r="AL205" s="2998"/>
    </row>
    <row r="206" spans="1:38" s="3005" customFormat="1" ht="37.5" customHeight="1">
      <c r="A206" s="2998"/>
      <c r="K206" s="2998"/>
      <c r="W206" s="2998"/>
      <c r="X206" s="3001"/>
      <c r="AA206" s="3009"/>
      <c r="AL206" s="2998"/>
    </row>
    <row r="207" spans="1:38" s="3005" customFormat="1" ht="37.5" customHeight="1">
      <c r="A207" s="2998"/>
      <c r="K207" s="2998"/>
      <c r="W207" s="2998"/>
      <c r="X207" s="3001"/>
      <c r="AA207" s="3009"/>
      <c r="AL207" s="2998"/>
    </row>
    <row r="208" spans="1:38" s="3005" customFormat="1" ht="37.5" customHeight="1">
      <c r="A208" s="2998"/>
      <c r="K208" s="2998"/>
      <c r="W208" s="2998"/>
      <c r="X208" s="3001"/>
      <c r="AA208" s="3009"/>
      <c r="AL208" s="2998"/>
    </row>
    <row r="209" spans="1:38" s="3005" customFormat="1" ht="37.5" customHeight="1">
      <c r="A209" s="2998"/>
      <c r="K209" s="2998"/>
      <c r="W209" s="2998"/>
      <c r="X209" s="3001"/>
      <c r="AA209" s="3009"/>
      <c r="AL209" s="2998"/>
    </row>
    <row r="210" spans="1:38" s="3005" customFormat="1" ht="37.5" customHeight="1">
      <c r="A210" s="2998"/>
      <c r="K210" s="2998"/>
      <c r="W210" s="2998"/>
      <c r="X210" s="3001"/>
      <c r="AA210" s="3009"/>
      <c r="AL210" s="2998"/>
    </row>
    <row r="211" spans="1:38" s="3005" customFormat="1" ht="37.5" customHeight="1">
      <c r="A211" s="2998"/>
      <c r="K211" s="2998"/>
      <c r="W211" s="2998"/>
      <c r="X211" s="3001"/>
      <c r="AA211" s="3009"/>
      <c r="AL211" s="2998"/>
    </row>
    <row r="212" spans="1:38" s="3005" customFormat="1" ht="37.5" customHeight="1">
      <c r="A212" s="2998"/>
      <c r="K212" s="2998"/>
      <c r="W212" s="2998"/>
      <c r="X212" s="3001"/>
      <c r="AA212" s="3009"/>
      <c r="AL212" s="2998"/>
    </row>
    <row r="213" spans="1:38" s="3005" customFormat="1" ht="37.5" customHeight="1">
      <c r="A213" s="2998"/>
      <c r="K213" s="2998"/>
      <c r="W213" s="2998"/>
      <c r="X213" s="3001"/>
      <c r="AA213" s="3009"/>
      <c r="AL213" s="2998"/>
    </row>
    <row r="214" spans="1:38" s="3005" customFormat="1" ht="37.5" customHeight="1">
      <c r="A214" s="2998"/>
      <c r="K214" s="2998"/>
      <c r="W214" s="2998"/>
      <c r="X214" s="3001"/>
      <c r="AA214" s="3009"/>
      <c r="AL214" s="2998"/>
    </row>
    <row r="215" spans="1:38" s="3005" customFormat="1" ht="37.5" customHeight="1">
      <c r="A215" s="2998"/>
      <c r="K215" s="2998"/>
      <c r="W215" s="2998"/>
      <c r="X215" s="3001"/>
      <c r="AA215" s="3009"/>
      <c r="AL215" s="2998"/>
    </row>
    <row r="216" spans="1:38" s="3005" customFormat="1" ht="37.5" customHeight="1">
      <c r="A216" s="2998"/>
      <c r="K216" s="2998"/>
      <c r="W216" s="2998"/>
      <c r="X216" s="3001"/>
      <c r="AA216" s="3009"/>
      <c r="AL216" s="2998"/>
    </row>
    <row r="217" spans="1:38" s="3005" customFormat="1" ht="37.5" customHeight="1">
      <c r="A217" s="2998"/>
      <c r="K217" s="2998"/>
      <c r="W217" s="2998"/>
      <c r="X217" s="3001"/>
      <c r="AA217" s="3009"/>
      <c r="AL217" s="2998"/>
    </row>
    <row r="218" spans="1:38" s="3005" customFormat="1" ht="37.5" customHeight="1">
      <c r="A218" s="2998"/>
      <c r="K218" s="2998"/>
      <c r="W218" s="2998"/>
      <c r="X218" s="3001"/>
      <c r="AA218" s="3009"/>
      <c r="AL218" s="2998"/>
    </row>
    <row r="219" spans="1:38" s="3005" customFormat="1" ht="37.5" customHeight="1">
      <c r="A219" s="2998"/>
      <c r="K219" s="2998"/>
      <c r="W219" s="2998"/>
      <c r="X219" s="3001"/>
      <c r="AA219" s="3009"/>
      <c r="AL219" s="2998"/>
    </row>
    <row r="220" spans="1:38" s="3005" customFormat="1" ht="37.5" customHeight="1">
      <c r="A220" s="2998"/>
      <c r="K220" s="2998"/>
      <c r="W220" s="2998"/>
      <c r="X220" s="3001"/>
      <c r="AA220" s="3009"/>
      <c r="AL220" s="2998"/>
    </row>
    <row r="221" spans="1:38" s="3005" customFormat="1" ht="37.5" customHeight="1">
      <c r="A221" s="2998"/>
      <c r="K221" s="2998"/>
      <c r="W221" s="2998"/>
      <c r="X221" s="3001"/>
      <c r="AA221" s="3009"/>
      <c r="AL221" s="2998"/>
    </row>
    <row r="222" spans="1:38" s="3005" customFormat="1" ht="37.5" customHeight="1">
      <c r="A222" s="2998"/>
      <c r="K222" s="2998"/>
      <c r="W222" s="2998"/>
      <c r="X222" s="3001"/>
      <c r="AA222" s="3009"/>
      <c r="AL222" s="2998"/>
    </row>
    <row r="223" spans="1:38" s="3005" customFormat="1" ht="37.5" customHeight="1">
      <c r="A223" s="2998"/>
      <c r="K223" s="2998"/>
      <c r="W223" s="2998"/>
      <c r="X223" s="3001"/>
      <c r="AA223" s="3009"/>
      <c r="AL223" s="2998"/>
    </row>
    <row r="224" spans="1:38" s="3005" customFormat="1" ht="37.5" customHeight="1">
      <c r="A224" s="2998"/>
      <c r="K224" s="2998"/>
      <c r="W224" s="2998"/>
      <c r="X224" s="3001"/>
      <c r="AA224" s="3009"/>
      <c r="AL224" s="2998"/>
    </row>
    <row r="225" spans="1:38" s="3005" customFormat="1" ht="37.5" customHeight="1">
      <c r="A225" s="2998"/>
      <c r="K225" s="2998"/>
      <c r="W225" s="2998"/>
      <c r="X225" s="3001"/>
      <c r="AA225" s="3009"/>
      <c r="AL225" s="2998"/>
    </row>
    <row r="226" spans="1:38" s="3005" customFormat="1" ht="37.5" customHeight="1">
      <c r="A226" s="2998"/>
      <c r="K226" s="2998"/>
      <c r="W226" s="2998"/>
      <c r="X226" s="3001"/>
      <c r="AA226" s="3009"/>
      <c r="AL226" s="2998"/>
    </row>
    <row r="227" spans="1:38" s="3005" customFormat="1" ht="37.5" customHeight="1">
      <c r="A227" s="2998"/>
      <c r="K227" s="2998"/>
      <c r="W227" s="2998"/>
      <c r="X227" s="3001"/>
      <c r="AA227" s="3009"/>
      <c r="AL227" s="2998"/>
    </row>
    <row r="228" spans="1:38" s="3005" customFormat="1" ht="37.5" customHeight="1">
      <c r="A228" s="2998"/>
      <c r="K228" s="2998"/>
      <c r="W228" s="2998"/>
      <c r="X228" s="3001"/>
      <c r="AA228" s="3009"/>
      <c r="AL228" s="2998"/>
    </row>
    <row r="229" spans="1:38" s="3005" customFormat="1" ht="37.5" customHeight="1">
      <c r="A229" s="2998"/>
      <c r="K229" s="2998"/>
      <c r="W229" s="2998"/>
      <c r="X229" s="3001"/>
      <c r="AA229" s="3009"/>
      <c r="AL229" s="2998"/>
    </row>
    <row r="230" spans="1:38" s="3005" customFormat="1" ht="37.5" customHeight="1">
      <c r="A230" s="2998"/>
      <c r="K230" s="2998"/>
      <c r="W230" s="2998"/>
      <c r="X230" s="3001"/>
      <c r="AA230" s="3009"/>
      <c r="AL230" s="2998"/>
    </row>
    <row r="231" spans="1:38" s="3005" customFormat="1" ht="37.5" customHeight="1">
      <c r="A231" s="2998"/>
      <c r="K231" s="2998"/>
      <c r="W231" s="2998"/>
      <c r="X231" s="3001"/>
      <c r="AA231" s="3009"/>
      <c r="AL231" s="2998"/>
    </row>
    <row r="232" spans="1:38" s="3005" customFormat="1" ht="37.5" customHeight="1">
      <c r="A232" s="2998"/>
      <c r="K232" s="2998"/>
      <c r="W232" s="2998"/>
      <c r="X232" s="3001"/>
      <c r="AA232" s="3009"/>
      <c r="AL232" s="2998"/>
    </row>
    <row r="233" spans="1:38" s="3005" customFormat="1" ht="37.5" customHeight="1">
      <c r="A233" s="2998"/>
      <c r="K233" s="2998"/>
      <c r="W233" s="2998"/>
      <c r="X233" s="3001"/>
      <c r="AA233" s="3009"/>
      <c r="AL233" s="2998"/>
    </row>
    <row r="234" spans="1:38" s="3005" customFormat="1" ht="37.5" customHeight="1">
      <c r="A234" s="2998"/>
      <c r="K234" s="2998"/>
      <c r="W234" s="2998"/>
      <c r="X234" s="3001"/>
      <c r="AA234" s="3009"/>
      <c r="AL234" s="2998"/>
    </row>
    <row r="235" spans="1:38" s="3005" customFormat="1" ht="37.5" customHeight="1">
      <c r="A235" s="2998"/>
      <c r="K235" s="2998"/>
      <c r="W235" s="2998"/>
      <c r="X235" s="3001"/>
      <c r="AA235" s="3009"/>
      <c r="AL235" s="2998"/>
    </row>
    <row r="236" spans="1:38" s="3005" customFormat="1" ht="37.5" customHeight="1">
      <c r="A236" s="2998"/>
      <c r="K236" s="2998"/>
      <c r="W236" s="2998"/>
      <c r="X236" s="3001"/>
      <c r="AA236" s="3009"/>
      <c r="AL236" s="2998"/>
    </row>
    <row r="237" spans="1:38" s="3005" customFormat="1" ht="37.5" customHeight="1">
      <c r="A237" s="2998"/>
      <c r="K237" s="2998"/>
      <c r="W237" s="2998"/>
      <c r="X237" s="3001"/>
      <c r="AA237" s="3009"/>
      <c r="AL237" s="2998"/>
    </row>
    <row r="238" spans="1:38" s="3005" customFormat="1" ht="37.5" customHeight="1">
      <c r="A238" s="2998"/>
      <c r="K238" s="2998"/>
      <c r="W238" s="2998"/>
      <c r="X238" s="3001"/>
      <c r="AA238" s="3009"/>
      <c r="AL238" s="2998"/>
    </row>
    <row r="239" spans="1:38" s="3005" customFormat="1" ht="37.5" customHeight="1">
      <c r="A239" s="2998"/>
      <c r="K239" s="2998"/>
      <c r="W239" s="2998"/>
      <c r="X239" s="3001"/>
      <c r="AA239" s="3009"/>
      <c r="AL239" s="2998"/>
    </row>
    <row r="240" spans="1:38" s="3005" customFormat="1" ht="37.5" customHeight="1">
      <c r="A240" s="2998"/>
      <c r="K240" s="2998"/>
      <c r="W240" s="2998"/>
      <c r="X240" s="3001"/>
      <c r="AA240" s="3009"/>
      <c r="AL240" s="2998"/>
    </row>
    <row r="241" spans="1:38" s="3005" customFormat="1" ht="37.5" customHeight="1">
      <c r="A241" s="2998"/>
      <c r="K241" s="2998"/>
      <c r="W241" s="2998"/>
      <c r="X241" s="3001"/>
      <c r="AA241" s="3009"/>
      <c r="AL241" s="2998"/>
    </row>
    <row r="242" spans="1:38" s="3005" customFormat="1" ht="37.5" customHeight="1">
      <c r="A242" s="2998"/>
      <c r="K242" s="2998"/>
      <c r="W242" s="2998"/>
      <c r="X242" s="3001"/>
      <c r="AA242" s="3009"/>
      <c r="AL242" s="2998"/>
    </row>
    <row r="243" spans="1:38" s="3005" customFormat="1" ht="37.5" customHeight="1">
      <c r="A243" s="2998"/>
      <c r="K243" s="2998"/>
      <c r="W243" s="2998"/>
      <c r="X243" s="3001"/>
      <c r="AA243" s="3009"/>
      <c r="AL243" s="2998"/>
    </row>
    <row r="244" spans="1:38">
      <c r="L244" s="3005"/>
      <c r="M244" s="3005"/>
      <c r="N244" s="3005"/>
      <c r="O244" s="3005"/>
      <c r="P244" s="3005"/>
      <c r="Q244" s="3005"/>
      <c r="R244" s="3005"/>
      <c r="S244" s="3005"/>
      <c r="T244" s="3005"/>
      <c r="U244" s="3005"/>
      <c r="V244" s="3005"/>
    </row>
    <row r="245" spans="1:38">
      <c r="L245" s="3005"/>
      <c r="M245" s="3005"/>
      <c r="N245" s="3005"/>
      <c r="O245" s="3005"/>
      <c r="P245" s="3005"/>
      <c r="Q245" s="3005"/>
      <c r="R245" s="3005"/>
      <c r="S245" s="3005"/>
      <c r="T245" s="3005"/>
      <c r="U245" s="3005"/>
      <c r="V245" s="3005"/>
    </row>
    <row r="246" spans="1:38">
      <c r="L246" s="3005"/>
      <c r="M246" s="3005"/>
      <c r="N246" s="3005"/>
      <c r="O246" s="3005"/>
      <c r="P246" s="3005"/>
      <c r="Q246" s="3005"/>
      <c r="R246" s="3005"/>
      <c r="S246" s="3005"/>
      <c r="T246" s="3005"/>
      <c r="U246" s="3005"/>
      <c r="V246" s="3005"/>
    </row>
    <row r="247" spans="1:38">
      <c r="L247" s="3005"/>
      <c r="M247" s="3005"/>
      <c r="N247" s="3005"/>
      <c r="O247" s="3005"/>
      <c r="P247" s="3005"/>
      <c r="Q247" s="3005"/>
      <c r="R247" s="3005"/>
      <c r="S247" s="3005"/>
      <c r="T247" s="3005"/>
      <c r="U247" s="3005"/>
      <c r="V247" s="3005"/>
    </row>
    <row r="248" spans="1:38">
      <c r="L248" s="3005"/>
      <c r="M248" s="3005"/>
      <c r="N248" s="3005"/>
      <c r="O248" s="3005"/>
      <c r="P248" s="3005"/>
      <c r="Q248" s="3005"/>
      <c r="R248" s="3005"/>
      <c r="S248" s="3005"/>
      <c r="T248" s="3005"/>
      <c r="U248" s="3005"/>
      <c r="V248" s="3005"/>
    </row>
  </sheetData>
  <mergeCells count="49">
    <mergeCell ref="Y115:AA115"/>
    <mergeCell ref="Y39:Y50"/>
    <mergeCell ref="Y51:Z51"/>
    <mergeCell ref="X116:AA116"/>
    <mergeCell ref="Y53:Y62"/>
    <mergeCell ref="X54:X56"/>
    <mergeCell ref="X57:X59"/>
    <mergeCell ref="Y63:Y67"/>
    <mergeCell ref="X64:X101"/>
    <mergeCell ref="Y68:Y82"/>
    <mergeCell ref="Y83:Y94"/>
    <mergeCell ref="Y95:Y100"/>
    <mergeCell ref="Y101:AA101"/>
    <mergeCell ref="Y102:Y114"/>
    <mergeCell ref="X103:X105"/>
    <mergeCell ref="X106:X108"/>
    <mergeCell ref="X113:X115"/>
    <mergeCell ref="Y52:AA52"/>
    <mergeCell ref="AK2:AK3"/>
    <mergeCell ref="J4:J8"/>
    <mergeCell ref="Y4:Y27"/>
    <mergeCell ref="X5:X7"/>
    <mergeCell ref="X8:X10"/>
    <mergeCell ref="X2:X3"/>
    <mergeCell ref="Y2:Y3"/>
    <mergeCell ref="Z2:Z3"/>
    <mergeCell ref="AA2:AA3"/>
    <mergeCell ref="AB2:AI2"/>
    <mergeCell ref="AJ2:AJ3"/>
    <mergeCell ref="N2:N3"/>
    <mergeCell ref="P26:P27"/>
    <mergeCell ref="Q26:V26"/>
    <mergeCell ref="Y28:Y38"/>
    <mergeCell ref="B11:G11"/>
    <mergeCell ref="B13:G13"/>
    <mergeCell ref="X15:X52"/>
    <mergeCell ref="N26:N27"/>
    <mergeCell ref="O26:O27"/>
    <mergeCell ref="H2:H3"/>
    <mergeCell ref="I2:I3"/>
    <mergeCell ref="J2:J3"/>
    <mergeCell ref="L2:L3"/>
    <mergeCell ref="M2:M3"/>
    <mergeCell ref="G2:G3"/>
    <mergeCell ref="B2:B3"/>
    <mergeCell ref="C2:C3"/>
    <mergeCell ref="D2:D3"/>
    <mergeCell ref="E2:E3"/>
    <mergeCell ref="F2:F3"/>
  </mergeCells>
  <phoneticPr fontId="144" type="noConversion"/>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9"/>
  <sheetViews>
    <sheetView workbookViewId="0">
      <selection activeCell="D26" sqref="D26"/>
    </sheetView>
  </sheetViews>
  <sheetFormatPr defaultColWidth="8.875" defaultRowHeight="13.5"/>
  <cols>
    <col min="1" max="1" width="5.5" style="1731" bestFit="1" customWidth="1"/>
    <col min="2" max="2" width="25.125" style="1731" customWidth="1"/>
    <col min="3" max="6" width="6.625" style="1731" bestFit="1" customWidth="1"/>
    <col min="7" max="7" width="9.625" style="1731" bestFit="1" customWidth="1"/>
    <col min="8" max="8" width="8" style="1731" bestFit="1" customWidth="1"/>
    <col min="9" max="9" width="6.625" style="1731" bestFit="1" customWidth="1"/>
    <col min="10" max="12" width="8" style="1731" bestFit="1" customWidth="1"/>
    <col min="13" max="13" width="8.875" style="1731"/>
    <col min="14" max="14" width="9.5" style="1731" bestFit="1" customWidth="1"/>
    <col min="15" max="16384" width="8.875" style="1731"/>
  </cols>
  <sheetData>
    <row r="1" spans="1:14" ht="16.5">
      <c r="A1" s="3135" t="s">
        <v>3687</v>
      </c>
      <c r="B1" s="3135"/>
      <c r="C1" s="3135"/>
      <c r="D1" s="3135"/>
      <c r="E1" s="3135"/>
      <c r="F1" s="3135"/>
      <c r="G1" s="3135"/>
      <c r="H1" s="3135"/>
      <c r="I1" s="3135"/>
      <c r="J1" s="3135"/>
      <c r="K1" s="3135"/>
      <c r="L1" s="3135"/>
    </row>
    <row r="2" spans="1:14" ht="16.5">
      <c r="A2" s="3131" t="s">
        <v>3688</v>
      </c>
      <c r="B2" s="3132"/>
      <c r="C2" s="3133"/>
      <c r="D2" s="3136" t="s">
        <v>3689</v>
      </c>
      <c r="E2" s="3136"/>
      <c r="F2" s="3136"/>
      <c r="G2" s="3136"/>
      <c r="H2" s="3136"/>
      <c r="I2" s="3136"/>
      <c r="J2" s="3136"/>
      <c r="K2" s="3136"/>
      <c r="L2" s="3136"/>
    </row>
    <row r="3" spans="1:14" ht="16.5">
      <c r="A3" s="3131" t="s">
        <v>3690</v>
      </c>
      <c r="B3" s="3132"/>
      <c r="C3" s="3133"/>
      <c r="D3" s="3137">
        <f>274162+70390+13985</f>
        <v>358537</v>
      </c>
      <c r="E3" s="3138"/>
      <c r="F3" s="3138"/>
      <c r="G3" s="3138"/>
      <c r="H3" s="3138"/>
      <c r="I3" s="3138"/>
      <c r="J3" s="3138"/>
      <c r="K3" s="3138"/>
      <c r="L3" s="3139"/>
    </row>
    <row r="4" spans="1:14" ht="16.5">
      <c r="A4" s="3131" t="s">
        <v>3691</v>
      </c>
      <c r="B4" s="3132"/>
      <c r="C4" s="3133"/>
      <c r="D4" s="3134">
        <f>C29</f>
        <v>638569.79897300003</v>
      </c>
      <c r="E4" s="3134"/>
      <c r="F4" s="3134"/>
      <c r="G4" s="3134"/>
      <c r="H4" s="3134"/>
      <c r="I4" s="3134"/>
      <c r="J4" s="3134"/>
      <c r="K4" s="3134"/>
      <c r="L4" s="3134"/>
    </row>
    <row r="5" spans="1:14" ht="16.5">
      <c r="A5" s="3136" t="s">
        <v>3127</v>
      </c>
      <c r="B5" s="3136"/>
      <c r="C5" s="3136"/>
      <c r="D5" s="3140">
        <f>C29/D3</f>
        <v>1.7810429578341984</v>
      </c>
      <c r="E5" s="3140"/>
      <c r="F5" s="3140"/>
      <c r="G5" s="3140"/>
      <c r="H5" s="3140"/>
      <c r="I5" s="3140"/>
      <c r="J5" s="3140"/>
      <c r="K5" s="3140"/>
      <c r="L5" s="3140"/>
    </row>
    <row r="6" spans="1:14" ht="16.5">
      <c r="A6" s="3136" t="s">
        <v>3692</v>
      </c>
      <c r="B6" s="3136"/>
      <c r="C6" s="3136"/>
      <c r="D6" s="3134">
        <f>I29</f>
        <v>900384.25897299999</v>
      </c>
      <c r="E6" s="3134"/>
      <c r="F6" s="3134"/>
      <c r="G6" s="3134"/>
      <c r="H6" s="3134"/>
      <c r="I6" s="3134"/>
      <c r="J6" s="3134"/>
      <c r="K6" s="3134"/>
      <c r="L6" s="3134"/>
    </row>
    <row r="7" spans="1:14" ht="16.5">
      <c r="A7" s="3136" t="s">
        <v>3693</v>
      </c>
      <c r="B7" s="3136"/>
      <c r="C7" s="3136"/>
      <c r="D7" s="3134">
        <f>K29</f>
        <v>611930.4</v>
      </c>
      <c r="E7" s="3134"/>
      <c r="F7" s="3134"/>
      <c r="G7" s="3134"/>
      <c r="H7" s="3134"/>
      <c r="I7" s="3134"/>
      <c r="J7" s="3134"/>
      <c r="K7" s="3134"/>
      <c r="L7" s="3134"/>
    </row>
    <row r="8" spans="1:14" ht="16.5">
      <c r="A8" s="3136" t="s">
        <v>3694</v>
      </c>
      <c r="B8" s="3136"/>
      <c r="C8" s="3136"/>
      <c r="D8" s="3134">
        <f>D3-J29</f>
        <v>311093.49310134311</v>
      </c>
      <c r="E8" s="3134"/>
      <c r="F8" s="3134"/>
      <c r="G8" s="3134"/>
      <c r="H8" s="3134"/>
      <c r="I8" s="3134"/>
      <c r="J8" s="3134"/>
      <c r="K8" s="3134"/>
      <c r="L8" s="3134"/>
    </row>
    <row r="9" spans="1:14" ht="16.5">
      <c r="A9" s="3131" t="s">
        <v>3695</v>
      </c>
      <c r="B9" s="3132"/>
      <c r="C9" s="3133"/>
      <c r="D9" s="3141">
        <v>0.3</v>
      </c>
      <c r="E9" s="3142"/>
      <c r="F9" s="3142"/>
      <c r="G9" s="3142"/>
      <c r="H9" s="3142"/>
      <c r="I9" s="3142"/>
      <c r="J9" s="3142"/>
      <c r="K9" s="3142"/>
      <c r="L9" s="3143"/>
    </row>
    <row r="10" spans="1:14" ht="16.5">
      <c r="A10" s="3136" t="s">
        <v>3696</v>
      </c>
      <c r="B10" s="3136"/>
      <c r="C10" s="3136"/>
      <c r="D10" s="3136"/>
      <c r="E10" s="3136"/>
      <c r="F10" s="3136"/>
      <c r="G10" s="3136"/>
      <c r="H10" s="3136"/>
      <c r="I10" s="3136"/>
      <c r="J10" s="3136"/>
      <c r="K10" s="3136"/>
      <c r="L10" s="3136"/>
    </row>
    <row r="11" spans="1:14" ht="16.5">
      <c r="A11" s="3136" t="s">
        <v>3697</v>
      </c>
      <c r="B11" s="3136"/>
      <c r="C11" s="3136" t="s">
        <v>3698</v>
      </c>
      <c r="D11" s="3136"/>
      <c r="E11" s="3136"/>
      <c r="F11" s="3136" t="s">
        <v>3692</v>
      </c>
      <c r="G11" s="3136"/>
      <c r="H11" s="3136"/>
      <c r="I11" s="3136"/>
      <c r="J11" s="3136" t="s">
        <v>3699</v>
      </c>
      <c r="K11" s="3136" t="s">
        <v>3700</v>
      </c>
      <c r="L11" s="3136" t="s">
        <v>3701</v>
      </c>
    </row>
    <row r="12" spans="1:14" ht="16.5">
      <c r="A12" s="3136"/>
      <c r="B12" s="3136"/>
      <c r="C12" s="2991" t="s">
        <v>3067</v>
      </c>
      <c r="D12" s="2991" t="s">
        <v>3069</v>
      </c>
      <c r="E12" s="2991" t="s">
        <v>37</v>
      </c>
      <c r="F12" s="2991" t="s">
        <v>3067</v>
      </c>
      <c r="G12" s="2991" t="s">
        <v>3702</v>
      </c>
      <c r="H12" s="2991" t="s">
        <v>3703</v>
      </c>
      <c r="I12" s="2991" t="s">
        <v>37</v>
      </c>
      <c r="J12" s="3136"/>
      <c r="K12" s="3136"/>
      <c r="L12" s="3136"/>
    </row>
    <row r="13" spans="1:14" ht="16.5">
      <c r="A13" s="3136" t="s">
        <v>3704</v>
      </c>
      <c r="B13" s="3136"/>
      <c r="C13" s="2992">
        <f>SUM(C14:C23)</f>
        <v>615330.4</v>
      </c>
      <c r="D13" s="2992">
        <f>SUM(D24:D24)</f>
        <v>258814.45999999996</v>
      </c>
      <c r="E13" s="2992">
        <f>SUM(E14:E24)</f>
        <v>874144.86</v>
      </c>
      <c r="F13" s="2992">
        <f>SUM(F14:F24)</f>
        <v>615330.4</v>
      </c>
      <c r="G13" s="2992">
        <f>SUM(G14:G24)</f>
        <v>258814.45999999996</v>
      </c>
      <c r="H13" s="2992">
        <f>SUM(H14:H24)</f>
        <v>0</v>
      </c>
      <c r="I13" s="2992">
        <f>SUM(I14:I24)</f>
        <v>874144.86</v>
      </c>
      <c r="J13" s="2992">
        <f>SUM(J14:J23)</f>
        <v>47443.506898656909</v>
      </c>
      <c r="K13" s="2992">
        <f>SUM(K14:K22)</f>
        <v>611930.4</v>
      </c>
      <c r="L13" s="2992">
        <f>L24</f>
        <v>5079.8500000000004</v>
      </c>
    </row>
    <row r="14" spans="1:14" ht="16.5">
      <c r="A14" s="3027">
        <v>1</v>
      </c>
      <c r="B14" s="2993" t="s">
        <v>3705</v>
      </c>
      <c r="C14" s="3028">
        <f>341369-3400</f>
        <v>337969</v>
      </c>
      <c r="D14" s="2994"/>
      <c r="E14" s="2994">
        <f>SUM(C14:D14)</f>
        <v>337969</v>
      </c>
      <c r="F14" s="2994">
        <f>C14</f>
        <v>337969</v>
      </c>
      <c r="G14" s="2994">
        <f>D14</f>
        <v>0</v>
      </c>
      <c r="H14" s="3028"/>
      <c r="I14" s="2994">
        <f>SUM(F14:H14)</f>
        <v>337969</v>
      </c>
      <c r="J14" s="2994">
        <f>C14/26</f>
        <v>12998.807692307691</v>
      </c>
      <c r="K14" s="2994">
        <f>F14</f>
        <v>337969</v>
      </c>
      <c r="L14" s="3028">
        <f>3793-387-750-5000/40</f>
        <v>2531</v>
      </c>
      <c r="N14" s="3029">
        <f>K14+K17+K20</f>
        <v>471334</v>
      </c>
    </row>
    <row r="15" spans="1:14" ht="16.5">
      <c r="A15" s="3027">
        <v>3</v>
      </c>
      <c r="B15" s="2993" t="s">
        <v>3706</v>
      </c>
      <c r="C15" s="3028">
        <f>89400-300</f>
        <v>89100</v>
      </c>
      <c r="D15" s="2994"/>
      <c r="E15" s="2994">
        <f t="shared" ref="E15:E24" si="0">SUM(C15:D15)</f>
        <v>89100</v>
      </c>
      <c r="F15" s="2994">
        <f t="shared" ref="F15:G23" si="1">C15</f>
        <v>89100</v>
      </c>
      <c r="G15" s="2994">
        <f t="shared" si="1"/>
        <v>0</v>
      </c>
      <c r="H15" s="3028"/>
      <c r="I15" s="2994">
        <f t="shared" ref="I15:I24" si="2">SUM(F15:H15)</f>
        <v>89100</v>
      </c>
      <c r="J15" s="2994">
        <f>C15/7</f>
        <v>12728.571428571429</v>
      </c>
      <c r="K15" s="2994">
        <f t="shared" ref="K15:K22" si="3">F15</f>
        <v>89100</v>
      </c>
      <c r="L15" s="3028">
        <v>758</v>
      </c>
      <c r="N15" s="3029">
        <f>K15</f>
        <v>89100</v>
      </c>
    </row>
    <row r="16" spans="1:14" ht="16.5">
      <c r="A16" s="3027">
        <v>4</v>
      </c>
      <c r="B16" s="2993" t="s">
        <v>3707</v>
      </c>
      <c r="C16" s="3028">
        <v>9240</v>
      </c>
      <c r="D16" s="2994"/>
      <c r="E16" s="2994">
        <f t="shared" si="0"/>
        <v>9240</v>
      </c>
      <c r="F16" s="2994">
        <f t="shared" si="1"/>
        <v>9240</v>
      </c>
      <c r="G16" s="2994">
        <f t="shared" si="1"/>
        <v>0</v>
      </c>
      <c r="H16" s="3028"/>
      <c r="I16" s="2994">
        <f t="shared" si="2"/>
        <v>9240</v>
      </c>
      <c r="J16" s="2994">
        <f>F16/2.5</f>
        <v>3696</v>
      </c>
      <c r="K16" s="2994">
        <f t="shared" si="3"/>
        <v>9240</v>
      </c>
      <c r="L16" s="3028">
        <v>78</v>
      </c>
      <c r="N16" s="3029">
        <f>K16+K21</f>
        <v>12700</v>
      </c>
    </row>
    <row r="17" spans="1:14" ht="16.5">
      <c r="A17" s="3027">
        <v>5</v>
      </c>
      <c r="B17" s="2993" t="s">
        <v>3708</v>
      </c>
      <c r="C17" s="3028">
        <f>13852-150</f>
        <v>13702</v>
      </c>
      <c r="D17" s="2994"/>
      <c r="E17" s="2994">
        <f>SUM(C17:D17)</f>
        <v>13702</v>
      </c>
      <c r="F17" s="2994">
        <f t="shared" si="1"/>
        <v>13702</v>
      </c>
      <c r="G17" s="2994">
        <f t="shared" si="1"/>
        <v>0</v>
      </c>
      <c r="H17" s="3028"/>
      <c r="I17" s="2994">
        <f>SUM(F17:H17)</f>
        <v>13702</v>
      </c>
      <c r="J17" s="2994">
        <f>F17/16</f>
        <v>856.375</v>
      </c>
      <c r="K17" s="2994">
        <f t="shared" si="3"/>
        <v>13702</v>
      </c>
      <c r="L17" s="3028">
        <f>136-15</f>
        <v>121</v>
      </c>
      <c r="N17" s="3029">
        <f>K18+K22</f>
        <v>31006.400000000001</v>
      </c>
    </row>
    <row r="18" spans="1:14" ht="16.5">
      <c r="A18" s="3027">
        <v>6</v>
      </c>
      <c r="B18" s="2993" t="s">
        <v>3709</v>
      </c>
      <c r="C18" s="3028">
        <f>20581.4-100</f>
        <v>20481.400000000001</v>
      </c>
      <c r="D18" s="2994"/>
      <c r="E18" s="2994">
        <f>SUM(C18:D18)</f>
        <v>20481.400000000001</v>
      </c>
      <c r="F18" s="2994">
        <f t="shared" si="1"/>
        <v>20481.400000000001</v>
      </c>
      <c r="G18" s="2994">
        <f t="shared" si="1"/>
        <v>0</v>
      </c>
      <c r="H18" s="3028"/>
      <c r="I18" s="2994">
        <f>SUM(F18:H18)</f>
        <v>20481.400000000001</v>
      </c>
      <c r="J18" s="2994">
        <f>F18/9</f>
        <v>2275.7111111111112</v>
      </c>
      <c r="K18" s="2994">
        <f t="shared" si="3"/>
        <v>20481.400000000001</v>
      </c>
      <c r="L18" s="3028">
        <f>204-18</f>
        <v>186</v>
      </c>
      <c r="N18" s="3029">
        <f>K19</f>
        <v>7790</v>
      </c>
    </row>
    <row r="19" spans="1:14" ht="16.5">
      <c r="A19" s="3027">
        <v>7</v>
      </c>
      <c r="B19" s="2993" t="s">
        <v>3710</v>
      </c>
      <c r="C19" s="3028">
        <v>7790</v>
      </c>
      <c r="D19" s="2994"/>
      <c r="E19" s="2994">
        <f>SUM(C19:D19)</f>
        <v>7790</v>
      </c>
      <c r="F19" s="2994">
        <f t="shared" si="1"/>
        <v>7790</v>
      </c>
      <c r="G19" s="2994">
        <f t="shared" si="1"/>
        <v>0</v>
      </c>
      <c r="H19" s="3028"/>
      <c r="I19" s="2994">
        <f>SUM(F19:H19)</f>
        <v>7790</v>
      </c>
      <c r="J19" s="2994">
        <f>F19/2</f>
        <v>3895</v>
      </c>
      <c r="K19" s="2994">
        <f t="shared" si="3"/>
        <v>7790</v>
      </c>
      <c r="L19" s="3028">
        <v>66</v>
      </c>
    </row>
    <row r="20" spans="1:14" ht="16.5">
      <c r="A20" s="3027">
        <v>8</v>
      </c>
      <c r="B20" s="2993" t="s">
        <v>3711</v>
      </c>
      <c r="C20" s="3028">
        <v>119663</v>
      </c>
      <c r="D20" s="2994"/>
      <c r="E20" s="2994">
        <f>SUM(C20:D20)</f>
        <v>119663</v>
      </c>
      <c r="F20" s="2994">
        <f t="shared" si="1"/>
        <v>119663</v>
      </c>
      <c r="G20" s="2994">
        <f t="shared" si="1"/>
        <v>0</v>
      </c>
      <c r="H20" s="3028"/>
      <c r="I20" s="2994">
        <f>SUM(F20:H20)</f>
        <v>119663</v>
      </c>
      <c r="J20" s="2994">
        <f>F20/24</f>
        <v>4985.958333333333</v>
      </c>
      <c r="K20" s="2994">
        <f t="shared" si="3"/>
        <v>119663</v>
      </c>
      <c r="L20" s="3028">
        <v>1200</v>
      </c>
    </row>
    <row r="21" spans="1:14" ht="16.5">
      <c r="A21" s="3027">
        <v>9</v>
      </c>
      <c r="B21" s="2993" t="s">
        <v>3712</v>
      </c>
      <c r="C21" s="3028">
        <v>3460</v>
      </c>
      <c r="D21" s="2994"/>
      <c r="E21" s="2994">
        <f t="shared" si="0"/>
        <v>3460</v>
      </c>
      <c r="F21" s="2994">
        <f t="shared" si="1"/>
        <v>3460</v>
      </c>
      <c r="G21" s="2994">
        <f t="shared" si="1"/>
        <v>0</v>
      </c>
      <c r="H21" s="3028"/>
      <c r="I21" s="2994">
        <f t="shared" si="2"/>
        <v>3460</v>
      </c>
      <c r="J21" s="2994">
        <f>F21/2</f>
        <v>1730</v>
      </c>
      <c r="K21" s="2994">
        <f t="shared" si="3"/>
        <v>3460</v>
      </c>
      <c r="L21" s="3028">
        <f>C21/100</f>
        <v>34.6</v>
      </c>
    </row>
    <row r="22" spans="1:14" ht="16.5">
      <c r="A22" s="3027">
        <v>10</v>
      </c>
      <c r="B22" s="2993" t="s">
        <v>3713</v>
      </c>
      <c r="C22" s="3028">
        <v>10525</v>
      </c>
      <c r="D22" s="2994"/>
      <c r="E22" s="2994">
        <f t="shared" si="0"/>
        <v>10525</v>
      </c>
      <c r="F22" s="2994">
        <f t="shared" si="1"/>
        <v>10525</v>
      </c>
      <c r="G22" s="2994">
        <f t="shared" si="1"/>
        <v>0</v>
      </c>
      <c r="H22" s="3028"/>
      <c r="I22" s="2994">
        <f t="shared" si="2"/>
        <v>10525</v>
      </c>
      <c r="J22" s="2994">
        <f>F22/12</f>
        <v>877.08333333333337</v>
      </c>
      <c r="K22" s="2994">
        <f t="shared" si="3"/>
        <v>10525</v>
      </c>
      <c r="L22" s="3028">
        <f>C22/100</f>
        <v>105.25</v>
      </c>
    </row>
    <row r="23" spans="1:14" ht="16.5">
      <c r="A23" s="3027">
        <v>14</v>
      </c>
      <c r="B23" s="3027" t="s">
        <v>3714</v>
      </c>
      <c r="C23" s="3028">
        <v>3400</v>
      </c>
      <c r="D23" s="2994"/>
      <c r="E23" s="2994">
        <f t="shared" si="0"/>
        <v>3400</v>
      </c>
      <c r="F23" s="2994">
        <f t="shared" si="1"/>
        <v>3400</v>
      </c>
      <c r="G23" s="2994">
        <f t="shared" si="1"/>
        <v>0</v>
      </c>
      <c r="H23" s="3028"/>
      <c r="I23" s="2994">
        <f t="shared" si="2"/>
        <v>3400</v>
      </c>
      <c r="J23" s="2994">
        <f>C23</f>
        <v>3400</v>
      </c>
      <c r="K23" s="2994"/>
      <c r="L23" s="3028"/>
    </row>
    <row r="24" spans="1:14" ht="16.5">
      <c r="A24" s="3027">
        <v>15</v>
      </c>
      <c r="B24" s="3027" t="s">
        <v>3715</v>
      </c>
      <c r="C24" s="2994">
        <f>F24</f>
        <v>0</v>
      </c>
      <c r="D24" s="2994">
        <f>G24+H24</f>
        <v>258814.45999999996</v>
      </c>
      <c r="E24" s="2994">
        <f t="shared" si="0"/>
        <v>258814.45999999996</v>
      </c>
      <c r="F24" s="3028">
        <v>0</v>
      </c>
      <c r="G24" s="3028">
        <f>161602.65+59686.31+7965.23+11160.27+5400+48000-35000</f>
        <v>258814.45999999996</v>
      </c>
      <c r="H24" s="3028"/>
      <c r="I24" s="2994">
        <f t="shared" si="2"/>
        <v>258814.45999999996</v>
      </c>
      <c r="J24" s="2994"/>
      <c r="K24" s="2994">
        <v>0</v>
      </c>
      <c r="L24" s="3028">
        <f>SUM(L14:L22)</f>
        <v>5079.8500000000004</v>
      </c>
    </row>
    <row r="25" spans="1:14" ht="16.5">
      <c r="A25" s="3136" t="s">
        <v>3716</v>
      </c>
      <c r="B25" s="3136"/>
      <c r="C25" s="2992">
        <f t="shared" ref="C25:J25" si="4">SUM(C26:C28)</f>
        <v>23239.398973000003</v>
      </c>
      <c r="D25" s="2992">
        <f t="shared" si="4"/>
        <v>0</v>
      </c>
      <c r="E25" s="2992">
        <f t="shared" si="4"/>
        <v>23239.398973000003</v>
      </c>
      <c r="F25" s="2992">
        <f t="shared" si="4"/>
        <v>23239.398973000003</v>
      </c>
      <c r="G25" s="2992">
        <f t="shared" si="4"/>
        <v>3000</v>
      </c>
      <c r="H25" s="2992">
        <f t="shared" si="4"/>
        <v>0</v>
      </c>
      <c r="I25" s="2992">
        <f t="shared" si="4"/>
        <v>26239.398973000003</v>
      </c>
      <c r="J25" s="2992">
        <f t="shared" si="4"/>
        <v>0</v>
      </c>
      <c r="K25" s="2992"/>
      <c r="L25" s="2992">
        <f>L26</f>
        <v>0</v>
      </c>
    </row>
    <row r="26" spans="1:14" ht="16.5">
      <c r="A26" s="3027">
        <v>1</v>
      </c>
      <c r="B26" s="2993" t="s">
        <v>3717</v>
      </c>
      <c r="C26" s="3028">
        <f>'[6]2.2公用配套设施成本'!C3+'[6]2.2公用配套设施成本'!C4+'[6]2.2公用配套设施成本'!C5+'[6]2.2公用配套设施成本'!C6+'[6]2.2公用配套设施成本'!C7+'[6]2.2公用配套设施成本'!C8+'[6]2.2公用配套设施成本'!C9+'[6]2.2公用配套设施成本'!C10+'[6]2.2公用配套设施成本'!C11</f>
        <v>12312.398973000001</v>
      </c>
      <c r="D26" s="2994"/>
      <c r="E26" s="2994">
        <f>SUM(C26:D26)</f>
        <v>12312.398973000001</v>
      </c>
      <c r="F26" s="2994">
        <f t="shared" ref="F26:G28" si="5">C26</f>
        <v>12312.398973000001</v>
      </c>
      <c r="G26" s="2994">
        <f t="shared" si="5"/>
        <v>0</v>
      </c>
      <c r="H26" s="3028"/>
      <c r="I26" s="2994">
        <f>SUM(F26:H26)</f>
        <v>12312.398973000001</v>
      </c>
      <c r="J26" s="2994"/>
      <c r="K26" s="2994"/>
      <c r="L26" s="3028"/>
    </row>
    <row r="27" spans="1:14" ht="16.5">
      <c r="A27" s="3027">
        <v>2</v>
      </c>
      <c r="B27" s="2993" t="s">
        <v>3718</v>
      </c>
      <c r="C27" s="3028">
        <f>3400+300+150+100</f>
        <v>3950</v>
      </c>
      <c r="D27" s="2994"/>
      <c r="E27" s="2994">
        <f>SUM(C27:D27)</f>
        <v>3950</v>
      </c>
      <c r="F27" s="2994">
        <f t="shared" si="5"/>
        <v>3950</v>
      </c>
      <c r="G27" s="2994">
        <f t="shared" si="5"/>
        <v>0</v>
      </c>
      <c r="H27" s="3028"/>
      <c r="I27" s="2994">
        <f>SUM(F27:H27)</f>
        <v>3950</v>
      </c>
      <c r="J27" s="2994"/>
      <c r="K27" s="2994"/>
      <c r="L27" s="3028"/>
    </row>
    <row r="28" spans="1:14" ht="16.5">
      <c r="A28" s="3027">
        <v>9</v>
      </c>
      <c r="B28" s="2993" t="s">
        <v>3719</v>
      </c>
      <c r="C28" s="2994">
        <v>6977</v>
      </c>
      <c r="D28" s="2994"/>
      <c r="E28" s="2994">
        <f>SUM(C28:D28)</f>
        <v>6977</v>
      </c>
      <c r="F28" s="2994">
        <f t="shared" si="5"/>
        <v>6977</v>
      </c>
      <c r="G28" s="2994">
        <v>3000</v>
      </c>
      <c r="H28" s="3028"/>
      <c r="I28" s="2994">
        <f>SUM(F28:H28)</f>
        <v>9977</v>
      </c>
      <c r="J28" s="2994"/>
      <c r="K28" s="2994"/>
      <c r="L28" s="3028"/>
    </row>
    <row r="29" spans="1:14" ht="16.5">
      <c r="A29" s="3136" t="s">
        <v>37</v>
      </c>
      <c r="B29" s="3136"/>
      <c r="C29" s="2992">
        <f t="shared" ref="C29:L29" si="6">C13+C25</f>
        <v>638569.79897300003</v>
      </c>
      <c r="D29" s="2992">
        <f t="shared" si="6"/>
        <v>258814.45999999996</v>
      </c>
      <c r="E29" s="2992">
        <f t="shared" si="6"/>
        <v>897384.25897299999</v>
      </c>
      <c r="F29" s="2992">
        <f t="shared" si="6"/>
        <v>638569.79897300003</v>
      </c>
      <c r="G29" s="2992">
        <f t="shared" si="6"/>
        <v>261814.45999999996</v>
      </c>
      <c r="H29" s="2992">
        <f t="shared" si="6"/>
        <v>0</v>
      </c>
      <c r="I29" s="2992">
        <f t="shared" si="6"/>
        <v>900384.25897299999</v>
      </c>
      <c r="J29" s="2992">
        <f t="shared" si="6"/>
        <v>47443.506898656909</v>
      </c>
      <c r="K29" s="2992">
        <f t="shared" si="6"/>
        <v>611930.4</v>
      </c>
      <c r="L29" s="2992">
        <f t="shared" si="6"/>
        <v>5079.8500000000004</v>
      </c>
    </row>
  </sheetData>
  <mergeCells count="27">
    <mergeCell ref="L11:L12"/>
    <mergeCell ref="A13:B13"/>
    <mergeCell ref="A25:B25"/>
    <mergeCell ref="A29:B29"/>
    <mergeCell ref="A8:C8"/>
    <mergeCell ref="D8:L8"/>
    <mergeCell ref="A9:C9"/>
    <mergeCell ref="D9:L9"/>
    <mergeCell ref="A10:L10"/>
    <mergeCell ref="A11:B12"/>
    <mergeCell ref="C11:E11"/>
    <mergeCell ref="F11:I11"/>
    <mergeCell ref="J11:J12"/>
    <mergeCell ref="K11:K12"/>
    <mergeCell ref="A5:C5"/>
    <mergeCell ref="D5:L5"/>
    <mergeCell ref="A6:C6"/>
    <mergeCell ref="D6:L6"/>
    <mergeCell ref="A7:C7"/>
    <mergeCell ref="D7:L7"/>
    <mergeCell ref="A4:C4"/>
    <mergeCell ref="D4:L4"/>
    <mergeCell ref="A1:L1"/>
    <mergeCell ref="A2:C2"/>
    <mergeCell ref="D2:L2"/>
    <mergeCell ref="A3:C3"/>
    <mergeCell ref="D3:L3"/>
  </mergeCells>
  <phoneticPr fontId="14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1" sqref="F31:G31"/>
    </sheetView>
  </sheetViews>
  <sheetFormatPr defaultColWidth="9.125" defaultRowHeight="14.25"/>
  <cols>
    <col min="1" max="1" width="12.125" style="2216" customWidth="1"/>
    <col min="2" max="2" width="10.1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125" style="2216"/>
  </cols>
  <sheetData>
    <row r="1" spans="1:16" ht="18.75">
      <c r="A1" s="2215" t="s">
        <v>1930</v>
      </c>
      <c r="B1" s="1386"/>
      <c r="C1" s="1386"/>
      <c r="D1" s="1386"/>
      <c r="E1" s="1386"/>
      <c r="F1" s="1386"/>
      <c r="G1" s="1386"/>
      <c r="H1" s="1386"/>
      <c r="I1" s="1386"/>
      <c r="J1" s="1386"/>
      <c r="K1" s="1386"/>
      <c r="L1" s="1386"/>
      <c r="M1" s="1386"/>
      <c r="N1" s="1386"/>
      <c r="O1" s="1386"/>
      <c r="P1" s="1386"/>
    </row>
    <row r="2" spans="1:16" ht="15">
      <c r="A2" s="3155" t="s">
        <v>1931</v>
      </c>
      <c r="B2" s="3155"/>
      <c r="C2" s="3155"/>
      <c r="D2" s="962" t="s">
        <v>1907</v>
      </c>
      <c r="E2" s="2217" t="s">
        <v>1908</v>
      </c>
      <c r="F2" s="1386"/>
      <c r="G2" s="2218"/>
      <c r="H2" s="2219"/>
      <c r="I2" s="2220" t="s">
        <v>1932</v>
      </c>
      <c r="J2" s="1386"/>
      <c r="K2" s="1386"/>
      <c r="L2" s="1386"/>
      <c r="M2" s="1386"/>
      <c r="N2" s="1421"/>
      <c r="O2" s="1386"/>
      <c r="P2" s="1386"/>
    </row>
    <row r="3" spans="1:16" ht="15.75" thickBot="1">
      <c r="A3" s="3156" t="s">
        <v>1905</v>
      </c>
      <c r="B3" s="3156"/>
      <c r="C3" s="3156"/>
      <c r="D3" s="46">
        <f>'数据-基础表'!AY6</f>
        <v>358537</v>
      </c>
      <c r="E3" s="46">
        <f>'数据-基础表'!AZ5</f>
        <v>900384.25897299999</v>
      </c>
      <c r="F3" s="1386"/>
      <c r="G3" s="1393"/>
      <c r="H3" s="1241" t="s">
        <v>1906</v>
      </c>
      <c r="I3" s="55">
        <f>ROUND('数据-基础表'!B3/'数据-基础表'!A3,2)</f>
        <v>2.5099999999999998</v>
      </c>
      <c r="J3" s="1386"/>
      <c r="K3" s="1386"/>
      <c r="L3" s="1386"/>
      <c r="M3" s="1386"/>
      <c r="N3" s="1421"/>
      <c r="O3" s="1386"/>
      <c r="P3" s="1386"/>
    </row>
    <row r="4" spans="1:16" ht="15">
      <c r="A4" s="3157"/>
      <c r="B4" s="3158"/>
      <c r="C4" s="3159"/>
      <c r="D4" s="2221" t="s">
        <v>1907</v>
      </c>
      <c r="E4" s="2222" t="s">
        <v>1908</v>
      </c>
      <c r="F4" s="1386"/>
      <c r="G4" s="2223" t="s">
        <v>1933</v>
      </c>
      <c r="H4" s="1241" t="s">
        <v>1913</v>
      </c>
      <c r="I4" s="55">
        <f>ROUND(SUMIF('数据-基础表'!I9:AS9,"地上",'数据-基础表'!I5:AS5)/'数据-基础表'!A3,2)</f>
        <v>1.78</v>
      </c>
      <c r="J4" s="1386"/>
      <c r="K4" s="1386"/>
      <c r="L4" s="1386"/>
      <c r="M4" s="1386"/>
      <c r="N4" s="1421"/>
      <c r="O4" s="1386"/>
      <c r="P4" s="1386"/>
    </row>
    <row r="5" spans="1:16">
      <c r="A5" s="47" t="s">
        <v>1909</v>
      </c>
      <c r="B5" s="3160" t="s">
        <v>1910</v>
      </c>
      <c r="C5" s="3160"/>
      <c r="D5" s="48">
        <f>ROUND($D$3*E5/$E$3,2)</f>
        <v>243673.4</v>
      </c>
      <c r="E5" s="49">
        <f>SUMIF('数据-基础表'!$11:$11,"住宅",'数据-基础表'!$5:$5)</f>
        <v>611930.4</v>
      </c>
      <c r="F5" s="1386"/>
      <c r="G5" s="1393"/>
      <c r="H5" s="1241" t="s">
        <v>1906</v>
      </c>
      <c r="I5" s="55">
        <f>ROUND(E31/D31,2)</f>
        <v>2.5099999999999998</v>
      </c>
      <c r="J5" s="1386"/>
      <c r="K5" s="1386"/>
      <c r="L5" s="1386"/>
      <c r="M5" s="1386"/>
      <c r="N5" s="1386"/>
      <c r="O5" s="1386"/>
      <c r="P5" s="1386"/>
    </row>
    <row r="6" spans="1:16" ht="15" thickBot="1">
      <c r="A6" s="2224"/>
      <c r="B6" s="3160" t="s">
        <v>1911</v>
      </c>
      <c r="C6" s="3160"/>
      <c r="D6" s="48">
        <f>ROUND($D$3*E6/$E$3,2)</f>
        <v>114863.6</v>
      </c>
      <c r="E6" s="49">
        <f>E3-E5</f>
        <v>288453.85897299997</v>
      </c>
      <c r="F6" s="1386"/>
      <c r="G6" s="2225" t="s">
        <v>1912</v>
      </c>
      <c r="H6" s="1393" t="s">
        <v>1913</v>
      </c>
      <c r="I6" s="934">
        <f>ROUND(F31/D31,2)</f>
        <v>1.78</v>
      </c>
      <c r="J6" s="1386"/>
      <c r="K6" s="1386"/>
      <c r="L6" s="1386"/>
      <c r="M6" s="1386"/>
      <c r="N6" s="1386"/>
      <c r="O6" s="1386"/>
      <c r="P6" s="1386"/>
    </row>
    <row r="7" spans="1:16" ht="15">
      <c r="A7" s="3152"/>
      <c r="B7" s="3153"/>
      <c r="C7" s="3154"/>
      <c r="D7" s="2221" t="s">
        <v>1907</v>
      </c>
      <c r="E7" s="2226" t="s">
        <v>1914</v>
      </c>
      <c r="F7" s="1386"/>
      <c r="G7" s="2218" t="s">
        <v>1915</v>
      </c>
      <c r="H7" s="64"/>
      <c r="I7" s="417"/>
      <c r="J7" s="1386"/>
      <c r="K7" s="1386"/>
      <c r="L7" s="1386"/>
      <c r="M7" s="1386"/>
      <c r="N7" s="1386"/>
      <c r="O7" s="1386"/>
      <c r="P7" s="1386"/>
    </row>
    <row r="8" spans="1:16">
      <c r="A8" s="47" t="s">
        <v>1916</v>
      </c>
      <c r="B8" s="50" t="s">
        <v>1917</v>
      </c>
      <c r="C8" s="48" t="s">
        <v>1918</v>
      </c>
      <c r="D8" s="48">
        <f t="shared" ref="D8:D15" si="0">ROUND($D$3*E8/$E$3,2)</f>
        <v>243673.4</v>
      </c>
      <c r="E8" s="51">
        <f>SUMIF('数据-基础表'!BB10:BK10,"地上",'数据-基础表'!BB5:BK5)</f>
        <v>611930.4</v>
      </c>
      <c r="F8" s="1386"/>
      <c r="G8" s="2227"/>
      <c r="H8" s="2227"/>
      <c r="I8" s="1386"/>
      <c r="J8" s="1386"/>
      <c r="K8" s="1386"/>
      <c r="L8" s="1386"/>
      <c r="M8" s="1386"/>
      <c r="N8" s="1386"/>
      <c r="O8" s="1386"/>
      <c r="P8" s="1386"/>
    </row>
    <row r="9" spans="1:16">
      <c r="A9" s="2228"/>
      <c r="B9" s="2229"/>
      <c r="C9" s="48" t="s">
        <v>1919</v>
      </c>
      <c r="D9" s="48">
        <f t="shared" si="0"/>
        <v>0</v>
      </c>
      <c r="E9" s="52">
        <v>0</v>
      </c>
      <c r="F9" s="1386"/>
      <c r="G9" s="2227"/>
      <c r="H9" s="2227"/>
      <c r="I9" s="1386"/>
      <c r="J9" s="1386"/>
      <c r="K9" s="1386"/>
      <c r="L9" s="1386"/>
      <c r="M9" s="1386"/>
      <c r="N9" s="1386"/>
      <c r="O9" s="1386"/>
      <c r="P9" s="1386"/>
    </row>
    <row r="10" spans="1:16">
      <c r="A10" s="2228"/>
      <c r="B10" s="2229"/>
      <c r="C10" s="48" t="s">
        <v>1928</v>
      </c>
      <c r="D10" s="48">
        <f t="shared" si="0"/>
        <v>0</v>
      </c>
      <c r="E10" s="51">
        <f>SUMPRODUCT(('数据-基础表'!BB10:BK10="地下")*('数据-基础表'!BB11:BK11="商业")*('数据-基础表'!BB5:BK5))</f>
        <v>0</v>
      </c>
      <c r="F10" s="1386"/>
      <c r="G10" s="2227"/>
      <c r="H10" s="2227"/>
      <c r="I10" s="1386"/>
      <c r="J10" s="1386"/>
      <c r="K10" s="1386"/>
      <c r="L10" s="1386"/>
      <c r="M10" s="1386"/>
      <c r="N10" s="1386"/>
      <c r="O10" s="1386"/>
      <c r="P10" s="1386"/>
    </row>
    <row r="11" spans="1:16">
      <c r="A11" s="2228"/>
      <c r="B11" s="2229"/>
      <c r="C11" s="48" t="s">
        <v>1920</v>
      </c>
      <c r="D11" s="48">
        <f t="shared" si="0"/>
        <v>0</v>
      </c>
      <c r="E11" s="51">
        <f>SUMPRODUCT(('数据-基础表'!BB10:BK10="地下")*('数据-基础表'!BB11:BK11="办公")*('数据-基础表'!BB5:BK5))+'数据-基础表'!BP5</f>
        <v>0</v>
      </c>
      <c r="F11" s="1386"/>
      <c r="G11" s="2227"/>
      <c r="H11" s="2227"/>
      <c r="I11" s="1386"/>
      <c r="J11" s="1386"/>
      <c r="K11" s="1386"/>
      <c r="L11" s="1386"/>
      <c r="M11" s="1386"/>
      <c r="N11" s="1386"/>
      <c r="O11" s="1386"/>
      <c r="P11" s="1386"/>
    </row>
    <row r="12" spans="1:16">
      <c r="A12" s="2228"/>
      <c r="B12" s="2229"/>
      <c r="C12" s="48" t="s">
        <v>1921</v>
      </c>
      <c r="D12" s="48">
        <f t="shared" si="0"/>
        <v>0</v>
      </c>
      <c r="E12" s="51">
        <f>SUMPRODUCT(('数据-基础表'!BB10:BK10="地下")*('数据-基础表'!BB11:BK11="仓储")*('数据-基础表'!BB5:BK5))</f>
        <v>0</v>
      </c>
      <c r="F12" s="1386"/>
      <c r="G12" s="2227"/>
      <c r="H12" s="2227"/>
      <c r="I12" s="1386"/>
      <c r="J12" s="1386"/>
      <c r="K12" s="1386"/>
      <c r="L12" s="1386"/>
      <c r="M12" s="1386"/>
      <c r="N12" s="1386"/>
      <c r="O12" s="1386"/>
      <c r="P12" s="1386"/>
    </row>
    <row r="13" spans="1:16">
      <c r="A13" s="2228"/>
      <c r="B13" s="2229"/>
      <c r="C13" s="48" t="s">
        <v>1922</v>
      </c>
      <c r="D13" s="48">
        <f t="shared" si="0"/>
        <v>0</v>
      </c>
      <c r="E13" s="51">
        <f>SUMPRODUCT(('数据-基础表'!BB10:BK10="地下")*('数据-基础表'!BB11:BK11="车库")*('数据-基础表'!BB5:BK5))</f>
        <v>0</v>
      </c>
      <c r="F13" s="1386"/>
      <c r="G13" s="2227"/>
      <c r="H13" s="2227"/>
      <c r="I13" s="1386"/>
      <c r="J13" s="1386"/>
      <c r="K13" s="1386"/>
      <c r="L13" s="1386"/>
      <c r="M13" s="1386"/>
      <c r="N13" s="1386"/>
      <c r="O13" s="1386"/>
      <c r="P13" s="1386"/>
    </row>
    <row r="14" spans="1:16">
      <c r="A14" s="2228"/>
      <c r="B14" s="2229"/>
      <c r="C14" s="48" t="s">
        <v>1934</v>
      </c>
      <c r="D14" s="48">
        <f t="shared" si="0"/>
        <v>0</v>
      </c>
      <c r="E14" s="51">
        <f>SUMPRODUCT(('数据-基础表'!BB10:BK10="地下")*('数据-基础表'!BB11:BK11="车库—商业")*('数据-基础表'!BB5:BK5))</f>
        <v>0</v>
      </c>
      <c r="F14" s="1386"/>
      <c r="G14" s="2227"/>
      <c r="H14" s="2227"/>
      <c r="I14" s="1386"/>
      <c r="J14" s="1386"/>
      <c r="K14" s="1386"/>
      <c r="L14" s="1386"/>
      <c r="M14" s="1386"/>
      <c r="N14" s="1386"/>
      <c r="O14" s="1386"/>
      <c r="P14" s="1386"/>
    </row>
    <row r="15" spans="1:16" ht="15" thickBot="1">
      <c r="A15" s="2228"/>
      <c r="B15" s="2229"/>
      <c r="C15" s="48" t="s">
        <v>1929</v>
      </c>
      <c r="D15" s="48">
        <f t="shared" si="0"/>
        <v>0</v>
      </c>
      <c r="E15" s="51">
        <f>SUMPRODUCT(('数据-基础表'!BB10:BK10="地下")*('数据-基础表'!BB11:BK11="车库—办公")*('数据-基础表'!BB5:BK5))</f>
        <v>0</v>
      </c>
      <c r="F15" s="1386"/>
      <c r="G15" s="2227"/>
      <c r="H15" s="2227"/>
      <c r="I15" s="1386"/>
      <c r="J15" s="1386"/>
      <c r="K15" s="1386"/>
      <c r="L15" s="1386"/>
      <c r="M15" s="1386"/>
      <c r="N15" s="1386"/>
      <c r="O15" s="1386"/>
      <c r="P15" s="1386"/>
    </row>
    <row r="16" spans="1:16" ht="15.75" thickBot="1">
      <c r="A16" s="2224"/>
      <c r="B16" s="2229"/>
      <c r="C16" s="50" t="s">
        <v>1923</v>
      </c>
      <c r="D16" s="50">
        <f>SUM(D8:D15)</f>
        <v>243673.4</v>
      </c>
      <c r="E16" s="53">
        <f>SUM(E8:E15)</f>
        <v>611930.4</v>
      </c>
      <c r="F16" s="1386"/>
      <c r="G16" s="2227"/>
      <c r="H16" s="2230" t="s">
        <v>1935</v>
      </c>
      <c r="I16" s="2231"/>
      <c r="J16" s="1386"/>
      <c r="K16" s="3149" t="s">
        <v>1935</v>
      </c>
      <c r="L16" s="3150"/>
      <c r="M16" s="3150"/>
      <c r="N16" s="3150"/>
      <c r="O16" s="3150"/>
      <c r="P16" s="3151"/>
    </row>
    <row r="17" spans="1:19" ht="15">
      <c r="A17" s="2232" t="s">
        <v>1936</v>
      </c>
      <c r="B17" s="2233" t="s">
        <v>1937</v>
      </c>
      <c r="C17" s="2234" t="s">
        <v>1938</v>
      </c>
      <c r="D17" s="2235" t="s">
        <v>1926</v>
      </c>
      <c r="E17" s="2236" t="s">
        <v>1927</v>
      </c>
      <c r="F17" s="2237"/>
      <c r="G17" s="2238"/>
      <c r="H17" s="2239" t="s">
        <v>1939</v>
      </c>
      <c r="I17" s="2240" t="s">
        <v>1924</v>
      </c>
      <c r="J17" s="1386"/>
      <c r="K17" s="3146" t="s">
        <v>1940</v>
      </c>
      <c r="L17" s="3147"/>
      <c r="M17" s="3148"/>
      <c r="N17" s="3146" t="s">
        <v>1941</v>
      </c>
      <c r="O17" s="3147"/>
      <c r="P17" s="3148"/>
      <c r="R17" s="2218" t="s">
        <v>1942</v>
      </c>
      <c r="S17" s="64"/>
    </row>
    <row r="18" spans="1:19" ht="15">
      <c r="A18" s="2228"/>
      <c r="B18" s="2241"/>
      <c r="C18" s="2242"/>
      <c r="D18" s="2243"/>
      <c r="E18" s="2244" t="s">
        <v>1943</v>
      </c>
      <c r="F18" s="2245" t="s">
        <v>1944</v>
      </c>
      <c r="G18" s="2246" t="s">
        <v>1945</v>
      </c>
      <c r="H18" s="1256" t="s">
        <v>1946</v>
      </c>
      <c r="I18" s="2247" t="s">
        <v>1947</v>
      </c>
      <c r="J18" s="1386"/>
      <c r="K18" s="1256" t="s">
        <v>1948</v>
      </c>
      <c r="L18" s="2248" t="s">
        <v>1949</v>
      </c>
      <c r="M18" s="1040" t="s">
        <v>1950</v>
      </c>
      <c r="N18" s="1256" t="s">
        <v>1948</v>
      </c>
      <c r="O18" s="2248" t="s">
        <v>1949</v>
      </c>
      <c r="P18" s="1040" t="s">
        <v>1950</v>
      </c>
      <c r="R18" s="1241" t="s">
        <v>1951</v>
      </c>
      <c r="S18" s="1241" t="s">
        <v>1952</v>
      </c>
    </row>
    <row r="19" spans="1:19">
      <c r="A19" s="2249"/>
      <c r="B19" s="50" t="s">
        <v>1925</v>
      </c>
      <c r="C19" s="2250" t="s">
        <v>3721</v>
      </c>
      <c r="D19" s="48">
        <f>ROUND($D$3*E19/$E$3,2)</f>
        <v>8159.21</v>
      </c>
      <c r="E19" s="56">
        <f t="shared" ref="E19:E26" si="1">SUM(F19:G19)</f>
        <v>20490</v>
      </c>
      <c r="F19" s="57">
        <f>'数据-基础表'!I13</f>
        <v>20490</v>
      </c>
      <c r="G19" s="58"/>
      <c r="H19" s="720">
        <f>ROUND($D$3*I19/$E$3,2)</f>
        <v>3548.92</v>
      </c>
      <c r="I19" s="51">
        <f t="shared" ref="I19:I26" si="2">IF($I$17="自定义",P19,M19)</f>
        <v>8912.2999999999993</v>
      </c>
      <c r="J19" s="1386"/>
      <c r="K19" s="1385">
        <f t="shared" ref="K19:K26" si="3">ROUND(E$28*E19/E$27,2)</f>
        <v>8912.2999999999993</v>
      </c>
      <c r="L19" s="1241">
        <f t="shared" ref="L19:L26" si="4">ROUND(IF(COUNTIF(C19,"*住宅*")&gt;0,E$29*E19/E$32,0),2)</f>
        <v>0</v>
      </c>
      <c r="M19" s="1397">
        <f>K19+L19</f>
        <v>8912.2999999999993</v>
      </c>
      <c r="N19" s="2251"/>
      <c r="O19" s="2252"/>
      <c r="P19" s="1397">
        <f>N19+O19</f>
        <v>0</v>
      </c>
      <c r="R19" s="1241">
        <f t="shared" ref="R19:S26" si="5">D19+H19</f>
        <v>11708.130000000001</v>
      </c>
      <c r="S19" s="1242">
        <f t="shared" si="5"/>
        <v>29402.3</v>
      </c>
    </row>
    <row r="20" spans="1:19">
      <c r="A20" s="2253"/>
      <c r="B20" s="50" t="s">
        <v>1953</v>
      </c>
      <c r="C20" s="2250" t="s">
        <v>3722</v>
      </c>
      <c r="D20" s="48">
        <f t="shared" ref="D20:D26" si="6">ROUND($D$3*E20/$E$3,2)</f>
        <v>35480.01</v>
      </c>
      <c r="E20" s="56">
        <f t="shared" si="1"/>
        <v>89100</v>
      </c>
      <c r="F20" s="57">
        <f>'数据-基础表'!K13</f>
        <v>89100</v>
      </c>
      <c r="G20" s="58"/>
      <c r="H20" s="720">
        <f t="shared" ref="H20:H26" si="7">ROUND($D$3*I20/$E$3,2)</f>
        <v>15432.34</v>
      </c>
      <c r="I20" s="51">
        <f t="shared" si="2"/>
        <v>38754.82</v>
      </c>
      <c r="J20" s="1386"/>
      <c r="K20" s="1385">
        <f t="shared" si="3"/>
        <v>38754.82</v>
      </c>
      <c r="L20" s="1241">
        <f t="shared" si="4"/>
        <v>0</v>
      </c>
      <c r="M20" s="1397">
        <f t="shared" ref="M20:M26" si="8">K20+L20</f>
        <v>38754.82</v>
      </c>
      <c r="N20" s="2251"/>
      <c r="O20" s="2252"/>
      <c r="P20" s="1397">
        <f t="shared" ref="P20:P26" si="9">N20+O20</f>
        <v>0</v>
      </c>
      <c r="R20" s="1241">
        <f t="shared" si="5"/>
        <v>50912.350000000006</v>
      </c>
      <c r="S20" s="1242">
        <f t="shared" si="5"/>
        <v>127854.82</v>
      </c>
    </row>
    <row r="21" spans="1:19">
      <c r="A21" s="2253"/>
      <c r="B21" s="50" t="s">
        <v>1953</v>
      </c>
      <c r="C21" s="2250" t="s">
        <v>3723</v>
      </c>
      <c r="D21" s="48">
        <f t="shared" si="6"/>
        <v>12346.89</v>
      </c>
      <c r="E21" s="56">
        <f t="shared" si="1"/>
        <v>31006.400000000001</v>
      </c>
      <c r="F21" s="57">
        <f>'数据-基础表'!M13</f>
        <v>31006.400000000001</v>
      </c>
      <c r="G21" s="58"/>
      <c r="H21" s="720">
        <f t="shared" si="7"/>
        <v>5370.38</v>
      </c>
      <c r="I21" s="51">
        <f t="shared" si="2"/>
        <v>13486.5</v>
      </c>
      <c r="J21" s="1386"/>
      <c r="K21" s="1385">
        <f t="shared" si="3"/>
        <v>13486.5</v>
      </c>
      <c r="L21" s="1241">
        <f t="shared" si="4"/>
        <v>0</v>
      </c>
      <c r="M21" s="1397">
        <f t="shared" si="8"/>
        <v>13486.5</v>
      </c>
      <c r="N21" s="2251"/>
      <c r="O21" s="2252"/>
      <c r="P21" s="1397">
        <f t="shared" si="9"/>
        <v>0</v>
      </c>
      <c r="R21" s="1241">
        <f t="shared" si="5"/>
        <v>17717.27</v>
      </c>
      <c r="S21" s="1242">
        <f t="shared" si="5"/>
        <v>44492.9</v>
      </c>
    </row>
    <row r="22" spans="1:19">
      <c r="A22" s="2253"/>
      <c r="B22" s="50" t="s">
        <v>1953</v>
      </c>
      <c r="C22" s="2250" t="s">
        <v>3724</v>
      </c>
      <c r="D22" s="48">
        <f t="shared" si="6"/>
        <v>187687.29</v>
      </c>
      <c r="E22" s="56">
        <f t="shared" si="1"/>
        <v>471334</v>
      </c>
      <c r="F22" s="61">
        <f>'数据-基础表'!O13</f>
        <v>471334</v>
      </c>
      <c r="G22" s="62"/>
      <c r="H22" s="720">
        <f t="shared" si="7"/>
        <v>81636.22</v>
      </c>
      <c r="I22" s="51">
        <f t="shared" si="2"/>
        <v>205010.83</v>
      </c>
      <c r="J22" s="1386"/>
      <c r="K22" s="1385">
        <f t="shared" si="3"/>
        <v>205010.83</v>
      </c>
      <c r="L22" s="1241">
        <f t="shared" si="4"/>
        <v>0</v>
      </c>
      <c r="M22" s="1397">
        <f t="shared" si="8"/>
        <v>205010.83</v>
      </c>
      <c r="N22" s="2251"/>
      <c r="O22" s="2252"/>
      <c r="P22" s="1397">
        <f t="shared" si="9"/>
        <v>0</v>
      </c>
      <c r="R22" s="1241">
        <f t="shared" si="5"/>
        <v>269323.51</v>
      </c>
      <c r="S22" s="1242">
        <f t="shared" si="5"/>
        <v>676344.83</v>
      </c>
    </row>
    <row r="23" spans="1:19">
      <c r="A23" s="2253"/>
      <c r="B23" s="50" t="s">
        <v>1953</v>
      </c>
      <c r="C23" s="2986" t="s">
        <v>3725</v>
      </c>
      <c r="D23" s="48">
        <f>ROUND($D$3*E23/$E$3,2)</f>
        <v>0</v>
      </c>
      <c r="E23" s="56">
        <f>SUM(F23:G23)</f>
        <v>0</v>
      </c>
      <c r="F23" s="61"/>
      <c r="G23" s="62">
        <f>'数据-基础表'!Q13</f>
        <v>0</v>
      </c>
      <c r="H23" s="720">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1953</v>
      </c>
      <c r="C24" s="60"/>
      <c r="D24" s="48">
        <f>ROUND($D$3*E24/$E$3,2)</f>
        <v>0</v>
      </c>
      <c r="E24" s="56">
        <f>SUM(F24:G24)</f>
        <v>0</v>
      </c>
      <c r="F24" s="61"/>
      <c r="G24" s="62"/>
      <c r="H24" s="720">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1953</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1953</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4"/>
      <c r="O26" s="2255"/>
      <c r="P26" s="67">
        <f t="shared" si="9"/>
        <v>0</v>
      </c>
      <c r="R26" s="1241">
        <f t="shared" si="5"/>
        <v>0</v>
      </c>
      <c r="S26" s="1242">
        <f t="shared" si="5"/>
        <v>0</v>
      </c>
    </row>
    <row r="27" spans="1:19" ht="43.5" thickBot="1">
      <c r="A27" s="2253"/>
      <c r="B27" s="48"/>
      <c r="C27" s="2256" t="s">
        <v>1954</v>
      </c>
      <c r="D27" s="1387">
        <f>SUM(D19:D26)</f>
        <v>243673.40000000002</v>
      </c>
      <c r="E27" s="1388">
        <f>IF(SUM(E19:E26)='数据-基础表'!BA5,SUM(E19:E26),IF(F27="地上面积有误","面积有误","地下面积有误"))</f>
        <v>611930.4</v>
      </c>
      <c r="F27" s="1387">
        <f>IF(SUM(F19:F26)=E8,SUM(F19:F26),"地上面积有误")</f>
        <v>611930.4</v>
      </c>
      <c r="G27" s="1389">
        <f>SUM(G19:G26)</f>
        <v>0</v>
      </c>
      <c r="H27" s="1390">
        <f>SUM(H19:H26)</f>
        <v>105987.86</v>
      </c>
      <c r="I27" s="1391">
        <f>SUM(I19:I26)</f>
        <v>266164.44999999995</v>
      </c>
      <c r="J27" s="1386"/>
      <c r="K27" s="1394">
        <f t="shared" ref="K27:P27" si="10">SUM(K19:K26)</f>
        <v>266164.44999999995</v>
      </c>
      <c r="L27" s="1395">
        <f t="shared" si="10"/>
        <v>0</v>
      </c>
      <c r="M27" s="1398">
        <f t="shared" si="10"/>
        <v>266164.44999999995</v>
      </c>
      <c r="N27" s="1394">
        <f t="shared" si="10"/>
        <v>0</v>
      </c>
      <c r="O27" s="1395">
        <f t="shared" si="10"/>
        <v>0</v>
      </c>
      <c r="P27" s="1396">
        <f t="shared" si="10"/>
        <v>0</v>
      </c>
      <c r="R27" s="1243" t="str">
        <f>IF(SUM(R19:R26)=$D$3,SUM(R19:R26),SUM(R19:R26)&amp;"误差"&amp;ROUND(SUM(R19:R26)-$D$3,2))</f>
        <v>349661.26误差-8875.74</v>
      </c>
      <c r="S27" s="1241" t="str">
        <f>IF(SUM(S19:S26)=$E$3,SUM(S19:S26),SUM(S19:S26)&amp;"误差"&amp;ROUND(SUM(S19:S26)-E3,2))</f>
        <v>878094.85误差-22289.41</v>
      </c>
    </row>
    <row r="28" spans="1:19">
      <c r="A28" s="2253"/>
      <c r="B28" s="50" t="s">
        <v>1955</v>
      </c>
      <c r="C28" s="1253" t="s">
        <v>1956</v>
      </c>
      <c r="D28" s="48">
        <f>ROUND($D$3*E28/$E$3,2)</f>
        <v>105987.87</v>
      </c>
      <c r="E28" s="56">
        <f>SUM(F28:G28)</f>
        <v>266164.45999999996</v>
      </c>
      <c r="F28" s="64">
        <f>'数据-基础表'!BQ5+'数据-基础表'!BS5</f>
        <v>7350</v>
      </c>
      <c r="G28" s="65">
        <f>'数据-基础表'!BR5+'数据-基础表'!BT5</f>
        <v>258814.45999999996</v>
      </c>
      <c r="H28" s="1386"/>
      <c r="I28" s="1386"/>
      <c r="J28" s="1386"/>
      <c r="K28" s="1386"/>
      <c r="L28" s="1386"/>
      <c r="M28" s="1386"/>
      <c r="N28" s="1386"/>
      <c r="O28" s="1386"/>
      <c r="P28" s="1386"/>
    </row>
    <row r="29" spans="1:19">
      <c r="A29" s="2253"/>
      <c r="B29" s="50" t="s">
        <v>1955</v>
      </c>
      <c r="C29" s="2257" t="s">
        <v>1957</v>
      </c>
      <c r="D29" s="48">
        <f>ROUND($D$3*E29/$E$3,2)</f>
        <v>8875.74</v>
      </c>
      <c r="E29" s="56">
        <f>SUM(F29:G29)</f>
        <v>22289.398973000003</v>
      </c>
      <c r="F29" s="66">
        <f>'数据-基础表'!BM5+'数据-基础表'!BO5</f>
        <v>19289.398973000003</v>
      </c>
      <c r="G29" s="67">
        <f>'数据-基础表'!BN5+'数据-基础表'!BP5</f>
        <v>3000</v>
      </c>
      <c r="H29" s="1386"/>
      <c r="I29" s="1386"/>
      <c r="J29" s="1386"/>
      <c r="K29" s="1386"/>
      <c r="L29" s="1386"/>
      <c r="M29" s="1386"/>
      <c r="N29" s="1386"/>
      <c r="O29" s="1386"/>
      <c r="P29" s="1386"/>
    </row>
    <row r="30" spans="1:19" ht="15">
      <c r="A30" s="2253"/>
      <c r="B30" s="50"/>
      <c r="C30" s="2258" t="s">
        <v>1954</v>
      </c>
      <c r="D30" s="1387">
        <f>SUM(D28:D29)</f>
        <v>114863.61</v>
      </c>
      <c r="E30" s="1387">
        <f>SUM(E28:E29)</f>
        <v>288453.85897299997</v>
      </c>
      <c r="F30" s="1387">
        <f>SUM(F28:F29)</f>
        <v>26639.398973000003</v>
      </c>
      <c r="G30" s="1389">
        <f>SUM(G28:G29)</f>
        <v>261814.45999999996</v>
      </c>
      <c r="H30" s="1386"/>
      <c r="I30" s="1386"/>
      <c r="J30" s="1386"/>
      <c r="K30" s="1386"/>
      <c r="L30" s="1386"/>
      <c r="M30" s="1386"/>
      <c r="N30" s="1386"/>
      <c r="O30" s="1386"/>
      <c r="P30" s="1386"/>
    </row>
    <row r="31" spans="1:19" ht="15.75" thickBot="1">
      <c r="A31" s="2259"/>
      <c r="B31" s="2260"/>
      <c r="C31" s="1001" t="s">
        <v>1958</v>
      </c>
      <c r="D31" s="725">
        <f>D27+D30</f>
        <v>358537.01</v>
      </c>
      <c r="E31" s="725">
        <f>E27+E30</f>
        <v>900384.25897299999</v>
      </c>
      <c r="F31" s="726">
        <f>F27+F30</f>
        <v>638569.79897300003</v>
      </c>
      <c r="G31" s="727">
        <f>G27+G30</f>
        <v>261814.45999999996</v>
      </c>
      <c r="H31" s="1386"/>
      <c r="I31" s="1386"/>
      <c r="J31" s="1386"/>
      <c r="K31" s="1386"/>
      <c r="L31" s="1386"/>
      <c r="M31" s="1386"/>
      <c r="N31" s="1386"/>
      <c r="O31" s="1386"/>
      <c r="P31" s="1386"/>
    </row>
    <row r="32" spans="1:19">
      <c r="A32" s="2223"/>
      <c r="B32" s="2223" t="s">
        <v>1959</v>
      </c>
      <c r="C32" s="2223"/>
      <c r="D32" s="2223"/>
      <c r="E32" s="1268">
        <f>SUMIF(C19:C26,"*住宅*",E19:E26)</f>
        <v>0</v>
      </c>
      <c r="F32" s="2223"/>
      <c r="G32" s="2223"/>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32" activePane="bottomRight" state="frozen"/>
      <selection activeCell="C50" sqref="C50"/>
      <selection pane="topRight" activeCell="C50" sqref="C50"/>
      <selection pane="bottomLeft" activeCell="C50" sqref="C50"/>
      <selection pane="bottomRight" activeCell="P57" sqref="P57"/>
    </sheetView>
  </sheetViews>
  <sheetFormatPr defaultColWidth="13.625" defaultRowHeight="12.75"/>
  <cols>
    <col min="1" max="1" width="20.875" style="2335" customWidth="1"/>
    <col min="2" max="2" width="12" style="2265" customWidth="1"/>
    <col min="3" max="3" width="10.62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hidden="1" customWidth="1"/>
    <col min="22" max="22" width="6.375" style="2265" hidden="1" customWidth="1"/>
    <col min="23" max="30" width="6.625" style="2265" hidden="1" customWidth="1"/>
    <col min="31" max="31" width="8" style="2265" hidden="1" customWidth="1"/>
    <col min="32" max="34" width="7.125" style="2265" hidden="1" customWidth="1"/>
    <col min="35" max="39" width="8" style="2265" hidden="1" customWidth="1"/>
    <col min="40" max="40" width="0" style="2264" hidden="1" customWidth="1"/>
    <col min="41" max="41" width="11.625" style="2264" hidden="1" customWidth="1"/>
    <col min="42" max="42" width="9.625" style="2264" hidden="1" customWidth="1"/>
    <col min="43" max="44" width="0" style="2264" hidden="1" customWidth="1"/>
    <col min="45" max="67" width="13.625" style="2264"/>
    <col min="68" max="16384" width="13.625" style="2265"/>
  </cols>
  <sheetData>
    <row r="1" spans="1:67" ht="19.5" thickBot="1">
      <c r="A1" s="2262" t="s">
        <v>1960</v>
      </c>
      <c r="B1" s="728"/>
      <c r="C1" s="1574"/>
      <c r="D1" s="2263"/>
      <c r="E1" s="1574"/>
      <c r="F1" s="1574"/>
      <c r="G1" s="1574"/>
      <c r="H1" s="1574"/>
      <c r="I1" s="1574"/>
      <c r="J1" s="1574"/>
      <c r="K1" s="165"/>
      <c r="L1" s="165"/>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3" customFormat="1" ht="15.75" thickBot="1">
      <c r="A2" s="2266" t="s">
        <v>1961</v>
      </c>
      <c r="B2" s="1260">
        <f>项目基本情况!D3</f>
        <v>43782</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5" thickBot="1">
      <c r="A3" s="2021"/>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8" t="s">
        <v>1962</v>
      </c>
      <c r="B4" s="2271"/>
      <c r="C4" s="2272"/>
      <c r="D4" s="2273"/>
      <c r="E4" s="2272" t="s">
        <v>1963</v>
      </c>
      <c r="F4" s="2272"/>
      <c r="G4" s="2272"/>
      <c r="H4" s="2272"/>
      <c r="I4" s="2272"/>
      <c r="J4" s="2274"/>
      <c r="K4" s="2275"/>
      <c r="L4" s="2276"/>
      <c r="M4" s="2272"/>
      <c r="N4" s="2272" t="s">
        <v>1964</v>
      </c>
      <c r="O4" s="2272"/>
      <c r="P4" s="2272"/>
      <c r="Q4" s="2272"/>
      <c r="R4" s="2272"/>
      <c r="S4" s="2274"/>
      <c r="T4" s="2277" t="str">
        <f>'数据-汇总表'!I17</f>
        <v>按面积比例</v>
      </c>
      <c r="U4" s="2271" t="s">
        <v>1965</v>
      </c>
      <c r="V4" s="2272"/>
      <c r="W4" s="2272"/>
      <c r="X4" s="2272"/>
      <c r="Y4" s="2274"/>
      <c r="Z4" s="2234" t="s">
        <v>1966</v>
      </c>
      <c r="AA4" s="2234"/>
      <c r="AB4" s="2234"/>
      <c r="AC4" s="2234"/>
      <c r="AD4" s="2234"/>
      <c r="AE4" s="2232" t="s">
        <v>1967</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2">
      <c r="A5" s="2279" t="s">
        <v>1968</v>
      </c>
      <c r="B5" s="2280" t="s">
        <v>1969</v>
      </c>
      <c r="C5" s="2281" t="s">
        <v>1970</v>
      </c>
      <c r="D5" s="2282" t="s">
        <v>1971</v>
      </c>
      <c r="E5" s="1262" t="s">
        <v>1972</v>
      </c>
      <c r="F5" s="2283" t="s">
        <v>1973</v>
      </c>
      <c r="G5" s="1262" t="s">
        <v>1974</v>
      </c>
      <c r="H5" s="1262" t="s">
        <v>1975</v>
      </c>
      <c r="I5" s="1262" t="s">
        <v>1976</v>
      </c>
      <c r="J5" s="2284" t="s">
        <v>1977</v>
      </c>
      <c r="K5" s="2285" t="s">
        <v>1978</v>
      </c>
      <c r="L5" s="2286" t="s">
        <v>1979</v>
      </c>
      <c r="M5" s="2287" t="s">
        <v>1980</v>
      </c>
      <c r="N5" s="2288" t="s">
        <v>1981</v>
      </c>
      <c r="O5" s="2286" t="s">
        <v>1982</v>
      </c>
      <c r="P5" s="2289" t="s">
        <v>1983</v>
      </c>
      <c r="Q5" s="69" t="s">
        <v>1984</v>
      </c>
      <c r="R5" s="2290" t="s">
        <v>1985</v>
      </c>
      <c r="S5" s="2291" t="s">
        <v>1986</v>
      </c>
      <c r="T5" s="2292" t="s">
        <v>1987</v>
      </c>
      <c r="U5" s="1261" t="s">
        <v>1988</v>
      </c>
      <c r="V5" s="1262" t="s">
        <v>1989</v>
      </c>
      <c r="W5" s="1262" t="s">
        <v>1990</v>
      </c>
      <c r="X5" s="71"/>
      <c r="Y5" s="70" t="s">
        <v>1991</v>
      </c>
      <c r="Z5" s="2293" t="s">
        <v>1988</v>
      </c>
      <c r="AA5" s="1262" t="s">
        <v>1989</v>
      </c>
      <c r="AB5" s="1262" t="s">
        <v>1990</v>
      </c>
      <c r="AC5" s="71"/>
      <c r="AD5" s="71" t="s">
        <v>1991</v>
      </c>
      <c r="AE5" s="1261" t="s">
        <v>1992</v>
      </c>
      <c r="AF5" s="1262" t="s">
        <v>1993</v>
      </c>
      <c r="AG5" s="70" t="s">
        <v>1994</v>
      </c>
      <c r="AH5" s="1261" t="s">
        <v>1995</v>
      </c>
      <c r="AI5" s="2293" t="s">
        <v>1996</v>
      </c>
      <c r="AJ5" s="2293" t="s">
        <v>1997</v>
      </c>
      <c r="AK5" s="1262" t="s">
        <v>1998</v>
      </c>
      <c r="AL5" s="1262" t="s">
        <v>1999</v>
      </c>
      <c r="AM5" s="70" t="s">
        <v>2000</v>
      </c>
      <c r="AN5" s="2294" t="s">
        <v>2001</v>
      </c>
      <c r="AO5" s="2064" t="s">
        <v>2002</v>
      </c>
      <c r="AP5" s="1243" t="s">
        <v>2003</v>
      </c>
      <c r="AQ5" s="2295" t="s">
        <v>2004</v>
      </c>
      <c r="AR5" s="2295" t="s">
        <v>2005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3" customFormat="1" ht="14.25">
      <c r="A6" s="2296" t="str">
        <f>'数据-汇总表'!C19</f>
        <v>联排/合院</v>
      </c>
      <c r="B6" s="2297" t="str">
        <f>IF(A6=0,"","经营性")</f>
        <v>经营性</v>
      </c>
      <c r="C6" s="2298" t="s">
        <v>3059</v>
      </c>
      <c r="D6" s="1045">
        <f>SUMIF(项目基本情况!D$12:I$12,C6,项目基本情况!D$14:I$14)</f>
        <v>70</v>
      </c>
      <c r="E6" s="1042">
        <f>IF(B6="","",SUMIF(项目基本情况!D$12:I$12,C6,项目基本情况!D$13:I$13))</f>
        <v>64907</v>
      </c>
      <c r="F6" s="72">
        <f>SUMIF(项目基本情况!D$12:I$12,C6,项目基本情况!D$15:I$15)</f>
        <v>57.87</v>
      </c>
      <c r="G6" s="73">
        <f t="shared" ref="G6:G13" si="0">IF(ISERROR(ROUND(POWER(1+H6,D6-F6)*(POWER(1+H6,F6)-1)/(POWER(1+H6,D6)-1),3)),0,ROUND(POWER(1+H6,D6-F6)*(POWER(1+H6,F6)-1)/(POWER(1+H6,D6)-1),3))</f>
        <v>0.96599999999999997</v>
      </c>
      <c r="H6" s="798">
        <v>4.4999999999999998E-2</v>
      </c>
      <c r="I6" s="798">
        <v>0.05</v>
      </c>
      <c r="J6" s="74"/>
      <c r="K6" s="1245">
        <f>SUMIF('数据-汇总表'!C$19:C$33,A6,'数据-汇总表'!E$19:E$33)</f>
        <v>20490</v>
      </c>
      <c r="L6" s="3032">
        <v>3000</v>
      </c>
      <c r="M6" s="75">
        <f t="shared" ref="M6:M14" si="1">ROUND(K6*L6/10000,0)</f>
        <v>6147</v>
      </c>
      <c r="N6" s="797">
        <v>0</v>
      </c>
      <c r="O6" s="75">
        <f>IF($N$5="成新度","——",ROUND(M6*N6,0))</f>
        <v>0</v>
      </c>
      <c r="P6" s="76">
        <f>IF($N$5="成新度","——",M6-O6)</f>
        <v>6147</v>
      </c>
      <c r="Q6" s="3033">
        <v>0.2</v>
      </c>
      <c r="R6" s="77">
        <f ca="1">SUMIF('数据-汇总表'!C$19:C$33,A6,'数据-汇总表'!R$19:R$27)</f>
        <v>11708.130000000001</v>
      </c>
      <c r="S6" s="54">
        <f>IF('数据-汇总表'!$I$17="按面积比例",SUMIF('数据-汇总表'!C$19:C$33,A6,'数据-汇总表'!K$19:K$33),SUMIF('数据-汇总表'!C$19:C$33,A6,'数据-汇总表'!N$19:N$33))</f>
        <v>8912.2999999999993</v>
      </c>
      <c r="T6" s="1437">
        <f>ROUND($L$14*S6/10000,0)</f>
        <v>1782</v>
      </c>
      <c r="U6" s="78"/>
      <c r="V6" s="79"/>
      <c r="W6" s="79"/>
      <c r="X6" s="1255"/>
      <c r="Y6" s="80"/>
      <c r="Z6" s="81"/>
      <c r="AA6" s="74"/>
      <c r="AB6" s="74"/>
      <c r="AC6" s="1255"/>
      <c r="AD6" s="82"/>
      <c r="AE6" s="1256">
        <f ca="1">IF(AN6="",0,SUMIF(INDIRECT("'"&amp;AN6&amp;"'"&amp;"!E:E"),$AE$5,INDIRECT("'"&amp;AN6&amp;"'"&amp;"!F:F")))</f>
        <v>0</v>
      </c>
      <c r="AF6" s="1797"/>
      <c r="AG6" s="144">
        <f>IF(AF6="",0,AE6-AF6)</f>
        <v>0</v>
      </c>
      <c r="AH6" s="83"/>
      <c r="AI6" s="85"/>
      <c r="AJ6" s="86"/>
      <c r="AK6" s="87"/>
      <c r="AL6" s="88"/>
      <c r="AM6" s="89"/>
      <c r="AN6" s="2299"/>
      <c r="AO6" s="55" t="e">
        <f ca="1">SUMIF(INDIRECT("'"&amp;AN6&amp;"'"&amp;"!A:A"),"总价",INDIRECT("'"&amp;AN6&amp;"'"&amp;"!B:B"))</f>
        <v>#REF!</v>
      </c>
      <c r="AP6" s="2300">
        <f>IF(C6="住宅",K6*L6,0)</f>
        <v>61470000</v>
      </c>
      <c r="AQ6" s="55">
        <f>ROUND($L$14*$N$14*S6/10000,0)</f>
        <v>0</v>
      </c>
      <c r="AR6" s="55">
        <f>ROUND($L$14*(1-$N$14)*S6/10000,0)</f>
        <v>1782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4.25">
      <c r="A7" s="2296" t="str">
        <f>'数据-汇总表'!C20</f>
        <v>叠拼</v>
      </c>
      <c r="B7" s="2297" t="str">
        <f t="shared" ref="B7:B13" si="2">IF(A7=0,"","经营性")</f>
        <v>经营性</v>
      </c>
      <c r="C7" s="2298" t="s">
        <v>3059</v>
      </c>
      <c r="D7" s="1045">
        <f>SUMIF(项目基本情况!D$12:I$12,C7,项目基本情况!D$14:I$14)</f>
        <v>70</v>
      </c>
      <c r="E7" s="1042">
        <f>IF(B7="","",SUMIF(项目基本情况!D$12:I$12,C7,项目基本情况!D$13:I$13))</f>
        <v>64907</v>
      </c>
      <c r="F7" s="72">
        <f>SUMIF(项目基本情况!D$12:I$12,C7,项目基本情况!D$15:I$15)</f>
        <v>57.87</v>
      </c>
      <c r="G7" s="73">
        <f t="shared" si="0"/>
        <v>0.96599999999999997</v>
      </c>
      <c r="H7" s="798">
        <v>4.4999999999999998E-2</v>
      </c>
      <c r="I7" s="798">
        <v>0.05</v>
      </c>
      <c r="J7" s="74"/>
      <c r="K7" s="1245">
        <f>SUMIF('数据-汇总表'!C$19:C$33,A7,'数据-汇总表'!E$19:E$33)</f>
        <v>89100</v>
      </c>
      <c r="L7" s="3032">
        <v>3000</v>
      </c>
      <c r="M7" s="75">
        <f t="shared" si="1"/>
        <v>26730</v>
      </c>
      <c r="N7" s="797">
        <f>N6</f>
        <v>0</v>
      </c>
      <c r="O7" s="75">
        <f t="shared" ref="O7:O14" si="3">IF($N$5="成新度","——",ROUND(M7*N7,0))</f>
        <v>0</v>
      </c>
      <c r="P7" s="76">
        <f t="shared" ref="P7:P14" si="4">IF($N$5="成新度","——",M7-O7)</f>
        <v>26730</v>
      </c>
      <c r="Q7" s="3033">
        <v>0.15</v>
      </c>
      <c r="R7" s="77">
        <f ca="1">SUMIF('数据-汇总表'!C$19:C$33,A7,'数据-汇总表'!R$19:R$27)</f>
        <v>50912.350000000006</v>
      </c>
      <c r="S7" s="54">
        <f>IF('数据-汇总表'!$I$17="按面积比例",SUMIF('数据-汇总表'!C$19:C$33,A7,'数据-汇总表'!K$19:K$33),SUMIF('数据-汇总表'!C$19:C$33,A7,'数据-汇总表'!N$19:N$33))</f>
        <v>38754.82</v>
      </c>
      <c r="T7" s="1437">
        <f t="shared" ref="T7:T13" si="5">ROUND($L$14*S7/10000,0)</f>
        <v>7751</v>
      </c>
      <c r="U7" s="78"/>
      <c r="V7" s="79"/>
      <c r="W7" s="79"/>
      <c r="X7" s="1255"/>
      <c r="Y7" s="80"/>
      <c r="Z7" s="81"/>
      <c r="AA7" s="74"/>
      <c r="AB7" s="74"/>
      <c r="AC7" s="1255"/>
      <c r="AD7" s="82"/>
      <c r="AE7" s="1256">
        <f t="shared" ref="AE7:AE13" ca="1" si="6">IF(AN7="",0,SUMIF(INDIRECT("'"&amp;AN7&amp;"'"&amp;"!E:E"),$AE$5,INDIRECT("'"&amp;AN7&amp;"'"&amp;"!F:F")))</f>
        <v>0</v>
      </c>
      <c r="AF7" s="1797"/>
      <c r="AG7" s="144">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267300000</v>
      </c>
      <c r="AQ7" s="55">
        <f t="shared" ref="AQ7:AQ13" si="10">ROUND($L$14*$N$14*S7/10000,0)</f>
        <v>0</v>
      </c>
      <c r="AR7" s="55">
        <f t="shared" ref="AR7:AR13" si="11">ROUND($L$14*(1-$N$14)*S7/10000,0)</f>
        <v>7751</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4.25">
      <c r="A8" s="2296" t="str">
        <f>'数据-汇总表'!C21</f>
        <v>多层</v>
      </c>
      <c r="B8" s="2297" t="str">
        <f t="shared" si="2"/>
        <v>经营性</v>
      </c>
      <c r="C8" s="2298" t="s">
        <v>3059</v>
      </c>
      <c r="D8" s="1045">
        <f>SUMIF(项目基本情况!D$12:I$12,C8,项目基本情况!D$14:I$14)</f>
        <v>70</v>
      </c>
      <c r="E8" s="1042">
        <f>IF(B8="","",SUMIF(项目基本情况!D$12:I$12,C8,项目基本情况!D$13:I$13))</f>
        <v>64907</v>
      </c>
      <c r="F8" s="72">
        <f>SUMIF(项目基本情况!D$12:I$12,C8,项目基本情况!D$15:I$15)</f>
        <v>57.87</v>
      </c>
      <c r="G8" s="73">
        <f t="shared" si="0"/>
        <v>0.96599999999999997</v>
      </c>
      <c r="H8" s="798">
        <v>4.4999999999999998E-2</v>
      </c>
      <c r="I8" s="798">
        <v>0.05</v>
      </c>
      <c r="J8" s="74"/>
      <c r="K8" s="1245">
        <f>SUMIF('数据-汇总表'!C$19:C$33,A8,'数据-汇总表'!E$19:E$33)</f>
        <v>31006.400000000001</v>
      </c>
      <c r="L8" s="3032">
        <v>3000</v>
      </c>
      <c r="M8" s="75">
        <f>ROUND(K8*L8/10000,0)</f>
        <v>9302</v>
      </c>
      <c r="N8" s="797">
        <f t="shared" ref="N8:N14" si="12">N7</f>
        <v>0</v>
      </c>
      <c r="O8" s="75">
        <f t="shared" si="3"/>
        <v>0</v>
      </c>
      <c r="P8" s="76">
        <f t="shared" si="4"/>
        <v>9302</v>
      </c>
      <c r="Q8" s="3033">
        <v>0.15</v>
      </c>
      <c r="R8" s="77">
        <f ca="1">SUMIF('数据-汇总表'!C$19:C$33,A8,'数据-汇总表'!R$19:R$27)</f>
        <v>17717.27</v>
      </c>
      <c r="S8" s="54">
        <f>IF('数据-汇总表'!$I$17="按面积比例",SUMIF('数据-汇总表'!C$19:C$33,A8,'数据-汇总表'!K$19:K$33),SUMIF('数据-汇总表'!C$19:C$33,A8,'数据-汇总表'!N$19:N$33))</f>
        <v>13486.5</v>
      </c>
      <c r="T8" s="1437">
        <f t="shared" si="5"/>
        <v>2697</v>
      </c>
      <c r="U8" s="800"/>
      <c r="V8" s="801"/>
      <c r="W8" s="801"/>
      <c r="X8" s="1255"/>
      <c r="Y8" s="802"/>
      <c r="Z8" s="81"/>
      <c r="AA8" s="74"/>
      <c r="AB8" s="74"/>
      <c r="AC8" s="1255"/>
      <c r="AD8" s="82"/>
      <c r="AE8" s="1256">
        <f t="shared" ca="1" si="6"/>
        <v>0</v>
      </c>
      <c r="AF8" s="1797"/>
      <c r="AG8" s="144">
        <f t="shared" si="7"/>
        <v>0</v>
      </c>
      <c r="AH8" s="803"/>
      <c r="AI8" s="85"/>
      <c r="AJ8" s="86"/>
      <c r="AK8" s="804"/>
      <c r="AL8" s="805"/>
      <c r="AM8" s="806"/>
      <c r="AN8" s="2299"/>
      <c r="AO8" s="55" t="e">
        <f t="shared" ca="1" si="8"/>
        <v>#REF!</v>
      </c>
      <c r="AP8" s="2300">
        <f t="shared" si="9"/>
        <v>93019200</v>
      </c>
      <c r="AQ8" s="55">
        <f t="shared" si="10"/>
        <v>0</v>
      </c>
      <c r="AR8" s="55">
        <f t="shared" si="11"/>
        <v>2697</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4.25">
      <c r="A9" s="2296" t="str">
        <f>'数据-汇总表'!C22</f>
        <v>高层</v>
      </c>
      <c r="B9" s="2297" t="str">
        <f t="shared" si="2"/>
        <v>经营性</v>
      </c>
      <c r="C9" s="2298" t="s">
        <v>3059</v>
      </c>
      <c r="D9" s="1045">
        <f>SUMIF(项目基本情况!D$12:I$12,C9,项目基本情况!D$14:I$14)</f>
        <v>70</v>
      </c>
      <c r="E9" s="1042">
        <f>IF(B9="","",SUMIF(项目基本情况!D$12:I$12,C9,项目基本情况!D$13:I$13))</f>
        <v>64907</v>
      </c>
      <c r="F9" s="72">
        <f>SUMIF(项目基本情况!D$12:I$12,C9,项目基本情况!D$15:I$15)</f>
        <v>57.87</v>
      </c>
      <c r="G9" s="73">
        <f t="shared" si="0"/>
        <v>0.96599999999999997</v>
      </c>
      <c r="H9" s="798">
        <v>4.4999999999999998E-2</v>
      </c>
      <c r="I9" s="798">
        <v>0.05</v>
      </c>
      <c r="J9" s="74"/>
      <c r="K9" s="1245">
        <f>SUMIF('数据-汇总表'!C$19:C$33,A9,'数据-汇总表'!E$19:E$33)</f>
        <v>471334</v>
      </c>
      <c r="L9" s="3032">
        <v>3000</v>
      </c>
      <c r="M9" s="75">
        <f t="shared" si="1"/>
        <v>141400</v>
      </c>
      <c r="N9" s="797">
        <f t="shared" si="12"/>
        <v>0</v>
      </c>
      <c r="O9" s="75">
        <f t="shared" si="3"/>
        <v>0</v>
      </c>
      <c r="P9" s="76">
        <f t="shared" si="4"/>
        <v>141400</v>
      </c>
      <c r="Q9" s="3034">
        <v>0.12</v>
      </c>
      <c r="R9" s="77">
        <f ca="1">SUMIF('数据-汇总表'!C$19:C$33,A9,'数据-汇总表'!R$19:R$27)</f>
        <v>269323.51</v>
      </c>
      <c r="S9" s="54">
        <f>IF('数据-汇总表'!$I$17="按面积比例",SUMIF('数据-汇总表'!C$19:C$33,A9,'数据-汇总表'!K$19:K$33),SUMIF('数据-汇总表'!C$19:C$33,A9,'数据-汇总表'!N$19:N$33))</f>
        <v>205010.83</v>
      </c>
      <c r="T9" s="1437">
        <f t="shared" si="5"/>
        <v>41002</v>
      </c>
      <c r="U9" s="78"/>
      <c r="V9" s="79"/>
      <c r="W9" s="79"/>
      <c r="X9" s="1255"/>
      <c r="Y9" s="80"/>
      <c r="Z9" s="81"/>
      <c r="AA9" s="74"/>
      <c r="AB9" s="74"/>
      <c r="AC9" s="1255"/>
      <c r="AD9" s="82"/>
      <c r="AE9" s="1256">
        <f t="shared" ca="1" si="6"/>
        <v>0</v>
      </c>
      <c r="AF9" s="1797"/>
      <c r="AG9" s="144">
        <f t="shared" si="7"/>
        <v>0</v>
      </c>
      <c r="AH9" s="83"/>
      <c r="AI9" s="85"/>
      <c r="AJ9" s="86"/>
      <c r="AK9" s="87"/>
      <c r="AL9" s="88"/>
      <c r="AM9" s="89"/>
      <c r="AN9" s="2299"/>
      <c r="AO9" s="55" t="e">
        <f t="shared" ca="1" si="8"/>
        <v>#REF!</v>
      </c>
      <c r="AP9" s="2300">
        <f t="shared" si="9"/>
        <v>1414002000</v>
      </c>
      <c r="AQ9" s="55">
        <f t="shared" si="10"/>
        <v>0</v>
      </c>
      <c r="AR9" s="55">
        <f t="shared" si="11"/>
        <v>41002</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4.25" hidden="1">
      <c r="A10" s="2296" t="str">
        <f>'数据-汇总表'!C23</f>
        <v>地下车库</v>
      </c>
      <c r="B10" s="2297" t="str">
        <f t="shared" si="2"/>
        <v>经营性</v>
      </c>
      <c r="C10" s="2298" t="s">
        <v>3070</v>
      </c>
      <c r="D10" s="1045">
        <f>SUMIF(项目基本情况!D$12:I$12,C10,项目基本情况!D$14:I$14)</f>
        <v>50</v>
      </c>
      <c r="E10" s="1042">
        <f>IF(B10="","",SUMIF(项目基本情况!D$12:I$12,C10,项目基本情况!D$13:I$13))</f>
        <v>57602</v>
      </c>
      <c r="F10" s="72">
        <f>SUMIF(项目基本情况!D$12:I$12,C10,项目基本情况!D$15:I$15)</f>
        <v>37.86</v>
      </c>
      <c r="G10" s="73">
        <f t="shared" si="0"/>
        <v>0.91200000000000003</v>
      </c>
      <c r="H10" s="798">
        <v>4.4999999999999998E-2</v>
      </c>
      <c r="I10" s="798">
        <v>0.05</v>
      </c>
      <c r="J10" s="74"/>
      <c r="K10" s="1245">
        <f>SUMIF('数据-汇总表'!C$19:C$33,A10,'数据-汇总表'!E$19:E$33)</f>
        <v>0</v>
      </c>
      <c r="L10" s="799"/>
      <c r="M10" s="75">
        <f t="shared" si="1"/>
        <v>0</v>
      </c>
      <c r="N10" s="797">
        <f t="shared" si="12"/>
        <v>0</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4">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4.25" hidden="1">
      <c r="A11" s="2296">
        <f>'数据-汇总表'!C24</f>
        <v>0</v>
      </c>
      <c r="B11" s="2297" t="str">
        <f t="shared" si="2"/>
        <v/>
      </c>
      <c r="C11" s="2298"/>
      <c r="D11" s="1045">
        <f>SUMIF(项目基本情况!D$12:I$12,C11,项目基本情况!D$14:I$14)</f>
        <v>0</v>
      </c>
      <c r="E11" s="1042" t="str">
        <f>IF(B11="","",SUMIF(项目基本情况!D$12:I$12,C11,项目基本情况!D$13:I$13))</f>
        <v/>
      </c>
      <c r="F11" s="72">
        <f>SUMIF(项目基本情况!D$12:I$12,C11,项目基本情况!D$15:I$15)</f>
        <v>0</v>
      </c>
      <c r="G11" s="73">
        <f t="shared" si="0"/>
        <v>0</v>
      </c>
      <c r="H11" s="74"/>
      <c r="I11" s="74"/>
      <c r="J11" s="74"/>
      <c r="K11" s="1245">
        <f>SUMIF('数据-汇总表'!C$19:C$33,A11,'数据-汇总表'!E$19:E$33)</f>
        <v>0</v>
      </c>
      <c r="L11" s="91"/>
      <c r="M11" s="75">
        <f t="shared" si="1"/>
        <v>0</v>
      </c>
      <c r="N11" s="797">
        <f t="shared" si="12"/>
        <v>0</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2"/>
      <c r="AA11" s="74"/>
      <c r="AB11" s="74"/>
      <c r="AC11" s="1255"/>
      <c r="AD11" s="82"/>
      <c r="AE11" s="1256">
        <f t="shared" ca="1" si="6"/>
        <v>0</v>
      </c>
      <c r="AF11" s="1797"/>
      <c r="AG11" s="144">
        <f t="shared" si="7"/>
        <v>0</v>
      </c>
      <c r="AH11" s="83"/>
      <c r="AI11" s="85"/>
      <c r="AJ11" s="86"/>
      <c r="AK11" s="93"/>
      <c r="AL11" s="94"/>
      <c r="AM11" s="95"/>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4.25" hidden="1">
      <c r="A12" s="2296">
        <f>'数据-汇总表'!C25</f>
        <v>0</v>
      </c>
      <c r="B12" s="2297" t="str">
        <f t="shared" si="2"/>
        <v/>
      </c>
      <c r="C12" s="2298"/>
      <c r="D12" s="1045">
        <f>SUMIF(项目基本情况!D$12:I$12,C12,项目基本情况!D$14:I$14)</f>
        <v>0</v>
      </c>
      <c r="E12" s="1042" t="str">
        <f>IF(B12="","",SUMIF(项目基本情况!D$12:I$12,C12,项目基本情况!D$13:I$13))</f>
        <v/>
      </c>
      <c r="F12" s="72">
        <f>SUMIF(项目基本情况!D$12:I$12,C12,项目基本情况!D$15:I$15)</f>
        <v>0</v>
      </c>
      <c r="G12" s="73">
        <f t="shared" si="0"/>
        <v>0</v>
      </c>
      <c r="H12" s="74"/>
      <c r="I12" s="74"/>
      <c r="J12" s="74"/>
      <c r="K12" s="1245">
        <f>SUMIF('数据-汇总表'!C$19:C$33,A12,'数据-汇总表'!E$19:E$33)</f>
        <v>0</v>
      </c>
      <c r="L12" s="91"/>
      <c r="M12" s="75">
        <f>ROUND(K12*L12/10000,0)</f>
        <v>0</v>
      </c>
      <c r="N12" s="797">
        <f t="shared" si="12"/>
        <v>0</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2"/>
      <c r="AA12" s="74"/>
      <c r="AB12" s="74"/>
      <c r="AC12" s="1255"/>
      <c r="AD12" s="82"/>
      <c r="AE12" s="1256">
        <f t="shared" ca="1" si="6"/>
        <v>0</v>
      </c>
      <c r="AF12" s="1797"/>
      <c r="AG12" s="144">
        <f t="shared" si="7"/>
        <v>0</v>
      </c>
      <c r="AH12" s="83"/>
      <c r="AI12" s="85"/>
      <c r="AJ12" s="86"/>
      <c r="AK12" s="93"/>
      <c r="AL12" s="94"/>
      <c r="AM12" s="95"/>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4.25" hidden="1">
      <c r="A13" s="2296">
        <f>'数据-汇总表'!C26</f>
        <v>0</v>
      </c>
      <c r="B13" s="2297" t="str">
        <f t="shared" si="2"/>
        <v/>
      </c>
      <c r="C13" s="2298"/>
      <c r="D13" s="1045">
        <f>SUMIF(项目基本情况!D$12:I$12,C13,项目基本情况!D$14:I$14)</f>
        <v>0</v>
      </c>
      <c r="E13" s="1042" t="str">
        <f>IF(B13="","",SUMIF(项目基本情况!D$12:I$12,C13,项目基本情况!D$13:I$13))</f>
        <v/>
      </c>
      <c r="F13" s="72">
        <f>SUMIF(项目基本情况!D$12:I$12,C13,项目基本情况!D$15:I$15)</f>
        <v>0</v>
      </c>
      <c r="G13" s="73">
        <f t="shared" si="0"/>
        <v>0</v>
      </c>
      <c r="H13" s="74"/>
      <c r="I13" s="74"/>
      <c r="J13" s="74"/>
      <c r="K13" s="1245">
        <f>SUMIF('数据-汇总表'!C$19:C$33,A13,'数据-汇总表'!E$19:E$33)</f>
        <v>0</v>
      </c>
      <c r="L13" s="91"/>
      <c r="M13" s="75">
        <f>ROUND(K13*L13/10000,0)</f>
        <v>0</v>
      </c>
      <c r="N13" s="797">
        <f t="shared" si="12"/>
        <v>0</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4">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25">
      <c r="A14" s="2301" t="s">
        <v>2006</v>
      </c>
      <c r="B14" s="2297" t="s">
        <v>2007</v>
      </c>
      <c r="C14" s="2302" t="s">
        <v>2006</v>
      </c>
      <c r="D14" s="1045"/>
      <c r="E14" s="1042"/>
      <c r="F14" s="72"/>
      <c r="G14" s="73"/>
      <c r="H14" s="1244"/>
      <c r="I14" s="1244"/>
      <c r="J14" s="1244"/>
      <c r="K14" s="1245">
        <f>SUMIF('数据-汇总表'!C$19:C$33,A14,'数据-汇总表'!E$19:E$33)</f>
        <v>266164.45999999996</v>
      </c>
      <c r="L14" s="3031">
        <v>2000</v>
      </c>
      <c r="M14" s="75">
        <f t="shared" si="1"/>
        <v>53233</v>
      </c>
      <c r="N14" s="797">
        <f t="shared" si="12"/>
        <v>0</v>
      </c>
      <c r="O14" s="75">
        <f t="shared" si="3"/>
        <v>0</v>
      </c>
      <c r="P14" s="76">
        <f t="shared" si="4"/>
        <v>53233</v>
      </c>
      <c r="Q14" s="1248"/>
      <c r="R14" s="77"/>
      <c r="S14" s="54"/>
      <c r="T14" s="1437"/>
      <c r="U14" s="720"/>
      <c r="V14" s="1250"/>
      <c r="W14" s="1250"/>
      <c r="X14" s="1251"/>
      <c r="Y14" s="1252"/>
      <c r="Z14" s="1253"/>
      <c r="AA14" s="1254"/>
      <c r="AB14" s="1254"/>
      <c r="AC14" s="1255"/>
      <c r="AD14" s="1251"/>
      <c r="AE14" s="1256"/>
      <c r="AF14" s="55"/>
      <c r="AG14" s="144"/>
      <c r="AH14" s="1256"/>
      <c r="AI14" s="1808"/>
      <c r="AJ14" s="769"/>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7">
      <c r="A15" s="2301" t="s">
        <v>2008</v>
      </c>
      <c r="B15" s="2297" t="s">
        <v>2007</v>
      </c>
      <c r="C15" s="2302" t="s">
        <v>2009</v>
      </c>
      <c r="D15" s="1045"/>
      <c r="E15" s="1042"/>
      <c r="F15" s="72"/>
      <c r="G15" s="73"/>
      <c r="H15" s="1244"/>
      <c r="I15" s="1244"/>
      <c r="J15" s="1244"/>
      <c r="K15" s="1245">
        <f>SUMIF('数据-汇总表'!C$19:C$33,A15,'数据-汇总表'!E$19:E$33)</f>
        <v>22289.398973000003</v>
      </c>
      <c r="L15" s="1246"/>
      <c r="M15" s="75"/>
      <c r="N15" s="1247"/>
      <c r="O15" s="75"/>
      <c r="P15" s="76"/>
      <c r="Q15" s="1248"/>
      <c r="R15" s="77"/>
      <c r="S15" s="54"/>
      <c r="T15" s="1437"/>
      <c r="U15" s="720"/>
      <c r="V15" s="1250"/>
      <c r="W15" s="1250"/>
      <c r="X15" s="1251"/>
      <c r="Y15" s="1252"/>
      <c r="Z15" s="1253"/>
      <c r="AA15" s="1254"/>
      <c r="AB15" s="1254"/>
      <c r="AC15" s="1255"/>
      <c r="AD15" s="1251"/>
      <c r="AE15" s="1256"/>
      <c r="AF15" s="55"/>
      <c r="AG15" s="144"/>
      <c r="AH15" s="1256"/>
      <c r="AI15" s="1808"/>
      <c r="AJ15" s="769"/>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75" thickBot="1">
      <c r="A16" s="2303" t="s">
        <v>2010</v>
      </c>
      <c r="B16" s="96"/>
      <c r="C16" s="999"/>
      <c r="D16" s="2304"/>
      <c r="E16" s="96"/>
      <c r="F16" s="96"/>
      <c r="G16" s="97">
        <f>ROUND(SUMPRODUCT(G6:G13,K6:K13)/SUMPRODUCT((G6:G13&gt;0)*(K6:K13)),3)</f>
        <v>0.96599999999999997</v>
      </c>
      <c r="H16" s="98">
        <f>ROUND(SUMPRODUCT(H6:H13,K6:K13)/SUMPRODUCT((H6:H13&gt;0)*(K6:K13)),3)</f>
        <v>4.4999999999999998E-2</v>
      </c>
      <c r="I16" s="99"/>
      <c r="J16" s="99"/>
      <c r="K16" s="100">
        <f>SUM(K6:K15)</f>
        <v>900384.25897299999</v>
      </c>
      <c r="L16" s="101">
        <f>ROUND(M16*10000/SUM(K6:K14),0)</f>
        <v>2697</v>
      </c>
      <c r="M16" s="101">
        <f>SUM(M6:M14)</f>
        <v>236812</v>
      </c>
      <c r="N16" s="102">
        <f>ROUND(SUMPRODUCT(M6:M14,N6:N14)/M16,3)</f>
        <v>0</v>
      </c>
      <c r="O16" s="101">
        <f>SUM(O6:O14)</f>
        <v>0</v>
      </c>
      <c r="P16" s="101">
        <f>SUM(P6:P14)</f>
        <v>236812</v>
      </c>
      <c r="Q16" s="103">
        <f>ROUND(SUMPRODUCT(Q6:Q13,K6:K13)/SUMPRODUCT((Q6:Q13&gt;0)*(K6:K13)),2)</f>
        <v>0.13</v>
      </c>
      <c r="R16" s="1249">
        <f ca="1">SUM(R6:R13)</f>
        <v>349661.26</v>
      </c>
      <c r="S16" s="104">
        <f>SUM(S6:S13)</f>
        <v>266164.44999999995</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8"/>
      <c r="C17" s="1574"/>
      <c r="D17" s="2263"/>
      <c r="E17" s="2263"/>
      <c r="F17" s="1574"/>
      <c r="G17" s="1574"/>
      <c r="H17" s="1574"/>
      <c r="I17" s="1574"/>
      <c r="J17" s="1574"/>
      <c r="K17" s="165"/>
      <c r="L17" s="165"/>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2011</v>
      </c>
      <c r="B18" s="2270"/>
      <c r="C18" s="2267"/>
      <c r="D18" s="2268"/>
      <c r="E18" s="2267"/>
      <c r="F18" s="2267"/>
      <c r="G18" s="2267"/>
      <c r="H18" s="2267"/>
      <c r="I18" s="2267"/>
      <c r="J18" s="2267"/>
      <c r="K18" s="3161" t="s">
        <v>3072</v>
      </c>
      <c r="L18" s="3161" t="s">
        <v>3073</v>
      </c>
      <c r="M18" s="3161"/>
      <c r="N18" s="3161"/>
      <c r="O18" s="1574"/>
      <c r="P18" s="1574"/>
      <c r="Q18" s="2983">
        <f>Q16/B20</f>
        <v>3.2500000000000001E-2</v>
      </c>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2012</v>
      </c>
      <c r="B19" s="111">
        <v>0</v>
      </c>
      <c r="C19" s="2267" t="s">
        <v>2013</v>
      </c>
      <c r="D19" s="2268"/>
      <c r="E19" s="2267"/>
      <c r="F19" s="2267"/>
      <c r="G19" s="2267"/>
      <c r="H19" s="2267"/>
      <c r="I19" s="2267"/>
      <c r="J19" s="2267"/>
      <c r="K19" s="3161"/>
      <c r="L19" s="2961" t="s">
        <v>3074</v>
      </c>
      <c r="M19" s="2961" t="s">
        <v>3075</v>
      </c>
      <c r="N19" s="2961" t="s">
        <v>3076</v>
      </c>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2014</v>
      </c>
      <c r="B20" s="3030">
        <v>4</v>
      </c>
      <c r="C20" s="2267" t="s">
        <v>2015</v>
      </c>
      <c r="D20" s="2268"/>
      <c r="E20" s="2267"/>
      <c r="F20" s="2267"/>
      <c r="G20" s="2267"/>
      <c r="H20" s="2267"/>
      <c r="I20" s="2267"/>
      <c r="J20" s="2267"/>
      <c r="K20" s="2962" t="s">
        <v>3077</v>
      </c>
      <c r="L20" s="2963" t="s">
        <v>3078</v>
      </c>
      <c r="M20" s="2963" t="s">
        <v>3079</v>
      </c>
      <c r="N20" s="2963" t="s">
        <v>3080</v>
      </c>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8" t="s">
        <v>2016</v>
      </c>
      <c r="B21" s="112">
        <v>0</v>
      </c>
      <c r="C21" s="2267"/>
      <c r="D21" s="2268"/>
      <c r="E21" s="2267"/>
      <c r="F21" s="2267"/>
      <c r="G21" s="2267"/>
      <c r="H21" s="2267"/>
      <c r="I21" s="2267"/>
      <c r="J21" s="2267"/>
      <c r="K21" s="165"/>
      <c r="L21" s="165"/>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2017</v>
      </c>
      <c r="B22" s="113">
        <f>B19+B20</f>
        <v>4</v>
      </c>
      <c r="C22" s="2267"/>
      <c r="D22" s="2268"/>
      <c r="E22" s="2267"/>
      <c r="F22" s="2267"/>
      <c r="G22" s="2267"/>
      <c r="H22" s="2267"/>
      <c r="I22" s="2267"/>
      <c r="J22" s="2267"/>
      <c r="K22" s="2987">
        <f>抵押物汇总!N4</f>
        <v>614575.80000000005</v>
      </c>
      <c r="L22" s="165">
        <v>3200</v>
      </c>
      <c r="M22" s="1574">
        <f>K22*L22/10000</f>
        <v>196664.25600000002</v>
      </c>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2018</v>
      </c>
      <c r="B23" s="113">
        <f>B19+B21</f>
        <v>0</v>
      </c>
      <c r="C23" s="2267"/>
      <c r="D23" s="2268"/>
      <c r="E23" s="2267"/>
      <c r="F23" s="2267"/>
      <c r="G23" s="2267"/>
      <c r="H23" s="2267"/>
      <c r="I23" s="2267"/>
      <c r="J23" s="2267"/>
      <c r="K23" s="165">
        <f>K22*[7]抵押物汇总!$R$7</f>
        <v>338016.69000000006</v>
      </c>
      <c r="L23" s="165">
        <v>2000</v>
      </c>
      <c r="M23" s="1574">
        <f>K23*L23/10000</f>
        <v>67603.338000000018</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2019</v>
      </c>
      <c r="B24" s="114">
        <f>B20-B21</f>
        <v>4</v>
      </c>
      <c r="C24" s="2267"/>
      <c r="D24" s="2268"/>
      <c r="E24" s="2267"/>
      <c r="F24" s="2267"/>
      <c r="G24" s="2267"/>
      <c r="H24" s="2267"/>
      <c r="I24" s="2267"/>
      <c r="J24" s="2267"/>
      <c r="K24" s="2988" t="s">
        <v>3686</v>
      </c>
      <c r="L24" s="165">
        <f>M24/K22*10000</f>
        <v>4300.0000000000009</v>
      </c>
      <c r="M24" s="1574">
        <f>M22+M23</f>
        <v>264267.59400000004</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1"/>
      <c r="B25" s="2270"/>
      <c r="C25" s="2267"/>
      <c r="D25" s="2268"/>
      <c r="E25" s="2267"/>
      <c r="F25" s="2267"/>
      <c r="G25" s="2267"/>
      <c r="H25" s="2267"/>
      <c r="I25" s="2267"/>
      <c r="J25" s="2267"/>
      <c r="K25" s="165"/>
      <c r="L25" s="165"/>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2020</v>
      </c>
      <c r="B26" s="2310" t="s">
        <v>2021</v>
      </c>
      <c r="C26" s="2311" t="s">
        <v>2022</v>
      </c>
      <c r="D26" s="2268"/>
      <c r="E26" s="2267"/>
      <c r="F26" s="2267"/>
      <c r="G26" s="2267"/>
      <c r="H26" s="2267"/>
      <c r="I26" s="2267"/>
      <c r="J26" s="2267"/>
      <c r="K26" s="165"/>
      <c r="L26" s="165"/>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2023</v>
      </c>
      <c r="B27" s="115">
        <v>90</v>
      </c>
      <c r="C27" s="2964" t="s">
        <v>3081</v>
      </c>
      <c r="D27" s="2313"/>
      <c r="E27" s="1421"/>
      <c r="F27" s="1421"/>
      <c r="G27" s="2267"/>
      <c r="H27" s="2267"/>
      <c r="I27" s="2267"/>
      <c r="J27" s="2267"/>
      <c r="K27" s="165"/>
      <c r="L27" s="165"/>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4" customFormat="1" ht="27.75">
      <c r="A28" s="2315" t="s">
        <v>2024</v>
      </c>
      <c r="B28" s="118">
        <v>140</v>
      </c>
      <c r="C28" s="2316"/>
      <c r="D28" s="2313"/>
      <c r="E28" s="1421"/>
      <c r="F28" s="1421"/>
      <c r="G28" s="2267"/>
      <c r="H28" s="2267"/>
      <c r="I28" s="2267"/>
      <c r="J28" s="2267"/>
      <c r="K28" s="165"/>
      <c r="L28" s="165"/>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4" customFormat="1" ht="28.5" thickBot="1">
      <c r="A29" s="2317" t="s">
        <v>2025</v>
      </c>
      <c r="B29" s="120"/>
      <c r="C29" s="1757" t="s">
        <v>2026</v>
      </c>
      <c r="D29" s="2313"/>
      <c r="E29" s="1421"/>
      <c r="F29" s="1421"/>
      <c r="G29" s="2267"/>
      <c r="H29" s="2267"/>
      <c r="I29" s="2267"/>
      <c r="J29" s="2267"/>
      <c r="K29" s="165"/>
      <c r="L29" s="165"/>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4" customFormat="1" ht="27">
      <c r="A30" s="2318" t="s">
        <v>2027</v>
      </c>
      <c r="B30" s="721">
        <v>200</v>
      </c>
      <c r="C30" s="2316"/>
      <c r="D30" s="2313"/>
      <c r="E30" s="1421"/>
      <c r="F30" s="1421"/>
      <c r="G30" s="2267"/>
      <c r="H30" s="2267"/>
      <c r="I30" s="2267"/>
      <c r="J30" s="2267"/>
      <c r="K30" s="165"/>
      <c r="L30" s="165"/>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4" customFormat="1" ht="27">
      <c r="A31" s="2315" t="s">
        <v>2028</v>
      </c>
      <c r="B31" s="119">
        <f>B30-B32</f>
        <v>150</v>
      </c>
      <c r="C31" s="1757"/>
      <c r="D31" s="2313"/>
      <c r="E31" s="1421"/>
      <c r="F31" s="1421"/>
      <c r="G31" s="2267"/>
      <c r="H31" s="2267"/>
      <c r="I31" s="2267"/>
      <c r="J31" s="2267"/>
      <c r="K31" s="165"/>
      <c r="L31" s="165"/>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4" customFormat="1" ht="27.75" thickBot="1">
      <c r="A32" s="2319" t="s">
        <v>2029</v>
      </c>
      <c r="B32" s="3039">
        <v>50</v>
      </c>
      <c r="C32" s="2316"/>
      <c r="D32" s="2268"/>
      <c r="E32" s="2267"/>
      <c r="F32" s="2267"/>
      <c r="G32" s="2267"/>
      <c r="H32" s="2267"/>
      <c r="I32" s="2267"/>
      <c r="J32" s="2267"/>
      <c r="K32" s="165"/>
      <c r="L32" s="165"/>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4" customFormat="1" ht="14.25">
      <c r="A33" s="2312" t="s">
        <v>2030</v>
      </c>
      <c r="B33" s="722">
        <v>0.03</v>
      </c>
      <c r="C33" s="1756" t="s">
        <v>2031</v>
      </c>
      <c r="D33" s="2268"/>
      <c r="E33" s="2267"/>
      <c r="F33" s="2267"/>
      <c r="G33" s="2267"/>
      <c r="H33" s="2267"/>
      <c r="I33" s="2267"/>
      <c r="J33" s="2267"/>
      <c r="K33" s="165"/>
      <c r="L33" s="165"/>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4" customFormat="1" ht="14.25">
      <c r="A34" s="2315" t="s">
        <v>2032</v>
      </c>
      <c r="B34" s="3035">
        <v>0.05</v>
      </c>
      <c r="C34" s="1756" t="s">
        <v>2033</v>
      </c>
      <c r="D34" s="2268" t="s">
        <v>2034</v>
      </c>
      <c r="E34" s="728"/>
      <c r="F34" s="2267"/>
      <c r="G34" s="2267"/>
      <c r="H34" s="2267"/>
      <c r="I34" s="2267"/>
      <c r="J34" s="2267"/>
      <c r="K34" s="165"/>
      <c r="L34" s="165"/>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4" customFormat="1" ht="14.25">
      <c r="A35" s="2315" t="s">
        <v>2035</v>
      </c>
      <c r="B35" s="118">
        <v>200</v>
      </c>
      <c r="C35" s="1756" t="s">
        <v>2036</v>
      </c>
      <c r="D35" s="2313"/>
      <c r="E35" s="1421"/>
      <c r="F35" s="1421"/>
      <c r="G35" s="2267"/>
      <c r="H35" s="2267"/>
      <c r="I35" s="2267"/>
      <c r="J35" s="2267"/>
      <c r="K35" s="165"/>
      <c r="L35" s="165"/>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7" t="s">
        <v>2037</v>
      </c>
      <c r="B36" s="121">
        <v>1.4999999999999999E-2</v>
      </c>
      <c r="C36" s="1756" t="s">
        <v>2038</v>
      </c>
      <c r="D36" s="2268"/>
      <c r="E36" s="2267"/>
      <c r="F36" s="2267"/>
      <c r="G36" s="2267"/>
      <c r="H36" s="2267"/>
      <c r="I36" s="2267"/>
      <c r="J36" s="2267"/>
      <c r="K36" s="165"/>
      <c r="L36" s="165"/>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2039</v>
      </c>
      <c r="B37" s="3037">
        <v>0.02</v>
      </c>
      <c r="C37" s="1756" t="s">
        <v>2040</v>
      </c>
      <c r="D37" s="2268"/>
      <c r="E37" s="2267"/>
      <c r="F37" s="2267"/>
      <c r="G37" s="2267"/>
      <c r="H37" s="2267"/>
      <c r="I37" s="2267"/>
      <c r="J37" s="2267"/>
      <c r="K37" s="165"/>
      <c r="L37" s="165"/>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2041</v>
      </c>
      <c r="B38" s="3038">
        <v>0.02</v>
      </c>
      <c r="C38" s="1756" t="s">
        <v>2040</v>
      </c>
      <c r="D38" s="2268"/>
      <c r="E38" s="2267"/>
      <c r="F38" s="2267"/>
      <c r="G38" s="2267"/>
      <c r="H38" s="2267"/>
      <c r="I38" s="2267"/>
      <c r="J38" s="2267"/>
      <c r="K38" s="165"/>
      <c r="L38" s="165"/>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2042</v>
      </c>
      <c r="B39" s="359">
        <f ca="1">存贷款利率!I1</f>
        <v>1.4999999999999999E-2</v>
      </c>
      <c r="C39" s="1756"/>
      <c r="D39" s="2268"/>
      <c r="E39" s="2267"/>
      <c r="F39" s="2267"/>
      <c r="G39" s="2267"/>
      <c r="H39" s="2267"/>
      <c r="I39" s="2267"/>
      <c r="J39" s="2267"/>
      <c r="K39" s="165"/>
      <c r="L39" s="165"/>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2043</v>
      </c>
      <c r="B40" s="1294">
        <f ca="1">存贷款利率!G1</f>
        <v>4.7500000000000001E-2</v>
      </c>
      <c r="C40" s="1756" t="s">
        <v>2044</v>
      </c>
      <c r="D40" s="1574"/>
      <c r="E40" s="2268"/>
      <c r="F40" s="2267"/>
      <c r="G40" s="2267"/>
      <c r="H40" s="2267"/>
      <c r="I40" s="2267"/>
      <c r="J40" s="2267"/>
      <c r="K40" s="165"/>
      <c r="L40" s="165"/>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2" t="s">
        <v>2045</v>
      </c>
      <c r="B41" s="122">
        <f>B42+B43</f>
        <v>5.6000000000000001E-2</v>
      </c>
      <c r="C41" s="1757"/>
      <c r="D41" s="1574"/>
      <c r="E41" s="2268"/>
      <c r="F41" s="2267"/>
      <c r="G41" s="2267"/>
      <c r="H41" s="2267"/>
      <c r="I41" s="2267"/>
      <c r="J41" s="2267"/>
      <c r="K41" s="165"/>
      <c r="L41" s="165"/>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2046</v>
      </c>
      <c r="B42" s="123">
        <v>0.05</v>
      </c>
      <c r="C42" s="2321">
        <f>IF(B2&lt;DATE(2016,5,1),0,B42)</f>
        <v>0.05</v>
      </c>
      <c r="D42" s="2268"/>
      <c r="E42" s="2267"/>
      <c r="F42" s="2267"/>
      <c r="G42" s="2267"/>
      <c r="H42" s="2267"/>
      <c r="I42" s="2267"/>
      <c r="J42" s="2267"/>
      <c r="K42" s="165"/>
      <c r="L42" s="165"/>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2047</v>
      </c>
      <c r="B43" s="124">
        <f>B42*(B44+B45+B46)+B47</f>
        <v>6.000000000000001E-3</v>
      </c>
      <c r="C43" s="1757"/>
      <c r="D43" s="2268"/>
      <c r="E43" s="2267"/>
      <c r="F43" s="2267"/>
      <c r="G43" s="2267"/>
      <c r="H43" s="2267"/>
      <c r="I43" s="2267"/>
      <c r="J43" s="2267"/>
      <c r="K43" s="165"/>
      <c r="L43" s="165"/>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2048</v>
      </c>
      <c r="B44" s="125">
        <v>7.0000000000000007E-2</v>
      </c>
      <c r="C44" s="1756" t="s">
        <v>2049</v>
      </c>
      <c r="D44" s="2268"/>
      <c r="E44" s="2267"/>
      <c r="F44" s="2267"/>
      <c r="G44" s="2267"/>
      <c r="H44" s="2267"/>
      <c r="I44" s="2267"/>
      <c r="J44" s="2267"/>
      <c r="K44" s="165"/>
      <c r="L44" s="165"/>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2050</v>
      </c>
      <c r="B45" s="123">
        <v>0.03</v>
      </c>
      <c r="C45" s="1757" t="s">
        <v>2051</v>
      </c>
      <c r="D45" s="2268"/>
      <c r="E45" s="2267"/>
      <c r="F45" s="2267"/>
      <c r="G45" s="2267"/>
      <c r="H45" s="2267"/>
      <c r="I45" s="2267"/>
      <c r="J45" s="2267"/>
      <c r="K45" s="165"/>
      <c r="L45" s="165"/>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2052</v>
      </c>
      <c r="B46" s="123">
        <v>0.02</v>
      </c>
      <c r="C46" s="1757" t="s">
        <v>2053</v>
      </c>
      <c r="D46" s="2268"/>
      <c r="E46" s="2267"/>
      <c r="F46" s="2267"/>
      <c r="G46" s="2267"/>
      <c r="H46" s="2267"/>
      <c r="I46" s="2267"/>
      <c r="J46" s="2267"/>
      <c r="K46" s="165"/>
      <c r="L46" s="165"/>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2054</v>
      </c>
      <c r="B47" s="126">
        <v>0</v>
      </c>
      <c r="C47" s="1757" t="s">
        <v>2055</v>
      </c>
      <c r="D47" s="2268"/>
      <c r="E47" s="2267"/>
      <c r="F47" s="2267"/>
      <c r="G47" s="2267"/>
      <c r="H47" s="2267"/>
      <c r="I47" s="2267"/>
      <c r="J47" s="2267"/>
      <c r="K47" s="165"/>
      <c r="L47" s="165"/>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2056</v>
      </c>
      <c r="B48" s="127">
        <v>0.03</v>
      </c>
      <c r="C48" s="1764" t="s">
        <v>2057</v>
      </c>
      <c r="D48" s="2268"/>
      <c r="E48" s="2267"/>
      <c r="F48" s="2267"/>
      <c r="G48" s="2267"/>
      <c r="H48" s="2267"/>
      <c r="I48" s="2267"/>
      <c r="J48" s="2267"/>
      <c r="K48" s="165"/>
      <c r="L48" s="165"/>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2058</v>
      </c>
      <c r="B49" s="123">
        <v>5.0000000000000001E-4</v>
      </c>
      <c r="C49" s="1764" t="s">
        <v>2059</v>
      </c>
      <c r="D49" s="2268"/>
      <c r="E49" s="2267"/>
      <c r="F49" s="2267"/>
      <c r="G49" s="2267"/>
      <c r="H49" s="2267"/>
      <c r="I49" s="2267"/>
      <c r="J49" s="2267"/>
      <c r="K49" s="165"/>
      <c r="L49" s="165"/>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2060</v>
      </c>
      <c r="B50" s="128">
        <v>1.2E-2</v>
      </c>
      <c r="C50" s="1421"/>
      <c r="D50" s="2268"/>
      <c r="E50" s="2267"/>
      <c r="F50" s="2267"/>
      <c r="G50" s="2267"/>
      <c r="H50" s="2267"/>
      <c r="I50" s="2267"/>
      <c r="J50" s="2267"/>
      <c r="K50" s="165"/>
      <c r="L50" s="165"/>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2061</v>
      </c>
      <c r="B51" s="129">
        <v>0.12</v>
      </c>
      <c r="C51" s="1421"/>
      <c r="D51" s="2268"/>
      <c r="E51" s="2267"/>
      <c r="F51" s="2267"/>
      <c r="G51" s="2267"/>
      <c r="H51" s="2267"/>
      <c r="I51" s="2267"/>
      <c r="J51" s="2267"/>
      <c r="K51" s="165"/>
      <c r="L51" s="165"/>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2062</v>
      </c>
      <c r="B52" s="130">
        <f>SUMIF(A54:A63,B53,B54:B63)</f>
        <v>5</v>
      </c>
      <c r="C52" s="1421"/>
      <c r="D52" s="2268"/>
      <c r="E52" s="2267"/>
      <c r="F52" s="2267"/>
      <c r="G52" s="2267"/>
      <c r="H52" s="2267"/>
      <c r="I52" s="2267"/>
      <c r="J52" s="2267"/>
      <c r="K52" s="165"/>
      <c r="L52" s="165"/>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2063</v>
      </c>
      <c r="B53" s="2326" t="s">
        <v>442</v>
      </c>
      <c r="C53" s="1421" t="s">
        <v>2064</v>
      </c>
      <c r="D53" s="2327" t="s">
        <v>2065</v>
      </c>
      <c r="E53" s="2267"/>
      <c r="F53" s="2267"/>
      <c r="G53" s="2267"/>
      <c r="H53" s="2267"/>
      <c r="I53" s="2267"/>
      <c r="J53" s="2267"/>
      <c r="K53" s="165"/>
      <c r="L53" s="165"/>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2066</v>
      </c>
      <c r="B54" s="84">
        <v>15</v>
      </c>
      <c r="C54" s="1421">
        <v>30</v>
      </c>
      <c r="D54" s="2268"/>
      <c r="E54" s="2267"/>
      <c r="F54" s="2267"/>
      <c r="G54" s="2267"/>
      <c r="H54" s="2267"/>
      <c r="I54" s="2267"/>
      <c r="J54" s="2267"/>
      <c r="K54" s="165"/>
      <c r="L54" s="165"/>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2067</v>
      </c>
      <c r="B55" s="84">
        <v>10</v>
      </c>
      <c r="C55" s="1421">
        <v>24</v>
      </c>
      <c r="D55" s="2268"/>
      <c r="E55" s="2267"/>
      <c r="F55" s="2267"/>
      <c r="G55" s="2267"/>
      <c r="H55" s="2267"/>
      <c r="I55" s="2329"/>
      <c r="J55" s="2267"/>
      <c r="K55" s="165"/>
      <c r="L55" s="165"/>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2068</v>
      </c>
      <c r="B56" s="84">
        <v>5</v>
      </c>
      <c r="C56" s="1421">
        <v>18</v>
      </c>
      <c r="D56" s="2268"/>
      <c r="E56" s="2267"/>
      <c r="F56" s="2267"/>
      <c r="G56" s="2267"/>
      <c r="H56" s="2267"/>
      <c r="I56" s="2267"/>
      <c r="J56" s="2267"/>
      <c r="K56" s="165"/>
      <c r="L56" s="165"/>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2069</v>
      </c>
      <c r="B57" s="84"/>
      <c r="C57" s="1421">
        <v>12</v>
      </c>
      <c r="D57" s="2268"/>
      <c r="E57" s="2267"/>
      <c r="F57" s="2267"/>
      <c r="G57" s="2267"/>
      <c r="H57" s="2267"/>
      <c r="I57" s="2267"/>
      <c r="J57" s="2267"/>
      <c r="K57" s="165"/>
      <c r="L57" s="165"/>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2070</v>
      </c>
      <c r="B58" s="84"/>
      <c r="C58" s="1421">
        <v>3</v>
      </c>
      <c r="D58" s="2268"/>
      <c r="E58" s="2267"/>
      <c r="F58" s="2267"/>
      <c r="G58" s="2267"/>
      <c r="H58" s="2267"/>
      <c r="I58" s="2267"/>
      <c r="J58" s="2267"/>
      <c r="K58" s="165"/>
      <c r="L58" s="165"/>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2071</v>
      </c>
      <c r="B59" s="84"/>
      <c r="C59" s="1421">
        <v>1.5</v>
      </c>
      <c r="D59" s="2268"/>
      <c r="E59" s="2267"/>
      <c r="F59" s="2267"/>
      <c r="G59" s="2267"/>
      <c r="H59" s="2267"/>
      <c r="I59" s="2267"/>
      <c r="J59" s="2267"/>
      <c r="K59" s="165"/>
      <c r="L59" s="165"/>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2072</v>
      </c>
      <c r="B60" s="84"/>
      <c r="C60" s="2267"/>
      <c r="D60" s="2268"/>
      <c r="E60" s="2267"/>
      <c r="F60" s="2267"/>
      <c r="G60" s="2267"/>
      <c r="H60" s="2267"/>
      <c r="I60" s="2267"/>
      <c r="J60" s="2267"/>
      <c r="K60" s="165"/>
      <c r="L60" s="165"/>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2073</v>
      </c>
      <c r="B61" s="84"/>
      <c r="C61" s="2267"/>
      <c r="D61" s="2268"/>
      <c r="E61" s="2267"/>
      <c r="F61" s="2267"/>
      <c r="G61" s="2267"/>
      <c r="H61" s="2267"/>
      <c r="I61" s="2267"/>
      <c r="J61" s="2267"/>
      <c r="K61" s="165"/>
      <c r="L61" s="165"/>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2074</v>
      </c>
      <c r="B62" s="84"/>
      <c r="C62" s="2267"/>
      <c r="D62" s="2268"/>
      <c r="E62" s="2267"/>
      <c r="F62" s="2267"/>
      <c r="G62" s="2267"/>
      <c r="H62" s="2267"/>
      <c r="I62" s="2267"/>
      <c r="J62" s="2267"/>
      <c r="K62" s="165"/>
      <c r="L62" s="165"/>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2075</v>
      </c>
      <c r="B63" s="131"/>
      <c r="C63" s="2267"/>
      <c r="D63" s="2268"/>
      <c r="E63" s="2267"/>
      <c r="F63" s="2267"/>
      <c r="G63" s="2267"/>
      <c r="H63" s="2267"/>
      <c r="I63" s="2267"/>
      <c r="J63" s="2267"/>
      <c r="K63" s="165"/>
      <c r="L63" s="165"/>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31"/>
      <c r="D64" s="2332"/>
      <c r="K64" s="794"/>
      <c r="L64" s="794"/>
    </row>
    <row r="65" spans="1:12" s="959" customFormat="1">
      <c r="A65" s="2331"/>
      <c r="D65" s="2332"/>
      <c r="K65" s="794"/>
      <c r="L65" s="794"/>
    </row>
    <row r="66" spans="1:12" s="959" customFormat="1">
      <c r="A66" s="2331"/>
      <c r="D66" s="2332"/>
      <c r="K66" s="794"/>
      <c r="L66" s="794"/>
    </row>
    <row r="67" spans="1:12" s="959" customFormat="1">
      <c r="A67" s="2331"/>
      <c r="D67" s="2332"/>
      <c r="K67" s="794"/>
      <c r="L67" s="794"/>
    </row>
    <row r="68" spans="1:12" s="959" customFormat="1">
      <c r="A68" s="2331"/>
      <c r="D68" s="2332"/>
      <c r="K68" s="794"/>
      <c r="L68" s="794"/>
    </row>
    <row r="69" spans="1:12" s="959" customFormat="1">
      <c r="A69" s="2331"/>
      <c r="D69" s="2332"/>
      <c r="K69" s="794"/>
      <c r="L69" s="794"/>
    </row>
    <row r="70" spans="1:12" s="959" customFormat="1">
      <c r="A70" s="2331"/>
      <c r="D70" s="2332"/>
      <c r="K70" s="794"/>
      <c r="L70" s="794"/>
    </row>
    <row r="71" spans="1:12" s="959" customFormat="1">
      <c r="A71" s="2331"/>
      <c r="D71" s="2332"/>
      <c r="K71" s="794"/>
      <c r="L71" s="794"/>
    </row>
    <row r="72" spans="1:12" s="959" customFormat="1">
      <c r="A72" s="2331"/>
      <c r="D72" s="2332"/>
      <c r="K72" s="794"/>
      <c r="L72" s="794"/>
    </row>
    <row r="73" spans="1:12" s="959" customFormat="1">
      <c r="A73" s="2331"/>
      <c r="D73" s="2332"/>
      <c r="K73" s="794"/>
      <c r="L73" s="794"/>
    </row>
    <row r="74" spans="1:12" s="959" customFormat="1">
      <c r="A74" s="2331"/>
      <c r="D74" s="2332"/>
      <c r="K74" s="794"/>
      <c r="L74" s="794"/>
    </row>
    <row r="75" spans="1:12" s="959" customFormat="1">
      <c r="A75" s="2331"/>
      <c r="D75" s="2332"/>
      <c r="K75" s="794"/>
      <c r="L75" s="794"/>
    </row>
    <row r="76" spans="1:12" s="959" customFormat="1">
      <c r="A76" s="2331"/>
      <c r="D76" s="2332"/>
      <c r="K76" s="794"/>
      <c r="L76" s="794"/>
    </row>
    <row r="77" spans="1:12" s="959" customFormat="1">
      <c r="A77" s="2331"/>
      <c r="D77" s="2332"/>
      <c r="K77" s="794"/>
      <c r="L77" s="794"/>
    </row>
    <row r="78" spans="1:12" s="959" customFormat="1">
      <c r="A78" s="2331"/>
      <c r="D78" s="2332"/>
      <c r="K78" s="794"/>
      <c r="L78" s="794"/>
    </row>
    <row r="79" spans="1:12" s="959" customFormat="1">
      <c r="A79" s="2331"/>
      <c r="D79" s="2332"/>
      <c r="K79" s="794"/>
      <c r="L79" s="794"/>
    </row>
    <row r="80" spans="1:12" s="959" customFormat="1">
      <c r="A80" s="2331"/>
      <c r="D80" s="2332"/>
      <c r="K80" s="794"/>
      <c r="L80" s="794"/>
    </row>
    <row r="81" spans="1:12" s="959" customFormat="1">
      <c r="A81" s="2331"/>
      <c r="D81" s="2332"/>
      <c r="K81" s="794"/>
      <c r="L81" s="794"/>
    </row>
    <row r="82" spans="1:12" s="959" customFormat="1">
      <c r="A82" s="2331"/>
      <c r="D82" s="2332"/>
      <c r="K82" s="794"/>
      <c r="L82" s="794"/>
    </row>
    <row r="83" spans="1:12" s="959" customFormat="1">
      <c r="A83" s="2331"/>
      <c r="D83" s="2332"/>
      <c r="K83" s="794"/>
      <c r="L83" s="794"/>
    </row>
    <row r="84" spans="1:12" s="959" customFormat="1">
      <c r="A84" s="2331"/>
      <c r="D84" s="2332"/>
      <c r="K84" s="794"/>
      <c r="L84" s="794"/>
    </row>
    <row r="85" spans="1:12" s="959" customFormat="1">
      <c r="A85" s="2331"/>
      <c r="D85" s="2332"/>
      <c r="K85" s="794"/>
      <c r="L85" s="794"/>
    </row>
    <row r="86" spans="1:12" s="959" customFormat="1">
      <c r="A86" s="2331"/>
      <c r="D86" s="2332"/>
      <c r="K86" s="794"/>
      <c r="L86" s="794"/>
    </row>
    <row r="87" spans="1:12" s="959" customFormat="1">
      <c r="A87" s="2331"/>
      <c r="D87" s="2332"/>
      <c r="K87" s="794"/>
      <c r="L87" s="794"/>
    </row>
    <row r="88" spans="1:12" s="959" customFormat="1">
      <c r="A88" s="2331"/>
      <c r="D88" s="2332"/>
      <c r="K88" s="794"/>
      <c r="L88" s="794"/>
    </row>
    <row r="89" spans="1:12" s="959" customFormat="1">
      <c r="A89" s="2331"/>
      <c r="D89" s="2332"/>
      <c r="K89" s="794"/>
      <c r="L89" s="794"/>
    </row>
    <row r="90" spans="1:12" s="959" customFormat="1">
      <c r="A90" s="2331"/>
      <c r="D90" s="2332"/>
      <c r="K90" s="794"/>
      <c r="L90" s="794"/>
    </row>
    <row r="91" spans="1:12" s="959" customFormat="1">
      <c r="A91" s="2331"/>
      <c r="D91" s="2332"/>
      <c r="K91" s="794"/>
      <c r="L91" s="794"/>
    </row>
    <row r="92" spans="1:12" s="959" customFormat="1">
      <c r="A92" s="2331"/>
      <c r="D92" s="2332"/>
      <c r="K92" s="794"/>
      <c r="L92" s="794"/>
    </row>
    <row r="93" spans="1:12" s="959" customFormat="1">
      <c r="A93" s="2331"/>
      <c r="D93" s="2332"/>
      <c r="K93" s="794"/>
      <c r="L93" s="794"/>
    </row>
    <row r="94" spans="1:12" s="959" customFormat="1">
      <c r="A94" s="2331"/>
      <c r="D94" s="2332"/>
      <c r="K94" s="794"/>
      <c r="L94" s="794"/>
    </row>
    <row r="95" spans="1:12" s="959" customFormat="1">
      <c r="A95" s="2331"/>
      <c r="D95" s="2332"/>
      <c r="K95" s="794"/>
      <c r="L95" s="794"/>
    </row>
    <row r="96" spans="1:12" s="959" customFormat="1">
      <c r="A96" s="2331"/>
      <c r="D96" s="2332"/>
      <c r="K96" s="794"/>
      <c r="L96" s="794"/>
    </row>
    <row r="97" spans="1:12" s="959" customFormat="1">
      <c r="A97" s="2331"/>
      <c r="D97" s="2332"/>
      <c r="K97" s="794"/>
      <c r="L97" s="794"/>
    </row>
    <row r="98" spans="1:12" s="959" customFormat="1">
      <c r="A98" s="2331"/>
      <c r="D98" s="2332"/>
      <c r="K98" s="794"/>
      <c r="L98" s="794"/>
    </row>
    <row r="99" spans="1:12" s="959" customFormat="1">
      <c r="A99" s="2331"/>
      <c r="D99" s="2332"/>
      <c r="K99" s="794"/>
      <c r="L99" s="794"/>
    </row>
    <row r="100" spans="1:12" s="959" customFormat="1">
      <c r="A100" s="2331"/>
      <c r="D100" s="2332"/>
      <c r="K100" s="794"/>
      <c r="L100" s="794"/>
    </row>
    <row r="101" spans="1:12" s="959" customFormat="1">
      <c r="A101" s="2331"/>
      <c r="D101" s="2332"/>
      <c r="K101" s="794"/>
      <c r="L101" s="794"/>
    </row>
    <row r="102" spans="1:12" s="959" customFormat="1">
      <c r="A102" s="2331"/>
      <c r="D102" s="2332"/>
      <c r="K102" s="794"/>
      <c r="L102" s="794"/>
    </row>
    <row r="103" spans="1:12" s="959" customFormat="1">
      <c r="A103" s="2331"/>
      <c r="D103" s="2332"/>
      <c r="K103" s="794"/>
      <c r="L103" s="794"/>
    </row>
    <row r="104" spans="1:12" s="959" customFormat="1">
      <c r="A104" s="2331"/>
      <c r="D104" s="2332"/>
      <c r="K104" s="794"/>
      <c r="L104" s="794"/>
    </row>
    <row r="105" spans="1:12" s="959" customFormat="1">
      <c r="A105" s="2331"/>
      <c r="D105" s="2332"/>
      <c r="K105" s="794"/>
      <c r="L105" s="794"/>
    </row>
    <row r="106" spans="1:12" s="959" customFormat="1">
      <c r="A106" s="2331"/>
      <c r="D106" s="2332"/>
      <c r="K106" s="794"/>
      <c r="L106" s="794"/>
    </row>
    <row r="107" spans="1:12" s="959" customFormat="1">
      <c r="A107" s="2331"/>
      <c r="D107" s="2332"/>
      <c r="K107" s="794"/>
      <c r="L107" s="794"/>
    </row>
    <row r="108" spans="1:12" s="959" customFormat="1">
      <c r="A108" s="2331"/>
      <c r="D108" s="2332"/>
      <c r="K108" s="794"/>
      <c r="L108" s="794"/>
    </row>
    <row r="109" spans="1:12" s="959" customFormat="1">
      <c r="A109" s="2331"/>
      <c r="D109" s="2332"/>
      <c r="K109" s="794"/>
      <c r="L109" s="794"/>
    </row>
    <row r="110" spans="1:12" s="959" customFormat="1">
      <c r="A110" s="2331"/>
      <c r="D110" s="2332"/>
      <c r="K110" s="794"/>
      <c r="L110" s="794"/>
    </row>
    <row r="111" spans="1:12" s="959" customFormat="1">
      <c r="A111" s="2331"/>
      <c r="D111" s="2332"/>
      <c r="K111" s="794"/>
      <c r="L111" s="794"/>
    </row>
    <row r="112" spans="1:12" s="959" customFormat="1">
      <c r="A112" s="2331"/>
      <c r="D112" s="2332"/>
      <c r="K112" s="794"/>
      <c r="L112" s="794"/>
    </row>
    <row r="113" spans="1:12" s="959" customFormat="1">
      <c r="A113" s="2331"/>
      <c r="D113" s="2332"/>
      <c r="K113" s="794"/>
      <c r="L113" s="794"/>
    </row>
    <row r="114" spans="1:12" s="959" customFormat="1">
      <c r="A114" s="2331"/>
      <c r="D114" s="2332"/>
      <c r="K114" s="794"/>
      <c r="L114" s="794"/>
    </row>
    <row r="115" spans="1:12" s="959" customFormat="1">
      <c r="A115" s="2331"/>
      <c r="D115" s="2332"/>
      <c r="K115" s="794"/>
      <c r="L115" s="794"/>
    </row>
    <row r="116" spans="1:12" s="959" customFormat="1">
      <c r="A116" s="2331"/>
      <c r="D116" s="2332"/>
      <c r="K116" s="794"/>
      <c r="L116" s="794"/>
    </row>
    <row r="117" spans="1:12" s="959" customFormat="1">
      <c r="A117" s="2331"/>
      <c r="D117" s="2332"/>
      <c r="K117" s="794"/>
      <c r="L117" s="794"/>
    </row>
    <row r="118" spans="1:12" s="959" customFormat="1">
      <c r="A118" s="2331"/>
      <c r="D118" s="2332"/>
      <c r="K118" s="794"/>
      <c r="L118" s="794"/>
    </row>
    <row r="119" spans="1:12" s="959" customFormat="1">
      <c r="A119" s="2331"/>
      <c r="D119" s="2332"/>
      <c r="K119" s="794"/>
      <c r="L119" s="794"/>
    </row>
    <row r="120" spans="1:12" s="959" customFormat="1">
      <c r="A120" s="2331"/>
      <c r="D120" s="2332"/>
      <c r="K120" s="794"/>
      <c r="L120" s="794"/>
    </row>
    <row r="121" spans="1:12" s="959" customFormat="1">
      <c r="A121" s="2331"/>
      <c r="D121" s="2332"/>
      <c r="K121" s="794"/>
      <c r="L121" s="794"/>
    </row>
    <row r="122" spans="1:12" s="959" customFormat="1">
      <c r="A122" s="2331"/>
      <c r="D122" s="2332"/>
      <c r="K122" s="794"/>
      <c r="L122" s="794"/>
    </row>
    <row r="123" spans="1:12" s="959" customFormat="1">
      <c r="A123" s="2331"/>
      <c r="D123" s="2332"/>
      <c r="K123" s="794"/>
      <c r="L123" s="794"/>
    </row>
    <row r="124" spans="1:12" s="959" customFormat="1">
      <c r="A124" s="2331"/>
      <c r="D124" s="2332"/>
      <c r="K124" s="794"/>
      <c r="L124" s="794"/>
    </row>
    <row r="125" spans="1:12" s="959" customFormat="1">
      <c r="A125" s="2331"/>
      <c r="D125" s="2332"/>
      <c r="K125" s="794"/>
      <c r="L125" s="794"/>
    </row>
    <row r="126" spans="1:12" s="959" customFormat="1">
      <c r="A126" s="2331"/>
      <c r="D126" s="2332"/>
      <c r="K126" s="794"/>
      <c r="L126" s="794"/>
    </row>
    <row r="127" spans="1:12" s="959" customFormat="1">
      <c r="A127" s="2331"/>
      <c r="D127" s="2332"/>
      <c r="K127" s="794"/>
      <c r="L127" s="794"/>
    </row>
    <row r="128" spans="1:12" s="959" customFormat="1">
      <c r="A128" s="2331"/>
      <c r="D128" s="2332"/>
      <c r="K128" s="794"/>
      <c r="L128" s="794"/>
    </row>
    <row r="129" spans="1:12" s="959" customFormat="1">
      <c r="A129" s="2331"/>
      <c r="D129" s="2332"/>
      <c r="K129" s="794"/>
      <c r="L129" s="794"/>
    </row>
    <row r="130" spans="1:12" s="959" customFormat="1">
      <c r="A130" s="2331"/>
      <c r="D130" s="2332"/>
      <c r="K130" s="794"/>
      <c r="L130" s="794"/>
    </row>
    <row r="131" spans="1:12" s="959" customFormat="1">
      <c r="A131" s="2331"/>
      <c r="D131" s="2332"/>
      <c r="K131" s="794"/>
      <c r="L131" s="794"/>
    </row>
    <row r="132" spans="1:12" s="959" customFormat="1">
      <c r="A132" s="2331"/>
      <c r="D132" s="2332"/>
      <c r="K132" s="794"/>
      <c r="L132" s="794"/>
    </row>
    <row r="133" spans="1:12" s="959"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mergeCells count="2">
    <mergeCell ref="K18:K19"/>
    <mergeCell ref="L18:N18"/>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15" sqref="C15"/>
      <selection pane="topRight" activeCell="C15" sqref="C15"/>
      <selection pane="bottomLeft" activeCell="C15" sqref="C15"/>
      <selection pane="bottomRight" activeCell="C15" sqref="C15"/>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625" style="2386" customWidth="1"/>
    <col min="10" max="10" width="2.625" style="2385" customWidth="1"/>
    <col min="11" max="11" width="11.875" style="2385" customWidth="1"/>
    <col min="12" max="12" width="16.625" style="2386" customWidth="1"/>
    <col min="13" max="13" width="2.625" style="2385" customWidth="1"/>
    <col min="14" max="14" width="11.875" style="2385" customWidth="1"/>
    <col min="15" max="15" width="16.625" style="2386" customWidth="1"/>
    <col min="16" max="16" width="2.625" style="2385" customWidth="1"/>
    <col min="17" max="17" width="11.875" style="2385" customWidth="1"/>
    <col min="18" max="18" width="16.625" style="2387" customWidth="1"/>
    <col min="19" max="29" width="9" style="2357"/>
    <col min="30" max="16384" width="9" style="2358"/>
  </cols>
  <sheetData>
    <row r="1" spans="1:29" s="2351" customFormat="1" ht="19.5" thickBot="1">
      <c r="A1" s="3162" t="s">
        <v>2076</v>
      </c>
      <c r="B1" s="3163"/>
      <c r="C1" s="3163"/>
      <c r="D1" s="3163"/>
      <c r="E1" s="3163"/>
      <c r="F1" s="3163"/>
      <c r="G1" s="316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2077</v>
      </c>
      <c r="D2" s="2355"/>
      <c r="E2" s="2356"/>
      <c r="F2" s="2276"/>
      <c r="G2" s="2354" t="s">
        <v>2078</v>
      </c>
      <c r="H2" s="2357"/>
      <c r="I2" s="2357"/>
      <c r="J2" s="2357"/>
      <c r="K2" s="2357"/>
      <c r="L2" s="2357"/>
      <c r="M2" s="2357"/>
      <c r="N2" s="2357"/>
      <c r="O2" s="2357"/>
      <c r="P2" s="2357"/>
      <c r="Q2" s="2357"/>
      <c r="R2" s="2357"/>
    </row>
    <row r="3" spans="1:29" ht="54">
      <c r="A3" s="412" t="s">
        <v>2079</v>
      </c>
      <c r="B3" s="1262" t="s">
        <v>2080</v>
      </c>
      <c r="C3" s="2359" t="s">
        <v>2081</v>
      </c>
      <c r="D3" s="2360"/>
      <c r="E3" s="428" t="s">
        <v>2079</v>
      </c>
      <c r="F3" s="2361" t="s">
        <v>2082</v>
      </c>
      <c r="G3" s="2362" t="s">
        <v>2083</v>
      </c>
      <c r="H3" s="2357"/>
      <c r="I3" s="2357"/>
      <c r="J3" s="2357"/>
      <c r="K3" s="2357"/>
      <c r="L3" s="2357"/>
      <c r="M3" s="2357"/>
      <c r="N3" s="2357"/>
      <c r="O3" s="2357"/>
      <c r="P3" s="2357"/>
      <c r="Q3" s="2357"/>
      <c r="R3" s="2357"/>
    </row>
    <row r="4" spans="1:29" ht="41.25">
      <c r="A4" s="428"/>
      <c r="B4" s="1788" t="s">
        <v>2084</v>
      </c>
      <c r="C4" s="2363" t="s">
        <v>2085</v>
      </c>
      <c r="D4" s="2360"/>
      <c r="E4" s="2364"/>
      <c r="F4" s="42" t="s">
        <v>2086</v>
      </c>
      <c r="G4" s="2365" t="s">
        <v>2087</v>
      </c>
      <c r="H4" s="2357"/>
      <c r="I4" s="2357"/>
      <c r="J4" s="2357"/>
      <c r="K4" s="2357"/>
      <c r="L4" s="2357"/>
      <c r="M4" s="2357"/>
      <c r="N4" s="2357"/>
      <c r="O4" s="2357"/>
      <c r="P4" s="2357"/>
      <c r="Q4" s="2357"/>
      <c r="R4" s="2357"/>
    </row>
    <row r="5" spans="1:29" ht="41.25">
      <c r="A5" s="428"/>
      <c r="B5" s="1788" t="s">
        <v>2088</v>
      </c>
      <c r="C5" s="2363" t="s">
        <v>2089</v>
      </c>
      <c r="D5" s="2360"/>
      <c r="E5" s="2364"/>
      <c r="F5" s="1788" t="s">
        <v>2090</v>
      </c>
      <c r="G5" s="2365" t="s">
        <v>2091</v>
      </c>
      <c r="H5" s="2357"/>
      <c r="I5" s="2357"/>
      <c r="J5" s="2357"/>
      <c r="K5" s="2357"/>
      <c r="L5" s="2357"/>
      <c r="M5" s="2357"/>
      <c r="N5" s="2357"/>
      <c r="O5" s="2357"/>
      <c r="P5" s="2357"/>
      <c r="Q5" s="2357"/>
      <c r="R5" s="2357"/>
    </row>
    <row r="6" spans="1:29" ht="54">
      <c r="A6" s="428"/>
      <c r="B6" s="1788" t="s">
        <v>2092</v>
      </c>
      <c r="C6" s="2365" t="s">
        <v>2087</v>
      </c>
      <c r="D6" s="2360"/>
      <c r="E6" s="2364"/>
      <c r="F6" s="1788" t="s">
        <v>2093</v>
      </c>
      <c r="G6" s="2365" t="s">
        <v>2094</v>
      </c>
      <c r="H6" s="2357"/>
      <c r="I6" s="2357"/>
      <c r="J6" s="2357"/>
      <c r="K6" s="2357"/>
      <c r="L6" s="2357"/>
      <c r="M6" s="2357"/>
      <c r="N6" s="2357"/>
      <c r="O6" s="2357"/>
      <c r="P6" s="2357"/>
      <c r="Q6" s="2357"/>
      <c r="R6" s="2357"/>
    </row>
    <row r="7" spans="1:29" ht="41.25" thickBot="1">
      <c r="A7" s="428"/>
      <c r="B7" s="1788" t="s">
        <v>2090</v>
      </c>
      <c r="C7" s="2365" t="s">
        <v>2091</v>
      </c>
      <c r="D7" s="2366"/>
      <c r="E7" s="2367"/>
      <c r="F7" s="2368" t="s">
        <v>2095</v>
      </c>
      <c r="G7" s="2369" t="s">
        <v>2096</v>
      </c>
      <c r="H7" s="2357"/>
      <c r="I7" s="2357"/>
      <c r="J7" s="2357"/>
      <c r="K7" s="2357"/>
      <c r="L7" s="2357"/>
      <c r="M7" s="2357"/>
      <c r="N7" s="2357"/>
      <c r="O7" s="2357"/>
      <c r="P7" s="2357"/>
      <c r="Q7" s="2357"/>
      <c r="R7" s="2357"/>
    </row>
    <row r="8" spans="1:29" ht="27">
      <c r="A8" s="428"/>
      <c r="B8" s="1788" t="s">
        <v>2093</v>
      </c>
      <c r="C8" s="2365" t="s">
        <v>2094</v>
      </c>
      <c r="D8" s="2366"/>
      <c r="E8" s="2366"/>
      <c r="F8" s="1127"/>
      <c r="G8" s="1127"/>
      <c r="H8" s="2357"/>
      <c r="I8" s="2357"/>
      <c r="J8" s="2357"/>
      <c r="K8" s="2357"/>
      <c r="L8" s="2357"/>
      <c r="M8" s="2357"/>
      <c r="N8" s="2357"/>
      <c r="O8" s="2357"/>
      <c r="P8" s="2357"/>
      <c r="Q8" s="2357"/>
      <c r="R8" s="2357"/>
    </row>
    <row r="9" spans="1:29" ht="27">
      <c r="A9" s="428"/>
      <c r="B9" s="1788" t="s">
        <v>2097</v>
      </c>
      <c r="C9" s="2363" t="s">
        <v>2098</v>
      </c>
      <c r="D9" s="2360"/>
      <c r="E9" s="2366"/>
      <c r="F9" s="1127"/>
      <c r="G9" s="1127"/>
      <c r="H9" s="2357"/>
      <c r="I9" s="2357"/>
      <c r="J9" s="2357"/>
      <c r="K9" s="2357"/>
      <c r="L9" s="2357"/>
      <c r="M9" s="2357"/>
      <c r="N9" s="2357"/>
      <c r="O9" s="2357"/>
      <c r="P9" s="2357"/>
      <c r="Q9" s="2357"/>
      <c r="R9" s="2357"/>
    </row>
    <row r="10" spans="1:29" s="116" customFormat="1" ht="15.75" thickBot="1">
      <c r="A10" s="2370"/>
      <c r="B10" s="2371" t="s">
        <v>2099</v>
      </c>
      <c r="C10" s="2372"/>
      <c r="D10" s="2360"/>
      <c r="E10" s="2360"/>
      <c r="F10" s="1127"/>
      <c r="G10" s="1127"/>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6" customFormat="1" ht="15">
      <c r="A11" s="2376"/>
      <c r="B11" s="2366"/>
      <c r="C11" s="2360"/>
      <c r="D11" s="2360"/>
      <c r="E11" s="2360"/>
      <c r="F11" s="2366"/>
      <c r="G11" s="1145"/>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5"/>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2100</v>
      </c>
      <c r="B13" s="2377"/>
      <c r="C13" s="2377"/>
      <c r="D13" s="2384"/>
      <c r="E13" s="2377"/>
      <c r="F13" s="2377"/>
      <c r="G13" s="2377"/>
    </row>
    <row r="14" spans="1:29" ht="15.75" thickBot="1">
      <c r="A14" s="2388"/>
      <c r="B14" s="2389"/>
      <c r="C14" s="2390" t="s">
        <v>2101</v>
      </c>
      <c r="D14" s="2360"/>
      <c r="E14" s="2391"/>
      <c r="F14" s="2391"/>
      <c r="G14" s="2354" t="s">
        <v>2102</v>
      </c>
    </row>
    <row r="15" spans="1:29" ht="57">
      <c r="A15" s="68" t="s">
        <v>2103</v>
      </c>
      <c r="B15" s="1261" t="s">
        <v>2080</v>
      </c>
      <c r="C15" s="2392" t="str">
        <f>C3</f>
        <v>估价对象周边居住用地比例、居住小区规模和社区发展完善程度，综合评价居住社区成熟度一般</v>
      </c>
      <c r="D15" s="2360"/>
      <c r="E15" s="2393" t="s">
        <v>2104</v>
      </c>
      <c r="F15" s="1261" t="s">
        <v>2105</v>
      </c>
      <c r="G15" s="132" t="str">
        <f>G3</f>
        <v>估价对象位于XX开发区，园区建设成熟度XX，产业集聚程度XX</v>
      </c>
    </row>
    <row r="16" spans="1:29" ht="42.75">
      <c r="A16" s="642"/>
      <c r="B16" s="2394" t="s">
        <v>2084</v>
      </c>
      <c r="C16" s="2395" t="str">
        <f>C4</f>
        <v>估价对象位于XX商圈，周边商业氛围成熟，人流量大，商业繁华度好</v>
      </c>
      <c r="D16" s="2360"/>
      <c r="E16" s="2396"/>
      <c r="F16" s="2397" t="s">
        <v>2086</v>
      </c>
      <c r="G16" s="133" t="str">
        <f>G4</f>
        <v>估价对象周边道路状况、公共交通通达情况、停车便捷程度，综合评价交通便捷度较好</v>
      </c>
    </row>
    <row r="17" spans="1:18" ht="42.75">
      <c r="A17" s="642"/>
      <c r="B17" s="2394" t="s">
        <v>2088</v>
      </c>
      <c r="C17" s="2395" t="str">
        <f>C5</f>
        <v>估价对象位于XX商圈，周边办公楼项目较多，入驻率高，办公集聚程度较好</v>
      </c>
      <c r="D17" s="2366"/>
      <c r="E17" s="2396"/>
      <c r="F17" s="2397" t="s">
        <v>2106</v>
      </c>
      <c r="G17" s="1562"/>
    </row>
    <row r="18" spans="1:18" ht="57">
      <c r="A18" s="642"/>
      <c r="B18" s="2397" t="s">
        <v>2092</v>
      </c>
      <c r="C18" s="133" t="str">
        <f>C6</f>
        <v>估价对象周边道路状况、公共交通通达情况、停车便捷程度，综合评价交通便捷度较好</v>
      </c>
      <c r="D18" s="2366"/>
      <c r="E18" s="2396"/>
      <c r="F18" s="2397" t="s">
        <v>2095</v>
      </c>
      <c r="G18" s="133" t="str">
        <f>G7</f>
        <v>该园区内是否有污染型企业，绿化情况，卫生条件，整体环境状况判断</v>
      </c>
    </row>
    <row r="19" spans="1:18" ht="28.5">
      <c r="A19" s="642"/>
      <c r="B19" s="2397" t="s">
        <v>2107</v>
      </c>
      <c r="C19" s="1562"/>
      <c r="D19" s="2360"/>
      <c r="E19" s="2396"/>
      <c r="F19" s="1788" t="s">
        <v>2090</v>
      </c>
      <c r="G19" s="133" t="str">
        <f>G5</f>
        <v>估价对象所在区域公共配套设施齐备情况</v>
      </c>
    </row>
    <row r="20" spans="1:18" ht="28.5">
      <c r="A20" s="642"/>
      <c r="B20" s="2397" t="s">
        <v>2108</v>
      </c>
      <c r="C20" s="2395" t="str">
        <f>C9</f>
        <v>区域自然环境：；人文环境；综合评价环境状况一般</v>
      </c>
      <c r="D20" s="2366"/>
      <c r="E20" s="2396"/>
      <c r="F20" s="1788" t="s">
        <v>2109</v>
      </c>
      <c r="G20" s="133" t="str">
        <f>G6</f>
        <v>估价对象所在区域基础设施水平</v>
      </c>
    </row>
    <row r="21" spans="1:18" ht="28.5">
      <c r="A21" s="642"/>
      <c r="B21" s="1788" t="s">
        <v>2090</v>
      </c>
      <c r="C21" s="133" t="str">
        <f>C7</f>
        <v>估价对象所在区域公共配套设施齐备情况</v>
      </c>
      <c r="D21" s="2360"/>
      <c r="E21" s="2396"/>
      <c r="F21" s="2397" t="s">
        <v>2110</v>
      </c>
      <c r="G21" s="2398"/>
    </row>
    <row r="22" spans="1:18" ht="13.5" customHeight="1">
      <c r="A22" s="642"/>
      <c r="B22" s="1788" t="s">
        <v>2093</v>
      </c>
      <c r="C22" s="133" t="str">
        <f>C8</f>
        <v>估价对象所在区域基础设施水平</v>
      </c>
      <c r="D22" s="2360"/>
      <c r="E22" s="2396"/>
      <c r="F22" s="2397" t="s">
        <v>2099</v>
      </c>
      <c r="G22" s="1562"/>
    </row>
    <row r="23" spans="1:18" s="2357" customFormat="1" ht="15.75" thickBot="1">
      <c r="A23" s="642"/>
      <c r="B23" s="2397" t="s">
        <v>2110</v>
      </c>
      <c r="C23" s="2398"/>
      <c r="D23" s="2385"/>
      <c r="E23" s="2399"/>
      <c r="F23" s="2400" t="s">
        <v>2111</v>
      </c>
      <c r="G23" s="2401"/>
      <c r="H23" s="2385"/>
      <c r="I23" s="2386"/>
      <c r="J23" s="2385"/>
      <c r="K23" s="2385"/>
      <c r="L23" s="2386"/>
      <c r="M23" s="2385"/>
      <c r="N23" s="2385"/>
      <c r="O23" s="2386"/>
      <c r="P23" s="2385"/>
      <c r="Q23" s="2385"/>
      <c r="R23" s="2387"/>
    </row>
    <row r="24" spans="1:18" s="2357" customFormat="1" ht="15.75" thickBot="1">
      <c r="A24" s="2402"/>
      <c r="B24" s="2400" t="s">
        <v>2112</v>
      </c>
      <c r="C24" s="134">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3.5"/>
  <cols>
    <col min="1" max="1" width="23.375" style="1731" customWidth="1"/>
    <col min="2" max="9" width="15.625" style="1731" customWidth="1"/>
    <col min="10" max="16384" width="9" style="1731"/>
  </cols>
  <sheetData>
    <row r="1" spans="1:10" ht="16.5">
      <c r="A1" s="1736" t="s">
        <v>1361</v>
      </c>
      <c r="B1" s="1736">
        <f>SUM(B14:B23)</f>
        <v>900384.25897299999</v>
      </c>
      <c r="C1" s="1735"/>
      <c r="D1" s="1735"/>
      <c r="E1" s="1735"/>
      <c r="F1" s="1735"/>
      <c r="G1" s="1733"/>
    </row>
    <row r="2" spans="1:10" ht="16.5">
      <c r="A2" s="1736" t="s">
        <v>1349</v>
      </c>
      <c r="B2" s="1736">
        <f>SUM(C14:C23)</f>
        <v>358537</v>
      </c>
      <c r="C2" s="1735"/>
      <c r="D2" s="1735"/>
      <c r="E2" s="1735"/>
      <c r="F2" s="1735"/>
      <c r="G2" s="1733"/>
    </row>
    <row r="3" spans="1:10" ht="16.5">
      <c r="A3" s="1736" t="s">
        <v>1358</v>
      </c>
      <c r="B3" s="1737">
        <f>项目基本情况!D3</f>
        <v>43782</v>
      </c>
      <c r="C3" s="1735"/>
      <c r="D3" s="1735"/>
      <c r="E3" s="1735"/>
      <c r="F3" s="1735"/>
      <c r="G3" s="1733"/>
    </row>
    <row r="4" spans="1:10" ht="33">
      <c r="A4" s="1736" t="s">
        <v>1357</v>
      </c>
      <c r="B4" s="1736" t="s">
        <v>1356</v>
      </c>
      <c r="C4" s="1736" t="s">
        <v>1355</v>
      </c>
      <c r="D4" s="1736" t="s">
        <v>1354</v>
      </c>
      <c r="E4" s="1735"/>
      <c r="F4" s="1733"/>
      <c r="G4" s="1733"/>
    </row>
    <row r="5" spans="1:10" ht="16.5">
      <c r="A5" s="1736" t="s">
        <v>1353</v>
      </c>
      <c r="B5" s="1736">
        <f ca="1">SUM(D14:D23)</f>
        <v>378244</v>
      </c>
      <c r="C5" s="1736">
        <f ca="1">ROUND(B5*10000/$B$1,0)</f>
        <v>4201</v>
      </c>
      <c r="D5" s="1736">
        <f ca="1">ROUND(B5*10000/$B$2,0)</f>
        <v>10550</v>
      </c>
      <c r="E5" s="1735"/>
      <c r="F5" s="1733"/>
      <c r="G5" s="1733"/>
    </row>
    <row r="6" spans="1:10" ht="16.5">
      <c r="A6" s="1736" t="s">
        <v>1352</v>
      </c>
      <c r="B6" s="1736">
        <f ca="1">SUM(G14:G23)</f>
        <v>375547</v>
      </c>
      <c r="C6" s="1736">
        <f ca="1">ROUND(B6*10000/$B$1,0)</f>
        <v>4171</v>
      </c>
      <c r="D6" s="1736">
        <f ca="1">ROUND(B6*10000/$B$2,0)</f>
        <v>10474</v>
      </c>
      <c r="E6" s="1735"/>
      <c r="F6" s="1733"/>
      <c r="G6" s="1733"/>
    </row>
    <row r="7" spans="1:10" ht="16.5">
      <c r="A7" s="1736" t="s">
        <v>1360</v>
      </c>
      <c r="B7" s="1736">
        <f>SUM(H14:H23)</f>
        <v>0</v>
      </c>
      <c r="C7" s="1736">
        <f>ROUND(B7*10000/$B$1,0)</f>
        <v>0</v>
      </c>
      <c r="D7" s="1736">
        <f>ROUND(B7*10000/$B$2,0)</f>
        <v>0</v>
      </c>
      <c r="E7" s="1735"/>
      <c r="F7" s="1733"/>
      <c r="G7" s="1733"/>
    </row>
    <row r="8" spans="1:10" ht="16.5">
      <c r="A8" s="1736" t="s">
        <v>1281</v>
      </c>
      <c r="B8" s="1736">
        <f ca="1">SUM(I14:I23)</f>
        <v>352713</v>
      </c>
      <c r="C8" s="1736">
        <f ca="1">ROUND(B8*10000/$B$1,0)</f>
        <v>3917</v>
      </c>
      <c r="D8" s="1736">
        <f ca="1">ROUND(B8*10000/$B$2,0)</f>
        <v>9838</v>
      </c>
      <c r="E8" s="1735"/>
      <c r="F8" s="1733"/>
      <c r="G8" s="1733"/>
    </row>
    <row r="9" spans="1:10" ht="16.5">
      <c r="A9" s="1736" t="s">
        <v>1351</v>
      </c>
      <c r="B9" s="1738"/>
      <c r="C9" s="1735"/>
      <c r="D9" s="1735"/>
      <c r="E9" s="1735"/>
      <c r="F9" s="1733"/>
      <c r="G9" s="1733"/>
    </row>
    <row r="10" spans="1:10" ht="16.5">
      <c r="A10" s="1736" t="s">
        <v>1350</v>
      </c>
      <c r="B10" s="1738"/>
      <c r="C10" s="1735"/>
      <c r="D10" s="1735"/>
      <c r="E10" s="1735"/>
      <c r="F10" s="1733"/>
      <c r="G10" s="1733"/>
    </row>
    <row r="11" spans="1:10" ht="16.5">
      <c r="A11" s="1736" t="s">
        <v>1366</v>
      </c>
      <c r="B11" s="1738"/>
      <c r="C11" s="1735"/>
      <c r="D11" s="1735"/>
      <c r="E11" s="1735"/>
      <c r="F11" s="1733"/>
      <c r="G11" s="1733"/>
    </row>
    <row r="12" spans="1:10" ht="16.5">
      <c r="A12" s="1735"/>
      <c r="B12" s="1735"/>
      <c r="C12" s="1735"/>
      <c r="D12" s="1735"/>
      <c r="E12" s="1735"/>
      <c r="F12" s="1733"/>
      <c r="G12" s="1733"/>
    </row>
    <row r="13" spans="1:10" ht="33">
      <c r="A13" s="1741" t="s">
        <v>1365</v>
      </c>
      <c r="B13" s="1734" t="s">
        <v>1362</v>
      </c>
      <c r="C13" s="1734" t="s">
        <v>1364</v>
      </c>
      <c r="D13" s="1734" t="s">
        <v>1363</v>
      </c>
      <c r="E13" s="1736" t="s">
        <v>1355</v>
      </c>
      <c r="F13" s="1736" t="s">
        <v>1354</v>
      </c>
      <c r="G13" s="1734" t="s">
        <v>1348</v>
      </c>
      <c r="H13" s="1734" t="s">
        <v>1359</v>
      </c>
      <c r="I13" s="1734" t="s">
        <v>1347</v>
      </c>
      <c r="J13" s="1733"/>
    </row>
    <row r="14" spans="1:10" ht="16.5">
      <c r="A14" s="1732" t="s">
        <v>1346</v>
      </c>
      <c r="B14" s="1734">
        <f>结果表!B118</f>
        <v>900384.25897299999</v>
      </c>
      <c r="C14" s="1734">
        <f>结果表!C118</f>
        <v>358537</v>
      </c>
      <c r="D14" s="1734">
        <f ca="1">结果表!H118</f>
        <v>378244</v>
      </c>
      <c r="E14" s="1734">
        <f ca="1">ROUND(D14*10000/B14,0)</f>
        <v>4201</v>
      </c>
      <c r="F14" s="1734">
        <f ca="1">ROUND(D14*10000/C14,0)</f>
        <v>10550</v>
      </c>
      <c r="G14" s="1734">
        <f ca="1">结果表!D122</f>
        <v>375547</v>
      </c>
      <c r="H14" s="1734" t="str">
        <f>结果表!D124</f>
        <v>——</v>
      </c>
      <c r="I14" s="1734">
        <f ca="1">结果表!D126</f>
        <v>352713</v>
      </c>
      <c r="J14" s="1733"/>
    </row>
    <row r="15" spans="1:10" ht="16.5">
      <c r="A15" s="1732" t="s">
        <v>1345</v>
      </c>
      <c r="B15" s="1739"/>
      <c r="C15" s="1739"/>
      <c r="D15" s="1739"/>
      <c r="E15" s="1734" t="e">
        <f t="shared" ref="E15:E23" si="0">ROUND(D15*10000/B15,0)</f>
        <v>#DIV/0!</v>
      </c>
      <c r="F15" s="1734" t="e">
        <f t="shared" ref="F15:F23" si="1">ROUND(D15*10000/C15,0)</f>
        <v>#DIV/0!</v>
      </c>
      <c r="G15" s="1740"/>
      <c r="H15" s="1740"/>
      <c r="I15" s="1739"/>
      <c r="J15" s="1733"/>
    </row>
    <row r="16" spans="1:10" ht="16.5">
      <c r="A16" s="1732" t="s">
        <v>1344</v>
      </c>
      <c r="B16" s="1739"/>
      <c r="C16" s="1739"/>
      <c r="D16" s="1739"/>
      <c r="E16" s="1734" t="e">
        <f t="shared" si="0"/>
        <v>#DIV/0!</v>
      </c>
      <c r="F16" s="1734" t="e">
        <f t="shared" si="1"/>
        <v>#DIV/0!</v>
      </c>
      <c r="G16" s="1740"/>
      <c r="H16" s="1740"/>
      <c r="I16" s="1739"/>
    </row>
    <row r="17" spans="1:9" ht="16.5">
      <c r="A17" s="1732" t="s">
        <v>1343</v>
      </c>
      <c r="B17" s="1739"/>
      <c r="C17" s="1739"/>
      <c r="D17" s="1739"/>
      <c r="E17" s="1734" t="e">
        <f t="shared" si="0"/>
        <v>#DIV/0!</v>
      </c>
      <c r="F17" s="1734" t="e">
        <f t="shared" si="1"/>
        <v>#DIV/0!</v>
      </c>
      <c r="G17" s="1740"/>
      <c r="H17" s="1740"/>
      <c r="I17" s="1739"/>
    </row>
    <row r="18" spans="1:9" ht="16.5">
      <c r="A18" s="1732" t="s">
        <v>1342</v>
      </c>
      <c r="B18" s="1739"/>
      <c r="C18" s="1739"/>
      <c r="D18" s="1739"/>
      <c r="E18" s="1734" t="e">
        <f t="shared" si="0"/>
        <v>#DIV/0!</v>
      </c>
      <c r="F18" s="1734" t="e">
        <f t="shared" si="1"/>
        <v>#DIV/0!</v>
      </c>
      <c r="G18" s="1739"/>
      <c r="H18" s="1739"/>
      <c r="I18" s="1739"/>
    </row>
    <row r="19" spans="1:9" ht="16.5">
      <c r="A19" s="1732" t="s">
        <v>1341</v>
      </c>
      <c r="B19" s="1739"/>
      <c r="C19" s="1739"/>
      <c r="D19" s="1739"/>
      <c r="E19" s="1734" t="e">
        <f t="shared" si="0"/>
        <v>#DIV/0!</v>
      </c>
      <c r="F19" s="1734" t="e">
        <f t="shared" si="1"/>
        <v>#DIV/0!</v>
      </c>
      <c r="G19" s="1739"/>
      <c r="H19" s="1739"/>
      <c r="I19" s="1739"/>
    </row>
    <row r="20" spans="1:9" ht="16.5">
      <c r="A20" s="1732" t="s">
        <v>1340</v>
      </c>
      <c r="B20" s="1739"/>
      <c r="C20" s="1739"/>
      <c r="D20" s="1739"/>
      <c r="E20" s="1734" t="e">
        <f t="shared" si="0"/>
        <v>#DIV/0!</v>
      </c>
      <c r="F20" s="1734" t="e">
        <f t="shared" si="1"/>
        <v>#DIV/0!</v>
      </c>
      <c r="G20" s="1739"/>
      <c r="H20" s="1739"/>
      <c r="I20" s="1739"/>
    </row>
    <row r="21" spans="1:9" ht="16.5">
      <c r="A21" s="1732" t="s">
        <v>1339</v>
      </c>
      <c r="B21" s="1739"/>
      <c r="C21" s="1739"/>
      <c r="D21" s="1739"/>
      <c r="E21" s="1734" t="e">
        <f t="shared" si="0"/>
        <v>#DIV/0!</v>
      </c>
      <c r="F21" s="1734" t="e">
        <f t="shared" si="1"/>
        <v>#DIV/0!</v>
      </c>
      <c r="G21" s="1739"/>
      <c r="H21" s="1739"/>
      <c r="I21" s="1739"/>
    </row>
    <row r="22" spans="1:9" ht="16.5">
      <c r="A22" s="1732" t="s">
        <v>1338</v>
      </c>
      <c r="B22" s="1739"/>
      <c r="C22" s="1739"/>
      <c r="D22" s="1739"/>
      <c r="E22" s="1734" t="e">
        <f t="shared" si="0"/>
        <v>#DIV/0!</v>
      </c>
      <c r="F22" s="1734" t="e">
        <f t="shared" si="1"/>
        <v>#DIV/0!</v>
      </c>
      <c r="G22" s="1739"/>
      <c r="H22" s="1739"/>
      <c r="I22" s="1739"/>
    </row>
    <row r="23" spans="1:9" ht="16.5">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18" sqref="A18:C18"/>
    </sheetView>
  </sheetViews>
  <sheetFormatPr defaultColWidth="9"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3043" t="str">
        <f>项目基本情况!B1</f>
        <v>浙江省杭州市萧山区浦阳镇桃北新村“融创森与海”居住项目A、C、D地块出让国有建设用地使用权房地产抵押价值预评估</v>
      </c>
      <c r="C37" s="3043"/>
      <c r="D37" s="3043"/>
      <c r="E37" s="3043"/>
      <c r="F37" s="3043"/>
      <c r="G37" s="3043"/>
      <c r="H37" s="3043"/>
      <c r="I37" s="3043"/>
    </row>
    <row r="38" spans="1:9">
      <c r="A38" s="1010"/>
      <c r="B38" s="1010"/>
    </row>
    <row r="39" spans="1:9">
      <c r="A39" s="1008" t="s">
        <v>818</v>
      </c>
      <c r="B39" s="1008" t="s">
        <v>820</v>
      </c>
    </row>
    <row r="40" spans="1:9">
      <c r="A40" s="1008"/>
      <c r="B40" s="1934" t="str">
        <f>项目基本情况!B5</f>
        <v>中信信托有限责任公司</v>
      </c>
    </row>
    <row r="41" spans="1:9">
      <c r="A41" s="1008"/>
      <c r="B41" s="1008"/>
    </row>
    <row r="42" spans="1:9">
      <c r="A42" s="1008" t="s">
        <v>818</v>
      </c>
      <c r="B42" s="1008" t="s">
        <v>821</v>
      </c>
    </row>
    <row r="43" spans="1:9">
      <c r="A43" s="1008"/>
      <c r="B43" s="1934" t="s">
        <v>822</v>
      </c>
    </row>
    <row r="44" spans="1:9">
      <c r="A44" s="1008"/>
      <c r="B44" s="1008"/>
    </row>
    <row r="45" spans="1:9">
      <c r="A45" s="1008" t="s">
        <v>818</v>
      </c>
      <c r="B45" s="1008" t="s">
        <v>823</v>
      </c>
    </row>
    <row r="46" spans="1:9" s="1008" customFormat="1" ht="12.75">
      <c r="B46" s="1934" t="str">
        <f ca="1">项目基本情况!K4</f>
        <v>郑燚（注册号：0)、王鹏（注册号：1120050019)</v>
      </c>
    </row>
    <row r="47" spans="1:9">
      <c r="A47" s="1008"/>
      <c r="B47" s="1008" t="str">
        <f>项目基本情况!K5</f>
        <v/>
      </c>
    </row>
    <row r="48" spans="1:9">
      <c r="A48" s="1008" t="s">
        <v>818</v>
      </c>
      <c r="B48" s="1008"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120" zoomScaleNormal="100" zoomScaleSheetLayoutView="120" zoomScalePageLayoutView="80" workbookViewId="0">
      <selection activeCell="G29" sqref="G29"/>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5" t="s">
        <v>2113</v>
      </c>
      <c r="B1" s="2408"/>
      <c r="C1" s="2409"/>
      <c r="D1" s="2408"/>
      <c r="E1" s="2408"/>
      <c r="F1" s="2410" t="s">
        <v>2114</v>
      </c>
      <c r="G1" s="2060" t="s">
        <v>3063</v>
      </c>
      <c r="H1" s="2411" t="str">
        <f>IF(G1="现房","——","估价对象范围")</f>
        <v>估价对象范围</v>
      </c>
      <c r="I1" s="2412" t="s">
        <v>3671</v>
      </c>
    </row>
    <row r="2" spans="1:12" ht="21.75" customHeight="1" thickBot="1">
      <c r="A2" s="3197" t="str">
        <f>项目基本情况!S2</f>
        <v>浙江省杭州市萧山区浦阳镇桃北新村“融创森与海”居住项目A、C、D地块出让国有建设用地使用权</v>
      </c>
      <c r="B2" s="3198"/>
      <c r="C2" s="3198"/>
      <c r="D2" s="3198"/>
      <c r="E2" s="3198"/>
      <c r="F2" s="3198"/>
      <c r="G2" s="3198"/>
      <c r="H2" s="3198"/>
      <c r="I2" s="3199"/>
    </row>
    <row r="3" spans="1:12" ht="12.75">
      <c r="A3" s="3201" t="s">
        <v>2115</v>
      </c>
      <c r="B3" s="3202"/>
      <c r="C3" s="3202"/>
      <c r="D3" s="3202"/>
      <c r="E3" s="3202"/>
      <c r="F3" s="3202"/>
      <c r="G3" s="3202"/>
      <c r="H3" s="3202"/>
      <c r="I3" s="3202"/>
    </row>
    <row r="4" spans="1:12" ht="14.25">
      <c r="A4" s="2415" t="s">
        <v>2116</v>
      </c>
      <c r="B4" s="2416" t="s">
        <v>2117</v>
      </c>
      <c r="C4" s="2417" t="s">
        <v>3684</v>
      </c>
      <c r="D4" s="2417" t="s">
        <v>3048</v>
      </c>
      <c r="E4" s="3194" t="s">
        <v>2118</v>
      </c>
      <c r="F4" s="3195"/>
      <c r="G4" s="3195"/>
      <c r="H4" s="3195"/>
      <c r="I4" s="3203"/>
      <c r="K4" s="2418" t="str">
        <f>IF(ISNUMBER(FIND("比较法",结果表!C4)),"比较法",IF(ISNUMBER(FIND("成本法",结果表!C4)),"成本法",IF(ISNUMBER(FIND("假设开发法",结果表!C4)),"假设开发法",IF(ISNUMBER(FIND("收益法",结果表!C4)),"收益法","基准地价系数修正法"))))</f>
        <v>比较法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77" t="s">
        <v>2119</v>
      </c>
      <c r="B5" s="3087">
        <v>25</v>
      </c>
      <c r="C5" s="3180"/>
      <c r="D5" s="3200"/>
      <c r="E5" s="137" t="s">
        <v>2120</v>
      </c>
      <c r="F5" s="2419"/>
      <c r="G5" s="2419"/>
      <c r="H5" s="2419"/>
      <c r="I5" s="1824"/>
    </row>
    <row r="6" spans="1:12" ht="12.75" hidden="1">
      <c r="A6" s="3177"/>
      <c r="B6" s="3087"/>
      <c r="C6" s="3181"/>
      <c r="D6" s="3200"/>
      <c r="E6" s="137" t="s">
        <v>2121</v>
      </c>
      <c r="F6" s="2419"/>
      <c r="G6" s="2419"/>
      <c r="H6" s="2419"/>
      <c r="I6" s="1824"/>
    </row>
    <row r="7" spans="1:12" ht="12.75" hidden="1">
      <c r="A7" s="3177"/>
      <c r="B7" s="3087"/>
      <c r="C7" s="3182"/>
      <c r="D7" s="3200"/>
      <c r="E7" s="137" t="s">
        <v>2122</v>
      </c>
      <c r="F7" s="2419"/>
      <c r="G7" s="2419"/>
      <c r="H7" s="2419"/>
      <c r="I7" s="1824"/>
    </row>
    <row r="8" spans="1:12" ht="12.75" hidden="1">
      <c r="A8" s="3177" t="s">
        <v>2123</v>
      </c>
      <c r="B8" s="3087">
        <v>15</v>
      </c>
      <c r="C8" s="3180"/>
      <c r="D8" s="3200"/>
      <c r="E8" s="137" t="s">
        <v>2124</v>
      </c>
      <c r="F8" s="2419"/>
      <c r="G8" s="2419"/>
      <c r="H8" s="2419"/>
      <c r="I8" s="1824"/>
    </row>
    <row r="9" spans="1:12" ht="12.75" hidden="1">
      <c r="A9" s="3177"/>
      <c r="B9" s="3087"/>
      <c r="C9" s="3182"/>
      <c r="D9" s="3200"/>
      <c r="E9" s="137" t="s">
        <v>2125</v>
      </c>
      <c r="F9" s="2419"/>
      <c r="G9" s="2419"/>
      <c r="H9" s="2419"/>
      <c r="I9" s="1824"/>
    </row>
    <row r="10" spans="1:12" ht="12.75" hidden="1">
      <c r="A10" s="3177" t="s">
        <v>2126</v>
      </c>
      <c r="B10" s="3087">
        <v>15</v>
      </c>
      <c r="C10" s="3180"/>
      <c r="D10" s="3200"/>
      <c r="E10" s="137" t="s">
        <v>2127</v>
      </c>
      <c r="F10" s="2419"/>
      <c r="G10" s="2419"/>
      <c r="H10" s="2419"/>
      <c r="I10" s="1824"/>
    </row>
    <row r="11" spans="1:12" ht="12.75" hidden="1">
      <c r="A11" s="3177"/>
      <c r="B11" s="3087"/>
      <c r="C11" s="3182"/>
      <c r="D11" s="3200"/>
      <c r="E11" s="137" t="s">
        <v>2128</v>
      </c>
      <c r="F11" s="2419"/>
      <c r="G11" s="2419"/>
      <c r="H11" s="2419"/>
      <c r="I11" s="1824"/>
    </row>
    <row r="12" spans="1:12" ht="12.75" hidden="1">
      <c r="A12" s="3177" t="s">
        <v>2129</v>
      </c>
      <c r="B12" s="3087">
        <v>15</v>
      </c>
      <c r="C12" s="3180"/>
      <c r="D12" s="3200"/>
      <c r="E12" s="137" t="s">
        <v>2130</v>
      </c>
      <c r="F12" s="2419"/>
      <c r="G12" s="2419"/>
      <c r="H12" s="2419"/>
      <c r="I12" s="1824"/>
    </row>
    <row r="13" spans="1:12" ht="12.75" hidden="1">
      <c r="A13" s="3177"/>
      <c r="B13" s="3087"/>
      <c r="C13" s="3182"/>
      <c r="D13" s="3200"/>
      <c r="E13" s="137" t="s">
        <v>2131</v>
      </c>
      <c r="F13" s="2419"/>
      <c r="G13" s="2419"/>
      <c r="H13" s="2419"/>
      <c r="I13" s="1824"/>
    </row>
    <row r="14" spans="1:12" ht="12.75" hidden="1">
      <c r="A14" s="3177" t="s">
        <v>2132</v>
      </c>
      <c r="B14" s="3087">
        <v>30</v>
      </c>
      <c r="C14" s="3180">
        <v>5</v>
      </c>
      <c r="D14" s="3200">
        <v>5</v>
      </c>
      <c r="E14" s="137" t="s">
        <v>2133</v>
      </c>
      <c r="F14" s="2419"/>
      <c r="G14" s="2419"/>
      <c r="H14" s="2419"/>
      <c r="I14" s="1824"/>
    </row>
    <row r="15" spans="1:12" ht="12.75" hidden="1">
      <c r="A15" s="3177"/>
      <c r="B15" s="3087"/>
      <c r="C15" s="3181"/>
      <c r="D15" s="3200"/>
      <c r="E15" s="137" t="s">
        <v>2134</v>
      </c>
      <c r="F15" s="2419"/>
      <c r="G15" s="2419"/>
      <c r="H15" s="2419"/>
      <c r="I15" s="1824"/>
    </row>
    <row r="16" spans="1:12" ht="12.75" hidden="1">
      <c r="A16" s="3177"/>
      <c r="B16" s="3087"/>
      <c r="C16" s="3182"/>
      <c r="D16" s="3200"/>
      <c r="E16" s="137" t="s">
        <v>2135</v>
      </c>
      <c r="F16" s="2419"/>
      <c r="G16" s="2419"/>
      <c r="H16" s="2419"/>
      <c r="I16" s="1824"/>
    </row>
    <row r="17" spans="1:35" ht="15">
      <c r="A17" s="2420" t="s">
        <v>2136</v>
      </c>
      <c r="B17" s="64"/>
      <c r="C17" s="138">
        <f>SUM(C5:C16)</f>
        <v>5</v>
      </c>
      <c r="D17" s="138">
        <f>SUM(D5:D16)</f>
        <v>5</v>
      </c>
      <c r="E17" s="135"/>
      <c r="F17" s="135"/>
      <c r="G17" s="135"/>
      <c r="H17" s="135"/>
      <c r="I17" s="135"/>
      <c r="K17" s="2418"/>
      <c r="L17" s="2421" t="s">
        <v>2137</v>
      </c>
      <c r="M17" s="2421" t="s">
        <v>2138</v>
      </c>
    </row>
    <row r="18" spans="1:35" ht="15.75" thickBot="1">
      <c r="A18" s="2422" t="s">
        <v>2139</v>
      </c>
      <c r="B18" s="2423"/>
      <c r="C18" s="139">
        <f>ROUND(C17/SUM(C17:D17),2)</f>
        <v>0.5</v>
      </c>
      <c r="D18" s="139">
        <f>1-C18</f>
        <v>0.5</v>
      </c>
      <c r="E18" s="135"/>
      <c r="F18" s="135"/>
      <c r="G18" s="135"/>
      <c r="H18" s="135"/>
      <c r="I18" s="135"/>
      <c r="K18" s="2418" t="s">
        <v>2140</v>
      </c>
      <c r="L18" s="2418">
        <f>IF(C1="",'数据-汇总表'!E3,SUMIF(项目类型,C1,'数据-汇总表'!E17:E26)+SUMIF(项目类型,C1,'数据-汇总表'!I17:I26))</f>
        <v>900384.25897299999</v>
      </c>
      <c r="M18" s="2418">
        <f>IF(C1="",'数据-汇总表'!E3,SUMIF(项目类型,C1,'数据-汇总表'!E17:E26))</f>
        <v>900384.25897299999</v>
      </c>
    </row>
    <row r="19" spans="1:35" ht="15">
      <c r="A19" s="2424" t="s">
        <v>2141</v>
      </c>
      <c r="B19" s="2425" t="s">
        <v>2142</v>
      </c>
      <c r="C19" s="140">
        <f ca="1">SUMIF(INDIRECT("'"&amp;C4&amp;"'"&amp;"!A:A"),结果表!B19,INDIRECT("'"&amp;C4&amp;"'"&amp;"!B:B"))</f>
        <v>395001</v>
      </c>
      <c r="D19" s="141">
        <f ca="1">SUMIF(INDIRECT("'"&amp;D4&amp;"'"&amp;"!A:A"),结果表!B19,INDIRECT("'"&amp;D4&amp;"'"&amp;"!B:B"))</f>
        <v>365073</v>
      </c>
      <c r="E19" s="2424" t="s">
        <v>2143</v>
      </c>
      <c r="F19" s="2425" t="s">
        <v>2142</v>
      </c>
      <c r="G19" s="142">
        <f ca="1">ROUND(C19*$C$18+D19*$D$18,0)</f>
        <v>380037</v>
      </c>
      <c r="H19" s="2426" t="s">
        <v>2144</v>
      </c>
      <c r="I19" s="135"/>
      <c r="J19" s="2989" t="s">
        <v>3685</v>
      </c>
      <c r="K19" s="2418" t="s">
        <v>2145</v>
      </c>
      <c r="L19" s="2418">
        <f>IF(C1="",'数据-汇总表'!D3,SUMIF(项目类型,C1,'数据-汇总表'!D17:D26)+SUMIF(项目类型,C1,'数据-汇总表'!H17:H27))</f>
        <v>358537</v>
      </c>
      <c r="M19" s="2418">
        <f>IF(C1="",'数据-汇总表'!D3,SUMIF(项目类型,C1,'数据-汇总表'!D17:D26))</f>
        <v>358537</v>
      </c>
    </row>
    <row r="20" spans="1:35" ht="15">
      <c r="A20" s="2427"/>
      <c r="B20" s="1241" t="s">
        <v>2146</v>
      </c>
      <c r="C20" s="143">
        <f ca="1">SUMIF(INDIRECT("'"&amp;C4&amp;"'"&amp;"!A:A"),结果表!B20,INDIRECT("'"&amp;C4&amp;"'"&amp;"!B:B"))</f>
        <v>4387</v>
      </c>
      <c r="D20" s="144">
        <f ca="1">SUMIF(INDIRECT("'"&amp;D4&amp;"'"&amp;"!A:A"),结果表!B20,INDIRECT("'"&amp;D4&amp;"'"&amp;"!B:B"))</f>
        <v>4055</v>
      </c>
      <c r="E20" s="2427"/>
      <c r="F20" s="1241" t="s">
        <v>2146</v>
      </c>
      <c r="G20" s="145">
        <f ca="1">ROUND(C20*$C$18+D20*$D$18,0)</f>
        <v>4221</v>
      </c>
      <c r="H20" s="975" t="s">
        <v>2147</v>
      </c>
      <c r="I20" s="135"/>
      <c r="J20" s="791">
        <f ca="1">ROUND(G19/'数据-汇总表'!F31*10000,0)</f>
        <v>5951</v>
      </c>
    </row>
    <row r="21" spans="1:35" ht="15" customHeight="1" thickBot="1">
      <c r="A21" s="994"/>
      <c r="B21" s="2428" t="s">
        <v>2148</v>
      </c>
      <c r="C21" s="785">
        <f ca="1">ROUND(C19*10000/L19,0)</f>
        <v>11017</v>
      </c>
      <c r="D21" s="786">
        <f ca="1">ROUND(D19*10000/L19,0)</f>
        <v>10182</v>
      </c>
      <c r="E21" s="994"/>
      <c r="F21" s="2428" t="s">
        <v>2148</v>
      </c>
      <c r="G21" s="146">
        <f ca="1">ROUND(G19*10000/L19,0)</f>
        <v>10600</v>
      </c>
      <c r="H21" s="2429" t="s">
        <v>2147</v>
      </c>
      <c r="I21" s="135">
        <f ca="1">ROUND(G21/10000*666.67,0)</f>
        <v>707</v>
      </c>
    </row>
    <row r="22" spans="1:35" ht="15" thickBot="1">
      <c r="A22" s="2271" t="s">
        <v>2149</v>
      </c>
      <c r="B22" s="2430"/>
      <c r="C22" s="2431"/>
      <c r="D22" s="787">
        <f ca="1">IF(C19&lt;D19,D19/C19-1,C19/D19-1)</f>
        <v>8.1978124922960527E-2</v>
      </c>
      <c r="E22" s="135"/>
      <c r="F22" s="135"/>
      <c r="G22" s="135"/>
      <c r="H22" s="135"/>
      <c r="I22" s="135"/>
    </row>
    <row r="23" spans="1:35" ht="13.5" thickBot="1">
      <c r="A23" s="2408"/>
      <c r="B23" s="2408"/>
      <c r="C23" s="2408"/>
      <c r="D23" s="2408"/>
      <c r="E23" s="135"/>
      <c r="F23" s="135"/>
      <c r="G23" s="135"/>
      <c r="H23" s="135"/>
      <c r="I23" s="135"/>
    </row>
    <row r="24" spans="1:35" ht="14.25">
      <c r="A24" s="3171" t="s">
        <v>2150</v>
      </c>
      <c r="B24" s="2425" t="s">
        <v>2142</v>
      </c>
      <c r="C24" s="142">
        <f>IF(B30=0,0,D30)</f>
        <v>1793</v>
      </c>
      <c r="D24" s="2432"/>
      <c r="E24" s="135"/>
      <c r="F24" s="135"/>
      <c r="G24" s="135"/>
      <c r="H24" s="135"/>
      <c r="I24" s="135"/>
    </row>
    <row r="25" spans="1:35" ht="14.25">
      <c r="A25" s="3172"/>
      <c r="B25" s="1241" t="s">
        <v>2146</v>
      </c>
      <c r="C25" s="147">
        <f>IF(B30=0,0,C30)</f>
        <v>50</v>
      </c>
      <c r="D25" s="2433"/>
      <c r="E25" s="135"/>
      <c r="F25" s="135"/>
      <c r="G25" s="135"/>
      <c r="H25" s="135"/>
      <c r="I25" s="135"/>
    </row>
    <row r="26" spans="1:35" ht="13.5" customHeight="1">
      <c r="A26" s="2434" t="s">
        <v>2151</v>
      </c>
      <c r="B26" s="148" t="s">
        <v>2152</v>
      </c>
      <c r="C26" s="148" t="s">
        <v>2153</v>
      </c>
      <c r="D26" s="149" t="s">
        <v>2154</v>
      </c>
      <c r="E26" s="135"/>
      <c r="F26" s="135"/>
      <c r="G26" s="135"/>
      <c r="H26" s="135"/>
      <c r="I26" s="135"/>
    </row>
    <row r="27" spans="1:35" ht="14.25">
      <c r="A27" s="2980" t="s">
        <v>3678</v>
      </c>
      <c r="B27" s="148">
        <f>'数据-汇总表'!D3</f>
        <v>358537</v>
      </c>
      <c r="C27" s="148">
        <v>50</v>
      </c>
      <c r="D27" s="149">
        <f>ROUND(C27*B27/10000,0)</f>
        <v>1793</v>
      </c>
      <c r="E27" s="135"/>
      <c r="F27" s="135"/>
      <c r="G27" s="135"/>
      <c r="H27" s="135"/>
      <c r="I27" s="135"/>
    </row>
    <row r="28" spans="1:35" ht="14.25">
      <c r="A28" s="2434"/>
      <c r="B28" s="148"/>
      <c r="C28" s="148"/>
      <c r="D28" s="149"/>
      <c r="E28" s="135"/>
      <c r="F28" s="135"/>
      <c r="G28" s="135"/>
      <c r="H28" s="135"/>
      <c r="I28" s="135"/>
    </row>
    <row r="29" spans="1:35" ht="14.25">
      <c r="A29" s="2434"/>
      <c r="B29" s="148"/>
      <c r="C29" s="148"/>
      <c r="D29" s="149"/>
      <c r="E29" s="135"/>
      <c r="F29" s="135"/>
      <c r="G29" s="135"/>
      <c r="H29" s="135"/>
      <c r="I29" s="135"/>
    </row>
    <row r="30" spans="1:35" ht="14.25">
      <c r="A30" s="148" t="s">
        <v>2155</v>
      </c>
      <c r="B30" s="148">
        <f>B27</f>
        <v>358537</v>
      </c>
      <c r="C30" s="148">
        <f t="shared" ref="C30:D30" si="0">C27</f>
        <v>50</v>
      </c>
      <c r="D30" s="148">
        <f t="shared" si="0"/>
        <v>1793</v>
      </c>
      <c r="E30" s="2905" t="s">
        <v>3025</v>
      </c>
      <c r="F30" s="135"/>
      <c r="G30" s="135"/>
      <c r="H30" s="135"/>
      <c r="I30" s="135"/>
    </row>
    <row r="31" spans="1:35" s="2436" customFormat="1" ht="15" thickBot="1">
      <c r="A31" s="2435"/>
      <c r="B31" s="2435"/>
      <c r="C31" s="2435"/>
      <c r="D31" s="2435"/>
      <c r="E31" s="135"/>
      <c r="F31" s="135"/>
      <c r="G31" s="135"/>
      <c r="H31" s="135"/>
      <c r="I31" s="135"/>
      <c r="J31" s="791"/>
      <c r="K31" s="791"/>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2156</v>
      </c>
      <c r="B32" s="2438"/>
      <c r="C32" s="150">
        <f ca="1">IF(D32="总价",G19-C24,G20-C25)</f>
        <v>378244</v>
      </c>
      <c r="D32" s="2439" t="s">
        <v>2157</v>
      </c>
      <c r="E32" s="135"/>
      <c r="F32" s="135"/>
      <c r="G32" s="135"/>
      <c r="H32" s="135"/>
      <c r="I32" s="135"/>
    </row>
    <row r="33" spans="1:15" ht="15">
      <c r="A33" s="952" t="s">
        <v>2158</v>
      </c>
      <c r="B33" s="2440"/>
      <c r="C33" s="2441" t="s">
        <v>3672</v>
      </c>
      <c r="D33" s="2442" t="s">
        <v>3049</v>
      </c>
      <c r="E33" s="2443" t="s">
        <v>2159</v>
      </c>
      <c r="F33" s="2444" t="str">
        <f>IF(D32="楼面单价","取值（单价）","取值（总价）")</f>
        <v>取值（总价）</v>
      </c>
      <c r="G33" s="135"/>
      <c r="H33" s="135"/>
      <c r="I33" s="135"/>
    </row>
    <row r="34" spans="1:15" ht="15">
      <c r="A34" s="2445"/>
      <c r="B34" s="2446" t="s">
        <v>2160</v>
      </c>
      <c r="C34" s="154">
        <f ca="1">IF(C33="自定义",F34,C32-C35)</f>
        <v>378244</v>
      </c>
      <c r="D34" s="1049">
        <f ca="1">IF(C33="自定义",ROUND(C34/C32,3),IF(C33="收益比率",SUMIF(INDIRECT("'"&amp;D33&amp;"'"&amp;"!b:b"),"土地收益比率",INDIRECT("'"&amp;D33&amp;"'"&amp;"!c:c")),SUMIF(INDIRECT("'"&amp;D33&amp;"'"&amp;"!b:b"),"土地成本比率",INDIRECT("'"&amp;D33&amp;"'"&amp;"!c:c"))))</f>
        <v>1</v>
      </c>
      <c r="E34" s="2447" t="s">
        <v>2161</v>
      </c>
      <c r="F34" s="1729"/>
      <c r="G34" s="135"/>
      <c r="H34" s="135"/>
      <c r="I34" s="135"/>
    </row>
    <row r="35" spans="1:15" ht="15.75" thickBot="1">
      <c r="A35" s="2448"/>
      <c r="B35" s="2449" t="s">
        <v>2162</v>
      </c>
      <c r="C35" s="1435">
        <f ca="1">IF(C33="自定义",F35,ROUND(C32*D35,0))</f>
        <v>0</v>
      </c>
      <c r="D35" s="1436">
        <f ca="1">IF(C33="自定义",ROUND(C35/C32,3),IF(C33="收益比率",SUMIF(INDIRECT("'"&amp;D33&amp;"'"&amp;"!b:b"),"建筑物收益比率",INDIRECT("'"&amp;D33&amp;"'"&amp;"!c:c")),SUMIF(INDIRECT("'"&amp;D33&amp;"'"&amp;"!b:b"),"建筑物成本比率",INDIRECT("'"&amp;D33&amp;"'"&amp;"!c:c"))))</f>
        <v>0</v>
      </c>
      <c r="E35" s="2450" t="s">
        <v>2163</v>
      </c>
      <c r="F35" s="160"/>
      <c r="G35" s="135"/>
      <c r="H35" s="135"/>
      <c r="I35" s="135"/>
    </row>
    <row r="36" spans="1:15" ht="15.75" thickBot="1">
      <c r="A36" s="3189" t="s">
        <v>2164</v>
      </c>
      <c r="B36" s="2451" t="s">
        <v>2165</v>
      </c>
      <c r="C36" s="151"/>
      <c r="D36" s="2452"/>
      <c r="E36" s="2453"/>
      <c r="F36" s="2454"/>
      <c r="G36" s="135"/>
      <c r="H36" s="135"/>
      <c r="I36" s="135"/>
    </row>
    <row r="37" spans="1:15" ht="15.75" thickBot="1">
      <c r="A37" s="3190"/>
      <c r="B37" s="2257" t="s">
        <v>2166</v>
      </c>
      <c r="C37" s="153"/>
      <c r="D37" s="1386"/>
      <c r="E37" s="1386"/>
      <c r="F37" s="2454"/>
      <c r="G37" s="135"/>
      <c r="H37" s="135"/>
      <c r="I37" s="135"/>
    </row>
    <row r="38" spans="1:15" ht="15.75" thickBot="1">
      <c r="A38" s="3191"/>
      <c r="B38" s="2455" t="s">
        <v>2167</v>
      </c>
      <c r="C38" s="723">
        <f ca="1">E40</f>
        <v>2697</v>
      </c>
      <c r="D38" s="2456" t="s">
        <v>2168</v>
      </c>
      <c r="E38" s="1386"/>
      <c r="F38" s="2454"/>
      <c r="G38" s="135"/>
      <c r="H38" s="135"/>
      <c r="I38" s="135"/>
    </row>
    <row r="39" spans="1:15" ht="15">
      <c r="A39" s="2427" t="s">
        <v>2169</v>
      </c>
      <c r="B39" s="2457" t="s">
        <v>2170</v>
      </c>
      <c r="C39" s="2458" t="s">
        <v>2171</v>
      </c>
      <c r="D39" s="2458" t="s">
        <v>2172</v>
      </c>
      <c r="E39" s="2459" t="s">
        <v>2173</v>
      </c>
      <c r="F39" s="2454"/>
      <c r="G39" s="135"/>
      <c r="H39" s="135"/>
      <c r="I39" s="135"/>
    </row>
    <row r="40" spans="1:15" ht="14.25">
      <c r="A40" s="2460" t="s">
        <v>2174</v>
      </c>
      <c r="B40" s="3040">
        <f>抵押物汇总!N5+'数据-汇总表'!F31-抵押物汇总!O21</f>
        <v>4397.0789730000542</v>
      </c>
      <c r="C40" s="156">
        <f ca="1">J20</f>
        <v>5951</v>
      </c>
      <c r="D40" s="3041">
        <f>'数据-取费表'!B48+'数据-取费表'!B49</f>
        <v>3.0499999999999999E-2</v>
      </c>
      <c r="E40" s="157">
        <f ca="1">ROUND(B40*C40*(1+D40)/10000,0)</f>
        <v>2697</v>
      </c>
      <c r="F40" s="2454"/>
      <c r="G40" s="135"/>
      <c r="H40" s="135"/>
      <c r="I40" s="135"/>
    </row>
    <row r="41" spans="1:15" ht="14.25">
      <c r="A41" s="2460" t="s">
        <v>2175</v>
      </c>
      <c r="B41" s="155"/>
      <c r="C41" s="156"/>
      <c r="D41" s="156"/>
      <c r="E41" s="157"/>
      <c r="F41" s="2454"/>
      <c r="G41" s="135"/>
      <c r="H41" s="135"/>
      <c r="I41" s="135"/>
    </row>
    <row r="42" spans="1:15" ht="15" thickBot="1">
      <c r="A42" s="2461"/>
      <c r="B42" s="158"/>
      <c r="C42" s="159"/>
      <c r="D42" s="159"/>
      <c r="E42" s="160"/>
      <c r="F42" s="2454"/>
      <c r="G42" s="135"/>
      <c r="H42" s="135"/>
      <c r="I42" s="135"/>
    </row>
    <row r="43" spans="1:15" ht="12.75">
      <c r="A43" s="2155"/>
      <c r="B43" s="2155"/>
      <c r="C43" s="2155"/>
      <c r="D43" s="2155"/>
      <c r="E43" s="2155"/>
      <c r="F43" s="2462"/>
      <c r="G43" s="2462"/>
      <c r="H43" s="2462"/>
      <c r="I43" s="2463"/>
    </row>
    <row r="44" spans="1:15" ht="18.75">
      <c r="A44" s="2464" t="s">
        <v>2176</v>
      </c>
      <c r="B44" s="2465"/>
      <c r="C44" s="2465"/>
      <c r="D44" s="2466"/>
      <c r="E44" s="2466"/>
      <c r="F44" s="2467"/>
      <c r="G44" s="2467"/>
      <c r="H44" s="2467"/>
      <c r="I44" s="2467"/>
      <c r="J44" s="2468" t="s">
        <v>2177</v>
      </c>
      <c r="K44" s="2469"/>
      <c r="L44" s="2469"/>
      <c r="M44" s="2469"/>
      <c r="N44" s="2469"/>
      <c r="O44" s="2469"/>
    </row>
    <row r="45" spans="1:15" ht="14.25" customHeight="1" thickBot="1">
      <c r="A45" s="3168" t="s">
        <v>2178</v>
      </c>
      <c r="B45" s="3169"/>
      <c r="C45" s="3170"/>
      <c r="D45" s="161">
        <f ca="1">ROUND(H101*F45,0)</f>
        <v>378244</v>
      </c>
      <c r="E45" s="162" t="s">
        <v>2179</v>
      </c>
      <c r="F45" s="163">
        <v>1</v>
      </c>
      <c r="G45" s="164" t="s">
        <v>2180</v>
      </c>
      <c r="H45" s="135"/>
      <c r="I45" s="135"/>
      <c r="J45" s="3228" t="s">
        <v>2181</v>
      </c>
      <c r="K45" s="3228"/>
      <c r="L45" s="3228"/>
      <c r="M45" s="3228"/>
      <c r="N45" s="3228"/>
      <c r="O45" s="3228"/>
    </row>
    <row r="46" spans="1:15" ht="14.25" customHeight="1">
      <c r="A46" s="3165" t="s">
        <v>2182</v>
      </c>
      <c r="B46" s="3166"/>
      <c r="C46" s="3166"/>
      <c r="D46" s="3166"/>
      <c r="E46" s="3166"/>
      <c r="F46" s="3166"/>
      <c r="G46" s="3167"/>
      <c r="H46" s="2470"/>
      <c r="I46" s="165"/>
      <c r="J46" s="1802">
        <v>1</v>
      </c>
      <c r="K46" s="3228" t="s">
        <v>2183</v>
      </c>
      <c r="L46" s="3228"/>
      <c r="M46" s="3248"/>
      <c r="N46" s="3248"/>
      <c r="O46" s="3248"/>
    </row>
    <row r="47" spans="1:15" ht="12" customHeight="1">
      <c r="A47" s="166" t="s">
        <v>2184</v>
      </c>
      <c r="B47" s="167"/>
      <c r="C47" s="168"/>
      <c r="D47" s="169" t="s">
        <v>2185</v>
      </c>
      <c r="E47" s="24" t="s">
        <v>2186</v>
      </c>
      <c r="F47" s="170" t="s">
        <v>2187</v>
      </c>
      <c r="G47" s="171" t="s">
        <v>2188</v>
      </c>
      <c r="H47" s="2470"/>
      <c r="I47" s="165"/>
      <c r="J47" s="1802">
        <v>2</v>
      </c>
      <c r="K47" s="3228" t="s">
        <v>2189</v>
      </c>
      <c r="L47" s="3228"/>
      <c r="M47" s="3249">
        <f>'数据-取费表'!B2</f>
        <v>43782</v>
      </c>
      <c r="N47" s="3249"/>
      <c r="O47" s="3249"/>
    </row>
    <row r="48" spans="1:15" ht="25.5">
      <c r="A48" s="3196" t="s">
        <v>2190</v>
      </c>
      <c r="B48" s="3179"/>
      <c r="C48" s="3179"/>
      <c r="D48" s="137">
        <f ca="1">IF(H48="情况1",0,IF(H48="情况2",D52,IF(H48="情况3",D53,IF(H48="情况4",D54))))</f>
        <v>20173</v>
      </c>
      <c r="E48" s="1791" t="str">
        <f>IF(H48="情况4","(销售额-原购置价)×税（费）率","销售额×税（费）率")</f>
        <v>销售额×税（费）率</v>
      </c>
      <c r="F48" s="172">
        <f>IF(H48="情况1","免征",'数据-取费表'!B41)</f>
        <v>5.6000000000000001E-2</v>
      </c>
      <c r="G48" s="2471" t="s">
        <v>2191</v>
      </c>
      <c r="H48" s="2472" t="s">
        <v>3979</v>
      </c>
      <c r="I48" s="2470"/>
      <c r="J48" s="1802">
        <v>3</v>
      </c>
      <c r="K48" s="3228" t="s">
        <v>2192</v>
      </c>
      <c r="L48" s="3228"/>
      <c r="M48" s="3250">
        <f ca="1">H101</f>
        <v>378244</v>
      </c>
      <c r="N48" s="3250"/>
      <c r="O48" s="3250"/>
    </row>
    <row r="49" spans="1:35" ht="25.5" customHeight="1">
      <c r="A49" s="173" t="s">
        <v>2193</v>
      </c>
      <c r="B49" s="3164" t="s">
        <v>2194</v>
      </c>
      <c r="C49" s="3164"/>
      <c r="D49" s="174">
        <v>0</v>
      </c>
      <c r="E49" s="23" t="s">
        <v>2195</v>
      </c>
      <c r="F49" s="28" t="s">
        <v>34</v>
      </c>
      <c r="G49" s="3234"/>
      <c r="H49" s="135"/>
      <c r="I49" s="2473"/>
      <c r="J49" s="1802">
        <v>4</v>
      </c>
      <c r="K49" s="3228" t="str">
        <f>IF(项目基本情况!E8="房地产抵押价值","房地产抵押价值","抵押担保权已注销时的房地产抵押价值")</f>
        <v>房地产抵押价值</v>
      </c>
      <c r="L49" s="3228"/>
      <c r="M49" s="3250">
        <f ca="1">IF(项目基本情况!E8="房地产抵押价值",H107,H109)</f>
        <v>375547</v>
      </c>
      <c r="N49" s="3250"/>
      <c r="O49" s="3250"/>
    </row>
    <row r="50" spans="1:35" ht="25.5" customHeight="1">
      <c r="A50" s="175"/>
      <c r="B50" s="3164" t="s">
        <v>2196</v>
      </c>
      <c r="C50" s="3164"/>
      <c r="D50" s="176"/>
      <c r="E50" s="31"/>
      <c r="F50" s="177"/>
      <c r="G50" s="3235"/>
      <c r="H50" s="135"/>
      <c r="I50" s="2473"/>
      <c r="J50" s="3228" t="s">
        <v>2197</v>
      </c>
      <c r="K50" s="3228"/>
      <c r="L50" s="3228"/>
      <c r="M50" s="3228"/>
      <c r="N50" s="3228"/>
      <c r="O50" s="3228"/>
    </row>
    <row r="51" spans="1:35" ht="12" customHeight="1">
      <c r="A51" s="178"/>
      <c r="B51" s="3164" t="s">
        <v>2198</v>
      </c>
      <c r="C51" s="3164"/>
      <c r="D51" s="179"/>
      <c r="E51" s="30"/>
      <c r="F51" s="177"/>
      <c r="G51" s="3236"/>
      <c r="H51" s="135"/>
      <c r="I51" s="2473"/>
      <c r="J51" s="2474" t="s">
        <v>2199</v>
      </c>
      <c r="K51" s="3228" t="s">
        <v>2200</v>
      </c>
      <c r="L51" s="3228"/>
      <c r="M51" s="2474" t="s">
        <v>2201</v>
      </c>
      <c r="N51" s="2474" t="s">
        <v>2202</v>
      </c>
      <c r="O51" s="2474" t="s">
        <v>2203</v>
      </c>
    </row>
    <row r="52" spans="1:35" ht="24" customHeight="1">
      <c r="A52" s="180" t="s">
        <v>2204</v>
      </c>
      <c r="B52" s="3164" t="s">
        <v>2205</v>
      </c>
      <c r="C52" s="3164"/>
      <c r="D52" s="179">
        <f ca="1">ROUND(D45*'数据-取费表'!B41/(1+'数据-取费表'!C42),0)</f>
        <v>20173</v>
      </c>
      <c r="E52" s="11" t="s">
        <v>2206</v>
      </c>
      <c r="F52" s="181">
        <f>'数据-取费表'!B41</f>
        <v>5.6000000000000001E-2</v>
      </c>
      <c r="G52" s="2475"/>
      <c r="H52" s="135"/>
      <c r="I52" s="2473"/>
      <c r="J52" s="1802">
        <v>1</v>
      </c>
      <c r="K52" s="3229" t="s">
        <v>2207</v>
      </c>
      <c r="L52" s="3229"/>
      <c r="M52" s="1744">
        <f ca="1">D48</f>
        <v>20173</v>
      </c>
      <c r="N52" s="1802" t="str">
        <f>E48</f>
        <v>销售额×税（费）率</v>
      </c>
      <c r="O52" s="1745">
        <f>F48</f>
        <v>5.6000000000000001E-2</v>
      </c>
    </row>
    <row r="53" spans="1:35" ht="12" customHeight="1">
      <c r="A53" s="180" t="s">
        <v>2208</v>
      </c>
      <c r="B53" s="3187" t="s">
        <v>2209</v>
      </c>
      <c r="C53" s="3188"/>
      <c r="D53" s="179">
        <f ca="1">ROUND(D45*'数据-取费表'!B41/(1+'数据-取费表'!C42),0)</f>
        <v>20173</v>
      </c>
      <c r="E53" s="11" t="s">
        <v>2206</v>
      </c>
      <c r="F53" s="181">
        <f>'数据-取费表'!B41</f>
        <v>5.6000000000000001E-2</v>
      </c>
      <c r="G53" s="2475"/>
      <c r="H53" s="135"/>
      <c r="I53" s="2473"/>
      <c r="J53" s="1802">
        <v>2</v>
      </c>
      <c r="K53" s="3229" t="s">
        <v>2210</v>
      </c>
      <c r="L53" s="3229"/>
      <c r="M53" s="1744">
        <f t="shared" ref="M53:O54" ca="1" si="1">D55</f>
        <v>189</v>
      </c>
      <c r="N53" s="1802" t="str">
        <f t="shared" si="1"/>
        <v>销售额×税（费）率</v>
      </c>
      <c r="O53" s="1745">
        <f t="shared" si="1"/>
        <v>5.0000000000000001E-4</v>
      </c>
    </row>
    <row r="54" spans="1:35" ht="12" customHeight="1">
      <c r="A54" s="180" t="s">
        <v>2211</v>
      </c>
      <c r="B54" s="3187" t="s">
        <v>2212</v>
      </c>
      <c r="C54" s="3188"/>
      <c r="D54" s="179">
        <f ca="1">C68</f>
        <v>20173</v>
      </c>
      <c r="E54" s="30" t="s">
        <v>2213</v>
      </c>
      <c r="F54" s="181">
        <f>'数据-取费表'!B41</f>
        <v>5.6000000000000001E-2</v>
      </c>
      <c r="G54" s="2475"/>
      <c r="H54" s="2476"/>
      <c r="I54" s="2473"/>
      <c r="J54" s="1802">
        <v>3</v>
      </c>
      <c r="K54" s="3229" t="s">
        <v>2214</v>
      </c>
      <c r="L54" s="3229"/>
      <c r="M54" s="1744">
        <f t="shared" ca="1" si="1"/>
        <v>2472</v>
      </c>
      <c r="N54" s="1802" t="str">
        <f t="shared" si="1"/>
        <v>增值额×税（费）率</v>
      </c>
      <c r="O54" s="1746" t="str">
        <f t="shared" si="1"/>
        <v>——</v>
      </c>
    </row>
    <row r="55" spans="1:35" ht="24" customHeight="1">
      <c r="A55" s="3178" t="s">
        <v>2215</v>
      </c>
      <c r="B55" s="3179"/>
      <c r="C55" s="3179"/>
      <c r="D55" s="182">
        <f ca="1">IF(H55="个人住宅",0,ROUND(D45*I55,0))</f>
        <v>189</v>
      </c>
      <c r="E55" s="11" t="s">
        <v>2216</v>
      </c>
      <c r="F55" s="181">
        <f>IF(H55="正常",I55,"免征")</f>
        <v>5.0000000000000001E-4</v>
      </c>
      <c r="G55" s="2475"/>
      <c r="H55" s="2472" t="s">
        <v>2217</v>
      </c>
      <c r="I55" s="183">
        <f>'数据-取费表'!B49</f>
        <v>5.0000000000000001E-4</v>
      </c>
      <c r="J55" s="1802" t="str">
        <f>IF(H59="非个人房产","",4)</f>
        <v/>
      </c>
      <c r="K55" s="3229" t="str">
        <f>IF(H59="非个人房产","——","个人所得税")</f>
        <v>——</v>
      </c>
      <c r="L55" s="3229"/>
      <c r="M55" s="1747" t="str">
        <f>D59</f>
        <v>——</v>
      </c>
      <c r="N55" s="1800" t="str">
        <f>E59</f>
        <v>——</v>
      </c>
      <c r="O55" s="1748" t="str">
        <f>F59</f>
        <v>——</v>
      </c>
    </row>
    <row r="56" spans="1:35" ht="24.75">
      <c r="A56" s="3178" t="s">
        <v>2218</v>
      </c>
      <c r="B56" s="3179"/>
      <c r="C56" s="3179"/>
      <c r="D56" s="182">
        <f ca="1">IF(H56="个人住宅",D57,D58)</f>
        <v>2472</v>
      </c>
      <c r="E56" s="11" t="s">
        <v>2219</v>
      </c>
      <c r="F56" s="181" t="str">
        <f>IF(H56="正常",F58,"免征")</f>
        <v>——</v>
      </c>
      <c r="G56" s="2477" t="s">
        <v>2220</v>
      </c>
      <c r="H56" s="2478" t="s">
        <v>2217</v>
      </c>
      <c r="I56" s="2479"/>
      <c r="J56" s="1802" t="str">
        <f>IF(项目基本情况!K6="上海银行",IF(J55="",4,J55+1),"")</f>
        <v/>
      </c>
      <c r="K56" s="3252" t="str">
        <f>IF(项目基本情况!K6="上海银行","其他处置费用","")</f>
        <v/>
      </c>
      <c r="L56" s="3253"/>
      <c r="M56" s="1744" t="str">
        <f>IF(项目基本情况!K6="上海银行",M69,"")</f>
        <v/>
      </c>
      <c r="N56" s="3255" t="str">
        <f>IF(项目基本情况!K6="上海银行","包含处置中涉及的律师、诉讼、拍卖、评估等费用","")</f>
        <v/>
      </c>
      <c r="O56" s="3256"/>
    </row>
    <row r="57" spans="1:35" ht="12.75">
      <c r="A57" s="180" t="s">
        <v>2193</v>
      </c>
      <c r="B57" s="3194" t="s">
        <v>2221</v>
      </c>
      <c r="C57" s="3203"/>
      <c r="D57" s="184">
        <v>0</v>
      </c>
      <c r="E57" s="23" t="s">
        <v>2195</v>
      </c>
      <c r="F57" s="152"/>
      <c r="G57" s="2475"/>
      <c r="H57" s="2479"/>
      <c r="I57" s="2479"/>
      <c r="J57" s="3229">
        <f>IF(AND(J55="",J56=""),4,IF(项目基本情况!K6="上海银行",结果表!J56+1,结果表!J55+1))</f>
        <v>4</v>
      </c>
      <c r="K57" s="3229" t="s">
        <v>2222</v>
      </c>
      <c r="L57" s="2480" t="s">
        <v>2223</v>
      </c>
      <c r="M57" s="1749"/>
      <c r="N57" s="1750">
        <f ca="1">SUMIF(M52:M56,"&lt;9e307")</f>
        <v>22834</v>
      </c>
      <c r="O57" s="2481"/>
      <c r="P57" s="1743">
        <f ca="1">N57/M49</f>
        <v>6.0801976849768472E-2</v>
      </c>
    </row>
    <row r="58" spans="1:35" ht="24.75">
      <c r="A58" s="180" t="s">
        <v>2204</v>
      </c>
      <c r="B58" s="3194" t="s">
        <v>2224</v>
      </c>
      <c r="C58" s="3195"/>
      <c r="D58" s="182">
        <f ca="1">IF(H58="转让取得",C81,C97)</f>
        <v>2472</v>
      </c>
      <c r="E58" s="11" t="s">
        <v>2219</v>
      </c>
      <c r="F58" s="24" t="s">
        <v>34</v>
      </c>
      <c r="G58" s="2475"/>
      <c r="H58" s="2478" t="s">
        <v>3980</v>
      </c>
      <c r="I58" s="2479"/>
      <c r="J58" s="3229"/>
      <c r="K58" s="3229"/>
      <c r="L58" s="2480" t="s">
        <v>2225</v>
      </c>
      <c r="M58" s="1751"/>
      <c r="N58" s="2482" t="str">
        <f ca="1">NUMBERSTRING(INT(N57*10000),2)&amp;"元整"</f>
        <v>贰亿贰仟捌佰叁拾肆万元整</v>
      </c>
      <c r="O58" s="2483"/>
    </row>
    <row r="59" spans="1:35" ht="24.75" thickBot="1">
      <c r="A59" s="3232" t="s">
        <v>2226</v>
      </c>
      <c r="B59" s="3233"/>
      <c r="C59" s="3233"/>
      <c r="D59" s="185" t="str">
        <f>IF(H59="非个人房产","——",IF(H59="个人住宅",0,ROUND(D45*I59,0)))</f>
        <v>——</v>
      </c>
      <c r="E59" s="186" t="str">
        <f>IF(H59="非个人房产","——","销售额×税（费）率")</f>
        <v>——</v>
      </c>
      <c r="F59" s="187" t="str">
        <f>IF(H59="非个人房产","——",IF(H59="个人住宅","免征",I59))</f>
        <v>——</v>
      </c>
      <c r="G59" s="2484" t="s">
        <v>2220</v>
      </c>
      <c r="H59" s="2478" t="s">
        <v>2227</v>
      </c>
      <c r="I59" s="188">
        <v>0.01</v>
      </c>
      <c r="J59" s="3230">
        <f>J57+1</f>
        <v>5</v>
      </c>
      <c r="K59" s="3229" t="s">
        <v>2228</v>
      </c>
      <c r="L59" s="1802" t="s">
        <v>2223</v>
      </c>
      <c r="M59" s="1752"/>
      <c r="N59" s="1753">
        <f ca="1">M49-N57</f>
        <v>352713</v>
      </c>
      <c r="O59" s="2485"/>
    </row>
    <row r="60" spans="1:35" ht="12" customHeight="1">
      <c r="A60" s="2486"/>
      <c r="B60" s="2408"/>
      <c r="C60" s="2408"/>
      <c r="D60" s="2408"/>
      <c r="E60" s="2156"/>
      <c r="F60" s="2479"/>
      <c r="G60" s="2479"/>
      <c r="H60" s="2487"/>
      <c r="I60" s="135"/>
      <c r="J60" s="3231"/>
      <c r="K60" s="3229"/>
      <c r="L60" s="2480" t="s">
        <v>2225</v>
      </c>
      <c r="M60" s="1751"/>
      <c r="N60" s="2482" t="str">
        <f ca="1">NUMBERSTRING(INT(N59*10000),2)&amp;"元整"</f>
        <v>叁拾伍亿贰仟柒佰壹拾叁万元整</v>
      </c>
      <c r="O60" s="2483"/>
    </row>
    <row r="61" spans="1:35" ht="13.5" thickBot="1">
      <c r="A61" s="3176" t="s">
        <v>2229</v>
      </c>
      <c r="B61" s="3176"/>
      <c r="C61" s="3176"/>
      <c r="D61" s="3176"/>
      <c r="E61" s="3176"/>
      <c r="F61" s="2479"/>
      <c r="G61" s="2479"/>
      <c r="H61" s="2487"/>
      <c r="I61" s="135"/>
      <c r="J61" s="1802">
        <f>J59+1</f>
        <v>6</v>
      </c>
      <c r="K61" s="3229" t="s">
        <v>2230</v>
      </c>
      <c r="L61" s="3229"/>
      <c r="M61" s="1754"/>
      <c r="N61" s="1755">
        <f ca="1">ROUND(N59*10000/'数据-汇总表'!E3,0)</f>
        <v>3917</v>
      </c>
      <c r="O61" s="2488"/>
    </row>
    <row r="62" spans="1:35" ht="12.75">
      <c r="A62" s="3192" t="s">
        <v>2231</v>
      </c>
      <c r="B62" s="3193"/>
      <c r="C62" s="1794"/>
      <c r="D62" s="1794" t="s">
        <v>2232</v>
      </c>
      <c r="E62" s="189" t="s">
        <v>2233</v>
      </c>
      <c r="F62" s="2479"/>
      <c r="G62" s="2479"/>
      <c r="H62" s="2487"/>
      <c r="I62" s="135"/>
    </row>
    <row r="63" spans="1:35" ht="12.75">
      <c r="A63" s="200" t="s">
        <v>775</v>
      </c>
      <c r="B63" s="190" t="s">
        <v>2234</v>
      </c>
      <c r="C63" s="191">
        <f ca="1">ROUND((C64+C65)/(1+'数据-取费表'!C42),0)</f>
        <v>360232</v>
      </c>
      <c r="D63" s="192"/>
      <c r="E63" s="193"/>
      <c r="F63" s="2479"/>
      <c r="G63" s="2479"/>
      <c r="H63" s="2487"/>
      <c r="I63" s="135"/>
      <c r="J63" s="3254" t="s">
        <v>2235</v>
      </c>
      <c r="K63" s="2489" t="s">
        <v>2236</v>
      </c>
      <c r="L63" s="1742">
        <f ca="1">IF(M49&gt;10000,M49*0.5%,IF(AND(M49&gt;1000,M49&lt;=10000),M49*1%,IF(AND(M49&gt;100,M49&lt;=1000),M49*3%,IF(AND(M49&gt;10,M49&lt;=100),M49*5%,M49*8%))))</f>
        <v>1877.7350000000001</v>
      </c>
      <c r="M63" s="24">
        <f ca="1">ROUND(L63,1)</f>
        <v>1877.7</v>
      </c>
      <c r="Z63" s="2413"/>
      <c r="AI63" s="2414"/>
    </row>
    <row r="64" spans="1:35" ht="14.25" customHeight="1">
      <c r="A64" s="194" t="s">
        <v>770</v>
      </c>
      <c r="B64" s="195" t="s">
        <v>2237</v>
      </c>
      <c r="C64" s="196">
        <f ca="1">D45</f>
        <v>378244</v>
      </c>
      <c r="D64" s="197" t="s">
        <v>32</v>
      </c>
      <c r="E64" s="198"/>
      <c r="F64" s="2479"/>
      <c r="G64" s="2479"/>
      <c r="H64" s="2487"/>
      <c r="I64" s="135"/>
      <c r="J64" s="3254"/>
      <c r="K64" s="2489" t="s">
        <v>2238</v>
      </c>
      <c r="L64" s="1742">
        <f ca="1">IF(M49&gt;2000,M49*0.5%,IF(AND(M49&gt;1000,M49&lt;=2000),M49*0.6%,IF(AND(M49&gt;500,M49&lt;=1000),M49*0.7%,IF(AND(M49&gt;200,M49&lt;=500),M49*0.8%,IF(AND(M49&gt;100,M49&lt;=200),M49*0.9%,IF(AND(M49&gt;50,M49&lt;=100),M49*1%,IF(AND(M49&gt;20,M49&lt;=50),M49*1.5%,IF(AND(M49&gt;10,M49&lt;=20),M49*2%,IF(AND(M49&gt;1,M49&lt;=10),M49*2.5%)))))))))</f>
        <v>1877.7350000000001</v>
      </c>
      <c r="M64" s="24">
        <f ca="1">ROUND(L64,1)</f>
        <v>1877.7</v>
      </c>
      <c r="N64" s="135" t="s">
        <v>2239</v>
      </c>
      <c r="Z64" s="2413"/>
      <c r="AI64" s="2414"/>
    </row>
    <row r="65" spans="1:35" ht="14.25" customHeight="1">
      <c r="A65" s="194" t="s">
        <v>771</v>
      </c>
      <c r="B65" s="195" t="s">
        <v>2240</v>
      </c>
      <c r="C65" s="199"/>
      <c r="D65" s="197"/>
      <c r="E65" s="198"/>
      <c r="F65" s="2479"/>
      <c r="G65" s="2479"/>
      <c r="H65" s="2487"/>
      <c r="I65" s="135"/>
      <c r="J65" s="3254"/>
      <c r="K65" s="2489" t="s">
        <v>2241</v>
      </c>
      <c r="L65" s="1742">
        <f ca="1">IF(M49&gt;1000,M49*0.1%,IF(AND(M49&gt;500,M49&lt;=1000),M49*0.5%,IF(AND(M49&gt;50,M49&lt;=500),M49*1%,IF(AND(M49&gt;1,M49&lt;=50),M49*1.5%))))</f>
        <v>375.54700000000003</v>
      </c>
      <c r="M65" s="24">
        <f ca="1">ROUND(L65,1)</f>
        <v>375.5</v>
      </c>
      <c r="N65" s="135" t="s">
        <v>2239</v>
      </c>
      <c r="Z65" s="2413"/>
      <c r="AI65" s="2414"/>
    </row>
    <row r="66" spans="1:35" ht="14.25" customHeight="1">
      <c r="A66" s="200" t="s">
        <v>772</v>
      </c>
      <c r="B66" s="201" t="s">
        <v>2242</v>
      </c>
      <c r="C66" s="202"/>
      <c r="D66" s="203" t="s">
        <v>32</v>
      </c>
      <c r="E66" s="1766" t="s">
        <v>1367</v>
      </c>
      <c r="F66" s="2479"/>
      <c r="G66" s="2479"/>
      <c r="H66" s="2487"/>
      <c r="I66" s="135"/>
      <c r="J66" s="3254"/>
      <c r="K66" s="2489" t="s">
        <v>2243</v>
      </c>
      <c r="L66" s="1742">
        <f ca="1">M49*0.5%</f>
        <v>1877.7350000000001</v>
      </c>
      <c r="M66" s="24">
        <f ca="1">IF(L66&gt;0.5,0.5,ROUND(L66,0))</f>
        <v>0.5</v>
      </c>
      <c r="N66" s="135" t="s">
        <v>2244</v>
      </c>
      <c r="Z66" s="2413"/>
      <c r="AI66" s="2414"/>
    </row>
    <row r="67" spans="1:35" ht="14.25" customHeight="1">
      <c r="A67" s="200" t="s">
        <v>773</v>
      </c>
      <c r="B67" s="201" t="s">
        <v>2245</v>
      </c>
      <c r="C67" s="204">
        <f ca="1">C63-C66</f>
        <v>360232</v>
      </c>
      <c r="D67" s="197" t="s">
        <v>32</v>
      </c>
      <c r="E67" s="198"/>
      <c r="F67" s="2479"/>
      <c r="G67" s="2479"/>
      <c r="H67" s="2487"/>
      <c r="I67" s="135"/>
      <c r="J67" s="3254"/>
      <c r="K67" s="2489" t="s">
        <v>2246</v>
      </c>
      <c r="L67" s="1742">
        <f ca="1">IF(M49&gt;=10000,(8.25+(M49-10000)*0.01%),IF(AND(M49&gt;=8000,M49&lt;10000),(7.85+(M49-8000)*0.02%),IF(AND(M49&gt;=5000,M49&lt;8000),(6.65+(M49-5000)*0.04%),IF(AND(M49&gt;=2000,M49&lt;5000),(4.25+(PM49-2000)*0.08%),IF(AND(M49&gt;=1000,M49&lt;2000),(2.75+(M49-1000)*0.15%),IF(AND(M49&gt;=100,M49&lt;1000),(0.5+(M49-100)*0.25%),IF(AND(M49&gt;0,M49&lt;100),M49*0.5%)))))))</f>
        <v>44.804700000000004</v>
      </c>
      <c r="M67" s="24">
        <f ca="1">ROUND(L67*0.9,1)</f>
        <v>40.299999999999997</v>
      </c>
      <c r="Z67" s="2413"/>
      <c r="AI67" s="2414"/>
    </row>
    <row r="68" spans="1:35" ht="14.25" customHeight="1" thickBot="1">
      <c r="A68" s="205" t="s">
        <v>774</v>
      </c>
      <c r="B68" s="206" t="s">
        <v>2247</v>
      </c>
      <c r="C68" s="207">
        <f ca="1">IF(C67&lt;=0,0,ROUND(C67*D68,0))</f>
        <v>20173</v>
      </c>
      <c r="D68" s="208">
        <f>'数据-取费表'!B41</f>
        <v>5.6000000000000001E-2</v>
      </c>
      <c r="E68" s="209"/>
      <c r="F68" s="2479"/>
      <c r="G68" s="2479"/>
      <c r="H68" s="2487"/>
      <c r="I68" s="135"/>
      <c r="J68" s="3254"/>
      <c r="K68" s="2489" t="s">
        <v>2248</v>
      </c>
      <c r="L68" s="1742">
        <f ca="1">IF(M49&gt;10000,M49*0.5%,IF(AND(M49&gt;5000,M49&lt;=10000),M49*1%,IF(AND(M49&gt;1000,M49&lt;=5000),M49*2%,IF(AND(M49&gt;200,M49&lt;=1000),M49*3%,M49*5%))))</f>
        <v>1877.7350000000001</v>
      </c>
      <c r="M68" s="24">
        <f ca="1">ROUND(L68,1)</f>
        <v>1877.7</v>
      </c>
      <c r="Z68" s="2413"/>
      <c r="AI68" s="2414"/>
    </row>
    <row r="69" spans="1:35" s="2436" customFormat="1" ht="16.5" customHeight="1">
      <c r="A69" s="2490"/>
      <c r="B69" s="2491"/>
      <c r="C69" s="2492"/>
      <c r="D69" s="2493"/>
      <c r="E69" s="2494"/>
      <c r="F69" s="2156"/>
      <c r="G69" s="2156"/>
      <c r="H69" s="2155"/>
      <c r="I69" s="2408"/>
      <c r="J69" s="3254"/>
      <c r="K69" s="2489" t="s">
        <v>2249</v>
      </c>
      <c r="L69" s="2495"/>
      <c r="M69" s="24">
        <f ca="1">ROUND(SUM(M63:M68),0)</f>
        <v>6049</v>
      </c>
      <c r="N69" s="1743">
        <f ca="1">M69/M49</f>
        <v>1.6107171672254072E-2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thickBot="1">
      <c r="A70" s="3213" t="s">
        <v>2250</v>
      </c>
      <c r="B70" s="3214"/>
      <c r="C70" s="3214"/>
      <c r="D70" s="3214"/>
      <c r="E70" s="3214"/>
      <c r="F70" s="3214"/>
      <c r="G70" s="3214"/>
      <c r="H70" s="3214"/>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92" t="s">
        <v>2231</v>
      </c>
      <c r="B71" s="3193"/>
      <c r="C71" s="1794"/>
      <c r="D71" s="1794" t="s">
        <v>2232</v>
      </c>
      <c r="E71" s="210" t="s">
        <v>2233</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0" t="s">
        <v>775</v>
      </c>
      <c r="B72" s="201" t="s">
        <v>2251</v>
      </c>
      <c r="C72" s="204">
        <f ca="1">ROUND(D45/(1+'数据-取费表'!C42),0)</f>
        <v>360232</v>
      </c>
      <c r="D72" s="197" t="s">
        <v>32</v>
      </c>
      <c r="E72" s="1793"/>
      <c r="F72" s="1787"/>
      <c r="G72" s="1787"/>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0" t="s">
        <v>772</v>
      </c>
      <c r="B73" s="170" t="s">
        <v>2252</v>
      </c>
      <c r="C73" s="204">
        <f ca="1">C74+C78</f>
        <v>258571</v>
      </c>
      <c r="D73" s="197" t="s">
        <v>32</v>
      </c>
      <c r="E73" s="1793"/>
      <c r="F73" s="1787"/>
      <c r="G73" s="1787"/>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4" t="s">
        <v>770</v>
      </c>
      <c r="B74" s="195" t="s">
        <v>2253</v>
      </c>
      <c r="C74" s="197">
        <f>ROUND(IF(G77="2016年5月1日后购买",C75/(1+'数据-取费表'!C42)+C76+C77,C75+C76+C77),0)</f>
        <v>256410</v>
      </c>
      <c r="D74" s="197" t="s">
        <v>32</v>
      </c>
      <c r="E74" s="1793"/>
      <c r="F74" s="1787"/>
      <c r="G74" s="1787"/>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4" t="s">
        <v>776</v>
      </c>
      <c r="B75" s="195" t="s">
        <v>2254</v>
      </c>
      <c r="C75" s="215">
        <f>269100/(1+'数据-取费表'!B48)</f>
        <v>261262.13592233008</v>
      </c>
      <c r="D75" s="197" t="s">
        <v>32</v>
      </c>
      <c r="E75" s="216" t="s">
        <v>2255</v>
      </c>
      <c r="F75" s="2501" t="s">
        <v>2256</v>
      </c>
      <c r="G75" s="216" t="s">
        <v>2257</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4" t="s">
        <v>777</v>
      </c>
      <c r="B76" s="218" t="s">
        <v>2258</v>
      </c>
      <c r="C76" s="197">
        <f>IF(F75="购房发票",ROUND(C75*H75*D76,0),0)</f>
        <v>0</v>
      </c>
      <c r="D76" s="219">
        <v>0.05</v>
      </c>
      <c r="E76" s="3187" t="s">
        <v>2259</v>
      </c>
      <c r="F76" s="3164"/>
      <c r="G76" s="3164"/>
      <c r="H76" s="3212"/>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4" t="s">
        <v>778</v>
      </c>
      <c r="B77" s="195" t="s">
        <v>2260</v>
      </c>
      <c r="C77" s="197">
        <f>ROUND(IF(G77="个人住宅",0,IF(G77="2016年5月1日前购买",C75*D77,C75*D77/(1+'数据-取费表'!C42))),0)</f>
        <v>7589</v>
      </c>
      <c r="D77" s="220">
        <f>'数据-取费表'!B48+'数据-取费表'!B49</f>
        <v>3.0499999999999999E-2</v>
      </c>
      <c r="E77" s="15" t="s">
        <v>2261</v>
      </c>
      <c r="F77" s="221"/>
      <c r="G77" s="2503" t="s">
        <v>2262</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4" t="s">
        <v>771</v>
      </c>
      <c r="B78" s="195" t="s">
        <v>2263</v>
      </c>
      <c r="C78" s="222">
        <f ca="1">ROUND(D45*D78/(1+'数据-取费表'!C42),0)</f>
        <v>2161</v>
      </c>
      <c r="D78" s="223">
        <f>'数据-取费表'!B43</f>
        <v>6.000000000000001E-3</v>
      </c>
      <c r="E78" s="3173" t="s">
        <v>2264</v>
      </c>
      <c r="F78" s="3174"/>
      <c r="G78" s="3174"/>
      <c r="H78" s="3183"/>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1" t="s">
        <v>2265</v>
      </c>
      <c r="C79" s="204">
        <f ca="1">C72-C73</f>
        <v>101661</v>
      </c>
      <c r="D79" s="197" t="s">
        <v>32</v>
      </c>
      <c r="E79" s="1793"/>
      <c r="F79" s="1787"/>
      <c r="G79" s="1787"/>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1" t="s">
        <v>2266</v>
      </c>
      <c r="C80" s="224">
        <f ca="1">IF(C79&lt;=0,0,C79/C73)</f>
        <v>0.39316474005205532</v>
      </c>
      <c r="D80" s="197"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87"/>
      <c r="G80" s="1787"/>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6" t="s">
        <v>2267</v>
      </c>
      <c r="C81" s="225">
        <f ca="1">ROUND(IF(C79&lt;=0,0,IF(C80&gt;=200%,C79*60%-C73*35%,IF(C80&gt;=100%,C79*50%-C73*15%,IF(C80&gt;=50%,C79*40%-C73*5%,IF(C80&lt;50%,C79*30%,0))))),0)</f>
        <v>30498</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213" t="s">
        <v>2268</v>
      </c>
      <c r="B83" s="3214"/>
      <c r="C83" s="3214"/>
      <c r="D83" s="3214"/>
      <c r="E83" s="3214"/>
      <c r="F83" s="3214"/>
      <c r="G83" s="3214"/>
      <c r="H83" s="3214"/>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92" t="s">
        <v>2231</v>
      </c>
      <c r="B84" s="3193"/>
      <c r="C84" s="1794"/>
      <c r="D84" s="1794" t="s">
        <v>2232</v>
      </c>
      <c r="E84" s="210" t="s">
        <v>2233</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0" t="s">
        <v>775</v>
      </c>
      <c r="B85" s="201" t="s">
        <v>2251</v>
      </c>
      <c r="C85" s="204">
        <f ca="1">ROUND(D45/(1+'数据-取费表'!C42),0)</f>
        <v>360232</v>
      </c>
      <c r="D85" s="197" t="s">
        <v>32</v>
      </c>
      <c r="E85" s="1793"/>
      <c r="F85" s="1787"/>
      <c r="G85" s="1787"/>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0" t="s">
        <v>772</v>
      </c>
      <c r="B86" s="170" t="s">
        <v>2252</v>
      </c>
      <c r="C86" s="204">
        <f ca="1">IF(H88="仅含出让金",C87+C90+C91+C92+C93+C94,C87+C91+C92+C93+C94)</f>
        <v>351991.3711790393</v>
      </c>
      <c r="D86" s="232"/>
      <c r="E86" s="1793"/>
      <c r="F86" s="1787"/>
      <c r="G86" s="1787"/>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4" t="s">
        <v>770</v>
      </c>
      <c r="B87" s="195" t="s">
        <v>2269</v>
      </c>
      <c r="C87" s="222">
        <f>C88+C89</f>
        <v>269100.3711790393</v>
      </c>
      <c r="D87" s="223"/>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4" t="s">
        <v>776</v>
      </c>
      <c r="B88" s="195" t="s">
        <v>2270</v>
      </c>
      <c r="C88" s="233">
        <f>269100/(1+D89)</f>
        <v>261135.3711790393</v>
      </c>
      <c r="D88" s="223"/>
      <c r="E88" s="234" t="s">
        <v>2271</v>
      </c>
      <c r="F88" s="1790"/>
      <c r="G88" s="235"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4" t="s">
        <v>777</v>
      </c>
      <c r="B89" s="195" t="s">
        <v>2260</v>
      </c>
      <c r="C89" s="222">
        <f>ROUND(C88*D89,0)</f>
        <v>7965</v>
      </c>
      <c r="D89" s="223">
        <f>'数据-取费表'!B48+'数据-取费表'!B49</f>
        <v>3.0499999999999999E-2</v>
      </c>
      <c r="E89" s="234" t="s">
        <v>2273</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4" t="s">
        <v>771</v>
      </c>
      <c r="B90" s="195" t="s">
        <v>2274</v>
      </c>
      <c r="C90" s="233"/>
      <c r="D90" s="223"/>
      <c r="E90" s="234"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4" t="s">
        <v>2275</v>
      </c>
      <c r="B91" s="195" t="s">
        <v>2276</v>
      </c>
      <c r="C91" s="222">
        <f>IF(H91="——",成本法!C33,I91)</f>
        <v>0</v>
      </c>
      <c r="D91" s="223"/>
      <c r="E91" s="3173" t="s">
        <v>2277</v>
      </c>
      <c r="F91" s="3174"/>
      <c r="G91" s="3174"/>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4" t="s">
        <v>2279</v>
      </c>
      <c r="B92" s="195" t="s">
        <v>2280</v>
      </c>
      <c r="C92" s="222">
        <f>ROUND((C87+C90+C91)*D92,0)</f>
        <v>26910</v>
      </c>
      <c r="D92" s="223">
        <v>0.1</v>
      </c>
      <c r="E92" s="3173" t="s">
        <v>2281</v>
      </c>
      <c r="F92" s="3174"/>
      <c r="G92" s="3174"/>
      <c r="H92" s="3183"/>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4" t="s">
        <v>2282</v>
      </c>
      <c r="B93" s="195" t="s">
        <v>2263</v>
      </c>
      <c r="C93" s="222">
        <f ca="1">ROUND(D45*D93/(1+'数据-取费表'!C42),0)</f>
        <v>2161</v>
      </c>
      <c r="D93" s="223">
        <f>'数据-取费表'!B43</f>
        <v>6.000000000000001E-3</v>
      </c>
      <c r="E93" s="3173" t="s">
        <v>2264</v>
      </c>
      <c r="F93" s="3174"/>
      <c r="G93" s="3174"/>
      <c r="H93" s="3183"/>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4" t="s">
        <v>2283</v>
      </c>
      <c r="B94" s="195" t="s">
        <v>2284</v>
      </c>
      <c r="C94" s="233">
        <f>ROUND((C87+C90+C91)*D94,0)</f>
        <v>53820</v>
      </c>
      <c r="D94" s="223">
        <v>0.2</v>
      </c>
      <c r="E94" s="3184" t="s">
        <v>2285</v>
      </c>
      <c r="F94" s="3185"/>
      <c r="G94" s="3185"/>
      <c r="H94" s="3186"/>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1" t="s">
        <v>2265</v>
      </c>
      <c r="C95" s="204">
        <f ca="1">ROUND(C85-C86,0)</f>
        <v>8241</v>
      </c>
      <c r="D95" s="197" t="s">
        <v>32</v>
      </c>
      <c r="E95" s="1793"/>
      <c r="F95" s="1787"/>
      <c r="G95" s="1787"/>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1" t="s">
        <v>2266</v>
      </c>
      <c r="C96" s="224">
        <f ca="1">IF(C95&lt;=0,0,C95/C86)</f>
        <v>2.3412505745228174E-2</v>
      </c>
      <c r="D96" s="197"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7"/>
      <c r="G96" s="1787"/>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6" t="s">
        <v>2267</v>
      </c>
      <c r="C97" s="225">
        <f ca="1">ROUND(IF(C95&lt;=0,0,IF(C96&gt;=200%,C95*60%-C86*35%,IF(C96&gt;=100%,C95*50%-C86*15%,IF(C96&gt;=50%,C95*40%-C86*5%,IF(C96&lt;50%,C95*30%,0))))),0)</f>
        <v>2472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5"/>
    </row>
    <row r="99" spans="1:35" ht="21.75" customHeight="1" thickBot="1">
      <c r="A99" s="2464" t="s">
        <v>2286</v>
      </c>
      <c r="B99" s="2408"/>
      <c r="C99" s="2408"/>
      <c r="D99" s="2408"/>
      <c r="E99" s="2156"/>
      <c r="F99" s="2156"/>
      <c r="G99" s="2156"/>
      <c r="H99" s="2155"/>
      <c r="I99" s="135"/>
    </row>
    <row r="100" spans="1:35" ht="18.75" customHeight="1">
      <c r="A100" s="3157" t="s">
        <v>2287</v>
      </c>
      <c r="B100" s="3158"/>
      <c r="C100" s="3158"/>
      <c r="D100" s="3175"/>
      <c r="E100" s="3158" t="s">
        <v>2288</v>
      </c>
      <c r="F100" s="3158"/>
      <c r="G100" s="3158"/>
      <c r="H100" s="3175"/>
      <c r="I100" s="135"/>
    </row>
    <row r="101" spans="1:35" ht="18.75" customHeight="1">
      <c r="A101" s="3237" t="s">
        <v>2289</v>
      </c>
      <c r="B101" s="3238"/>
      <c r="C101" s="732" t="str">
        <f>C4</f>
        <v>土地比较法-住宅、综合</v>
      </c>
      <c r="D101" s="733" t="str">
        <f>D4</f>
        <v>假设开发法</v>
      </c>
      <c r="E101" s="3251" t="s">
        <v>2290</v>
      </c>
      <c r="F101" s="3205"/>
      <c r="G101" s="2510" t="s">
        <v>2291</v>
      </c>
      <c r="H101" s="1039">
        <f ca="1">H118</f>
        <v>378244</v>
      </c>
      <c r="I101" s="135"/>
    </row>
    <row r="102" spans="1:35" ht="18.75" customHeight="1">
      <c r="A102" s="3207" t="s">
        <v>2292</v>
      </c>
      <c r="B102" s="2510" t="s">
        <v>2291</v>
      </c>
      <c r="C102" s="732">
        <f ca="1">C19</f>
        <v>395001</v>
      </c>
      <c r="D102" s="733">
        <f ca="1">D19</f>
        <v>365073</v>
      </c>
      <c r="E102" s="3251"/>
      <c r="F102" s="3205"/>
      <c r="G102" s="2510" t="s">
        <v>2293</v>
      </c>
      <c r="H102" s="368">
        <f ca="1">I118</f>
        <v>4201</v>
      </c>
      <c r="I102" s="135"/>
    </row>
    <row r="103" spans="1:35" ht="42.75" customHeight="1">
      <c r="A103" s="3207"/>
      <c r="B103" s="2510" t="s">
        <v>2293</v>
      </c>
      <c r="C103" s="734">
        <f ca="1">C20</f>
        <v>4387</v>
      </c>
      <c r="D103" s="735">
        <f ca="1">D20</f>
        <v>4055</v>
      </c>
      <c r="E103" s="3246" t="s">
        <v>2294</v>
      </c>
      <c r="F103" s="3247"/>
      <c r="G103" s="2511" t="s">
        <v>2295</v>
      </c>
      <c r="H103" s="1039">
        <f ca="1">IF(D36="正常操作",H104+H105+H106,H105+H106)</f>
        <v>2697</v>
      </c>
      <c r="I103" s="135"/>
    </row>
    <row r="104" spans="1:35" ht="18.75" customHeight="1">
      <c r="A104" s="3207" t="s">
        <v>2296</v>
      </c>
      <c r="B104" s="2512" t="s">
        <v>2291</v>
      </c>
      <c r="C104" s="736">
        <f ca="1">H118</f>
        <v>378244</v>
      </c>
      <c r="D104" s="737"/>
      <c r="E104" s="2257" t="s">
        <v>2297</v>
      </c>
      <c r="F104" s="2248"/>
      <c r="G104" s="2511" t="s">
        <v>2295</v>
      </c>
      <c r="H104" s="1040">
        <f>IF(D36="同一抵押权人同一抵押物续贷",C36&amp;"（未扣减，详见特别提示）",C36)</f>
        <v>0</v>
      </c>
      <c r="I104" s="135"/>
    </row>
    <row r="105" spans="1:35" ht="18.75" customHeight="1" thickBot="1">
      <c r="A105" s="3208"/>
      <c r="B105" s="2513" t="s">
        <v>2293</v>
      </c>
      <c r="C105" s="738">
        <f ca="1">I118</f>
        <v>4201</v>
      </c>
      <c r="D105" s="739"/>
      <c r="E105" s="2257" t="s">
        <v>2298</v>
      </c>
      <c r="F105" s="2248"/>
      <c r="G105" s="2511" t="s">
        <v>2295</v>
      </c>
      <c r="H105" s="1040">
        <f>C37</f>
        <v>0</v>
      </c>
      <c r="I105" s="135"/>
    </row>
    <row r="106" spans="1:35" ht="18.75" customHeight="1">
      <c r="A106" s="2408" t="s">
        <v>2299</v>
      </c>
      <c r="B106" s="2408"/>
      <c r="C106" s="2408"/>
      <c r="D106" s="2408"/>
      <c r="E106" s="2514" t="s">
        <v>2300</v>
      </c>
      <c r="F106" s="2248"/>
      <c r="G106" s="2511" t="s">
        <v>2295</v>
      </c>
      <c r="H106" s="1040">
        <f ca="1">C38</f>
        <v>2697</v>
      </c>
      <c r="I106" s="135"/>
    </row>
    <row r="107" spans="1:35" ht="18.75" customHeight="1">
      <c r="A107" s="135"/>
      <c r="B107" s="135"/>
      <c r="C107" s="135"/>
      <c r="D107" s="135"/>
      <c r="E107" s="3204" t="str">
        <f>IF(项目基本情况!E8="已注销","——","3.房地产抵押价值")</f>
        <v>3.房地产抵押价值</v>
      </c>
      <c r="F107" s="3205"/>
      <c r="G107" s="2510" t="s">
        <v>2291</v>
      </c>
      <c r="H107" s="1039">
        <f ca="1">IF(E107="——","——",H101-H103)</f>
        <v>375547</v>
      </c>
      <c r="I107" s="135"/>
    </row>
    <row r="108" spans="1:35" ht="18.75" customHeight="1">
      <c r="A108" s="135"/>
      <c r="B108" s="135"/>
      <c r="C108" s="135"/>
      <c r="D108" s="135"/>
      <c r="E108" s="3204"/>
      <c r="F108" s="3205"/>
      <c r="G108" s="2510" t="s">
        <v>2293</v>
      </c>
      <c r="H108" s="368">
        <f ca="1">ROUND(H107*10000/'数据-汇总表'!E3,0)</f>
        <v>4171</v>
      </c>
      <c r="I108" s="135"/>
    </row>
    <row r="109" spans="1:35" ht="18.75" customHeight="1">
      <c r="A109" s="135"/>
      <c r="B109" s="135"/>
      <c r="C109" s="135"/>
      <c r="D109" s="135"/>
      <c r="E109" s="3204" t="str">
        <f>IF(项目基本情况!E8="已注销及未注销","4.抵押担保权已注销时的房地产抵押价值",IF(项目基本情况!E8="已注销","3.抵押担保权已注销时的房地产抵押价值","——"))</f>
        <v>——</v>
      </c>
      <c r="F109" s="3205"/>
      <c r="G109" s="2510" t="s">
        <v>2291</v>
      </c>
      <c r="H109" s="345" t="str">
        <f>IF(E109="——","——",H101-H105-H106)</f>
        <v>——</v>
      </c>
      <c r="I109" s="135"/>
    </row>
    <row r="110" spans="1:35" ht="18.75" customHeight="1">
      <c r="A110" s="135"/>
      <c r="B110" s="135"/>
      <c r="C110" s="135"/>
      <c r="D110" s="135"/>
      <c r="E110" s="3204"/>
      <c r="F110" s="3205"/>
      <c r="G110" s="2510" t="s">
        <v>2293</v>
      </c>
      <c r="H110" s="368" t="str">
        <f>IF(H109="——","——",ROUND(H109*10000/'数据-汇总表'!E3,0))</f>
        <v>——</v>
      </c>
      <c r="I110" s="135"/>
    </row>
    <row r="111" spans="1:35" ht="18.75" customHeight="1">
      <c r="A111" s="135"/>
      <c r="B111" s="135"/>
      <c r="C111" s="135"/>
      <c r="D111" s="135"/>
      <c r="E111" s="3239" t="str">
        <f>IF(项目基本情况!E9="抵押净值",IF(OR(项目基本情况!E8="已注销",项目基本情况!E8="房地产抵押价值"),"4.抵押净值","5.抵押净值"),"——")</f>
        <v>4.抵押净值</v>
      </c>
      <c r="F111" s="3240"/>
      <c r="G111" s="2510" t="s">
        <v>2291</v>
      </c>
      <c r="H111" s="1039">
        <f ca="1">IF(E111="——","——",N59)</f>
        <v>352713</v>
      </c>
      <c r="I111" s="135"/>
    </row>
    <row r="112" spans="1:35" ht="18.75" customHeight="1" thickBot="1">
      <c r="A112" s="135"/>
      <c r="B112" s="135"/>
      <c r="C112" s="135"/>
      <c r="D112" s="135"/>
      <c r="E112" s="3241"/>
      <c r="F112" s="3242"/>
      <c r="G112" s="2515" t="s">
        <v>2293</v>
      </c>
      <c r="H112" s="786">
        <f ca="1">IF(E111="——","——",N61)</f>
        <v>3917</v>
      </c>
      <c r="I112" s="135"/>
    </row>
    <row r="113" spans="1:11" ht="18.75" customHeight="1">
      <c r="A113" s="135"/>
      <c r="B113" s="135"/>
      <c r="C113" s="135"/>
      <c r="D113" s="135"/>
      <c r="E113" s="3209" t="s">
        <v>2299</v>
      </c>
      <c r="F113" s="3209"/>
      <c r="G113" s="3209"/>
      <c r="H113" s="3209"/>
      <c r="I113" s="135"/>
    </row>
    <row r="114" spans="1:11" ht="3.75" customHeight="1">
      <c r="A114" s="2408"/>
      <c r="B114" s="2408"/>
      <c r="C114" s="2408"/>
      <c r="D114" s="2408"/>
      <c r="E114" s="2486"/>
      <c r="F114" s="2486"/>
      <c r="G114" s="2486"/>
      <c r="H114" s="2486"/>
      <c r="I114" s="2408"/>
    </row>
    <row r="115" spans="1:11" ht="18.75" customHeight="1">
      <c r="A115" s="3222" t="s">
        <v>2301</v>
      </c>
      <c r="B115" s="3223"/>
      <c r="C115" s="3223"/>
      <c r="D115" s="3223"/>
      <c r="E115" s="3223"/>
      <c r="F115" s="3223"/>
      <c r="G115" s="3223"/>
      <c r="H115" s="3223"/>
      <c r="I115" s="3224"/>
    </row>
    <row r="116" spans="1:11" ht="27" customHeight="1">
      <c r="A116" s="3087" t="s">
        <v>2302</v>
      </c>
      <c r="B116" s="3210" t="s">
        <v>3673</v>
      </c>
      <c r="C116" s="3210" t="s">
        <v>3674</v>
      </c>
      <c r="D116" s="3226" t="s">
        <v>2303</v>
      </c>
      <c r="E116" s="3227"/>
      <c r="F116" s="3218" t="s">
        <v>2304</v>
      </c>
      <c r="G116" s="3218"/>
      <c r="H116" s="3087" t="s">
        <v>2305</v>
      </c>
      <c r="I116" s="3087"/>
    </row>
    <row r="117" spans="1:11" ht="18.75" customHeight="1">
      <c r="A117" s="3087"/>
      <c r="B117" s="3211"/>
      <c r="C117" s="3211"/>
      <c r="D117" s="1788" t="s">
        <v>2306</v>
      </c>
      <c r="E117" s="1788" t="s">
        <v>2307</v>
      </c>
      <c r="F117" s="1788" t="s">
        <v>2306</v>
      </c>
      <c r="G117" s="1788" t="s">
        <v>2308</v>
      </c>
      <c r="H117" s="1788" t="s">
        <v>2306</v>
      </c>
      <c r="I117" s="1788" t="s">
        <v>2308</v>
      </c>
    </row>
    <row r="118" spans="1:11" ht="24.75" customHeight="1">
      <c r="A118" s="2516" t="str">
        <f>项目基本情况!S2</f>
        <v>浙江省杭州市萧山区浦阳镇桃北新村“融创森与海”居住项目A、C、D地块出让国有建设用地使用权</v>
      </c>
      <c r="B118" s="1788">
        <f>M18</f>
        <v>900384.25897299999</v>
      </c>
      <c r="C118" s="1788">
        <f>M19</f>
        <v>358537</v>
      </c>
      <c r="D118" s="1788">
        <f ca="1">ROUND(IF(D32="总价",C34,E118*B118/10000),0)</f>
        <v>378244</v>
      </c>
      <c r="E118" s="1788">
        <f ca="1">ROUND(IF(C33="自定义",IF(D32="楼面单价",C34,D118*10000/B118),I118-G118),0)</f>
        <v>4201</v>
      </c>
      <c r="F118" s="1788">
        <f ca="1">ROUND(IF(D32="总价",C35,G118*B118/10000),0)</f>
        <v>0</v>
      </c>
      <c r="G118" s="1788">
        <f ca="1">ROUND(IF(D32="楼面单价",C35,F118*10000/B118),0)</f>
        <v>0</v>
      </c>
      <c r="H118" s="1788">
        <f ca="1">ROUND(IF(D32="总价",C32,I118*B118/10000),0)</f>
        <v>378244</v>
      </c>
      <c r="I118" s="1788">
        <f ca="1">ROUND(IF(D32="楼面单价",C32,H118*10000/B118),0)</f>
        <v>4201</v>
      </c>
    </row>
    <row r="119" spans="1:11" ht="18.75" customHeight="1">
      <c r="A119" s="3087" t="s">
        <v>2309</v>
      </c>
      <c r="B119" s="3087"/>
      <c r="C119" s="3087"/>
      <c r="D119" s="3215" t="str">
        <f ca="1">NUMBERSTRING(INT(D118*10000),2)&amp;"元整"</f>
        <v>叁拾柒亿捌仟贰佰肆拾肆万元整</v>
      </c>
      <c r="E119" s="3217"/>
      <c r="F119" s="3215" t="str">
        <f ca="1">NUMBERSTRING(INT(F118*10000),2)&amp;"元整"</f>
        <v>零元整</v>
      </c>
      <c r="G119" s="3217"/>
      <c r="H119" s="3215" t="str">
        <f ca="1">NUMBERSTRING(INT(H118*10000),2)&amp;"元整"</f>
        <v>叁拾柒亿捌仟贰佰肆拾肆万元整</v>
      </c>
      <c r="I119" s="3217"/>
    </row>
    <row r="120" spans="1:11" ht="18.75" customHeight="1">
      <c r="A120" s="3243" t="str">
        <f>IF(项目基本情况!B9="房地产市场价值","",MID(E103,3,LEN(E103)-2))</f>
        <v>估价师知悉的法定优先受偿款</v>
      </c>
      <c r="B120" s="3244"/>
      <c r="C120" s="3245"/>
      <c r="D120" s="3243">
        <f ca="1">H103</f>
        <v>2697</v>
      </c>
      <c r="E120" s="3244"/>
      <c r="F120" s="3244"/>
      <c r="G120" s="3244"/>
      <c r="H120" s="3244"/>
      <c r="I120" s="3245"/>
      <c r="K120" s="2413" t="str">
        <f ca="1">IF(D120=0,"故，本次评估不存在"&amp;A120,"故，本次评估"&amp;A120&amp;"为人民币"&amp;D120&amp;"万元整。")</f>
        <v>故，本次评估估价师知悉的法定优先受偿款为人民币2697万元整。</v>
      </c>
    </row>
    <row r="121" spans="1:11" ht="18.75" customHeight="1">
      <c r="A121" s="3219" t="s">
        <v>2309</v>
      </c>
      <c r="B121" s="3220"/>
      <c r="C121" s="3221"/>
      <c r="D121" s="3215" t="str">
        <f ca="1">IF(D120=0,"零元整",NUMBERSTRING(INT(D120*10000),2)&amp;"元整")</f>
        <v>贰仟陆佰玖拾柒万元整</v>
      </c>
      <c r="E121" s="3216"/>
      <c r="F121" s="3216"/>
      <c r="G121" s="3216"/>
      <c r="H121" s="3216"/>
      <c r="I121" s="3217"/>
    </row>
    <row r="122" spans="1:11" ht="18.75" customHeight="1">
      <c r="A122" s="3206" t="str">
        <f>IF(项目基本情况!B9="房地产市场价值","",MID(E107,3,LEN(E107)-2))</f>
        <v>房地产抵押价值</v>
      </c>
      <c r="B122" s="3206"/>
      <c r="C122" s="3206"/>
      <c r="D122" s="3243">
        <f ca="1">H107</f>
        <v>375547</v>
      </c>
      <c r="E122" s="3244"/>
      <c r="F122" s="3244"/>
      <c r="G122" s="3244"/>
      <c r="H122" s="3244"/>
      <c r="I122" s="3245"/>
    </row>
    <row r="123" spans="1:11" ht="18.75" customHeight="1">
      <c r="A123" s="3087" t="s">
        <v>2309</v>
      </c>
      <c r="B123" s="3087"/>
      <c r="C123" s="3087"/>
      <c r="D123" s="3215" t="str">
        <f ca="1">NUMBERSTRING(INT(D122*10000),2)&amp;"元整"</f>
        <v>叁拾柒亿伍仟伍佰肆拾柒万元整</v>
      </c>
      <c r="E123" s="3216"/>
      <c r="F123" s="3216"/>
      <c r="G123" s="3216"/>
      <c r="H123" s="3216"/>
      <c r="I123" s="3217"/>
    </row>
    <row r="124" spans="1:11" ht="18.75" customHeight="1">
      <c r="A124" s="3206" t="str">
        <f>IF(项目基本情况!B9="房地产市场价值","",MID(E109,3,LEN(E109)-2))</f>
        <v/>
      </c>
      <c r="B124" s="3206"/>
      <c r="C124" s="3206"/>
      <c r="D124" s="3243" t="str">
        <f>H109</f>
        <v>——</v>
      </c>
      <c r="E124" s="3244"/>
      <c r="F124" s="3244"/>
      <c r="G124" s="3244"/>
      <c r="H124" s="3244"/>
      <c r="I124" s="3245"/>
    </row>
    <row r="125" spans="1:11" ht="18.75" customHeight="1">
      <c r="A125" s="3087" t="s">
        <v>2309</v>
      </c>
      <c r="B125" s="3087"/>
      <c r="C125" s="3087"/>
      <c r="D125" s="3215" t="e">
        <f>NUMBERSTRING(INT(D124*10000),2)&amp;"元整"</f>
        <v>#VALUE!</v>
      </c>
      <c r="E125" s="3216"/>
      <c r="F125" s="3216"/>
      <c r="G125" s="3216"/>
      <c r="H125" s="3216"/>
      <c r="I125" s="3217"/>
    </row>
    <row r="126" spans="1:11" ht="18.75" customHeight="1">
      <c r="A126" s="3206" t="str">
        <f>IF(项目基本情况!B9="房地产市场价值","",MID(E111,3,LEN(E111)-2))</f>
        <v>抵押净值</v>
      </c>
      <c r="B126" s="3206"/>
      <c r="C126" s="3206"/>
      <c r="D126" s="3243">
        <f ca="1">H111</f>
        <v>352713</v>
      </c>
      <c r="E126" s="3244"/>
      <c r="F126" s="3244"/>
      <c r="G126" s="3244"/>
      <c r="H126" s="3244"/>
      <c r="I126" s="3245"/>
    </row>
    <row r="127" spans="1:11" ht="18.75" customHeight="1">
      <c r="A127" s="3087" t="s">
        <v>2309</v>
      </c>
      <c r="B127" s="3087"/>
      <c r="C127" s="3087"/>
      <c r="D127" s="3215" t="str">
        <f ca="1">NUMBERSTRING(INT(D126*10000),2)&amp;"元整"</f>
        <v>叁拾伍亿贰仟柒佰壹拾叁万元整</v>
      </c>
      <c r="E127" s="3216"/>
      <c r="F127" s="3216"/>
      <c r="G127" s="3216"/>
      <c r="H127" s="3216"/>
      <c r="I127" s="3217"/>
    </row>
    <row r="128" spans="1:11" ht="21.75" customHeight="1">
      <c r="A128" s="3225" t="s">
        <v>2310</v>
      </c>
      <c r="B128" s="3225"/>
      <c r="C128" s="3225"/>
      <c r="D128" s="3225"/>
      <c r="E128" s="3225"/>
      <c r="F128" s="3225"/>
      <c r="G128" s="3225"/>
      <c r="H128" s="3225"/>
      <c r="I128" s="3225"/>
    </row>
    <row r="129" spans="1:35" ht="21.75" customHeight="1">
      <c r="A129" s="2517" t="s">
        <v>2311</v>
      </c>
      <c r="B129" s="2518"/>
      <c r="C129" s="2519" t="s">
        <v>2312</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2313</v>
      </c>
      <c r="G135" s="2534"/>
      <c r="H135" s="2534"/>
      <c r="I135" s="2535" t="s">
        <v>2314</v>
      </c>
    </row>
    <row r="136" spans="1:35" ht="21.75" customHeight="1">
      <c r="A136" s="791"/>
      <c r="B136" s="2536" t="s">
        <v>2315</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2316</v>
      </c>
    </row>
    <row r="139" spans="1:35" ht="21.75" customHeight="1">
      <c r="A139" s="791"/>
      <c r="B139" s="2536" t="s">
        <v>2317</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2316</v>
      </c>
    </row>
    <row r="142" spans="1:35" ht="21.75" customHeight="1">
      <c r="A142" s="791"/>
      <c r="B142" s="2536"/>
      <c r="C142" s="2537"/>
      <c r="D142" s="2538"/>
      <c r="E142" s="2538"/>
      <c r="F142" s="2331"/>
      <c r="G142" s="791"/>
      <c r="H142" s="791"/>
      <c r="I142" s="791"/>
    </row>
    <row r="143" spans="1:35" s="136" customFormat="1" ht="21.75" customHeight="1">
      <c r="A143" s="791"/>
      <c r="B143" s="2536"/>
      <c r="C143" s="2537"/>
      <c r="D143" s="2538"/>
      <c r="E143" s="2538"/>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2" sqref="G22"/>
    </sheetView>
  </sheetViews>
  <sheetFormatPr defaultColWidth="8.375" defaultRowHeight="12.75"/>
  <cols>
    <col min="1" max="1" width="10.375" style="310" customWidth="1"/>
    <col min="2" max="2" width="29.125" style="292" customWidth="1"/>
    <col min="3" max="3" width="12.125" style="292" customWidth="1"/>
    <col min="4" max="5" width="11.125" style="313" customWidth="1"/>
    <col min="6" max="6" width="9.5" style="292" customWidth="1"/>
    <col min="7" max="7" width="31.875" style="292" customWidth="1"/>
    <col min="8" max="254" width="9" style="292" customWidth="1"/>
    <col min="255" max="16384" width="8.375" style="292"/>
  </cols>
  <sheetData>
    <row r="1" spans="1:9" s="241" customFormat="1" ht="20.25">
      <c r="A1" s="237" t="s">
        <v>2318</v>
      </c>
      <c r="B1" s="1929"/>
      <c r="C1" s="239"/>
      <c r="D1" s="239"/>
      <c r="E1" s="239"/>
      <c r="F1" s="239"/>
      <c r="G1" s="1373">
        <f>MATCH(B1,'数据-取费表'!A6:A16,0)+5</f>
        <v>11</v>
      </c>
    </row>
    <row r="2" spans="1:9" s="241" customFormat="1" ht="18" customHeight="1">
      <c r="A2" s="242" t="s">
        <v>2319</v>
      </c>
      <c r="B2" s="243">
        <f ca="1">IF(D2="——",C52,C52-E2)</f>
        <v>448031</v>
      </c>
      <c r="C2" s="240" t="s">
        <v>2320</v>
      </c>
      <c r="D2" s="2539" t="s">
        <v>70</v>
      </c>
      <c r="E2" s="1434" t="e">
        <f ca="1">SUMIF(INDIRECT("'"&amp;G2&amp;"'"&amp;"!A:A"),"承租人权益价值",INDIRECT("'"&amp;G2&amp;"'"&amp;"!c:c"))</f>
        <v>#REF!</v>
      </c>
      <c r="F2" s="2540" t="s">
        <v>2320</v>
      </c>
      <c r="G2" s="2541"/>
    </row>
    <row r="3" spans="1:9" s="241" customFormat="1" ht="18" customHeight="1" thickBot="1">
      <c r="A3" s="244" t="s">
        <v>2321</v>
      </c>
      <c r="B3" s="245">
        <f ca="1">ROUND(B2*10000/(IF(B1="",'数据-汇总表'!E3,INDIRECT("'数据-取费表'!k"&amp;$G$1))),0)</f>
        <v>4976</v>
      </c>
      <c r="C3" s="240" t="s">
        <v>2322</v>
      </c>
      <c r="D3" s="240"/>
      <c r="E3" s="240"/>
      <c r="F3" s="240"/>
      <c r="G3" s="240"/>
    </row>
    <row r="4" spans="1:9" s="249" customFormat="1" ht="15.75">
      <c r="A4" s="246" t="s">
        <v>2323</v>
      </c>
      <c r="B4" s="247"/>
      <c r="C4" s="247"/>
      <c r="D4" s="247"/>
      <c r="E4" s="247"/>
      <c r="F4" s="247"/>
      <c r="G4" s="248"/>
    </row>
    <row r="5" spans="1:9" s="255" customFormat="1" ht="13.5" customHeight="1">
      <c r="A5" s="296" t="s">
        <v>2324</v>
      </c>
      <c r="B5" s="251" t="s">
        <v>2325</v>
      </c>
      <c r="C5" s="252">
        <f>C6+C7+C8</f>
        <v>407049</v>
      </c>
      <c r="D5" s="252" t="s">
        <v>2326</v>
      </c>
      <c r="E5" s="253" t="s">
        <v>2327</v>
      </c>
      <c r="F5" s="253" t="s">
        <v>2328</v>
      </c>
      <c r="G5" s="254"/>
    </row>
    <row r="6" spans="1:9" s="255" customFormat="1" ht="13.5" customHeight="1">
      <c r="A6" s="944" t="s">
        <v>2329</v>
      </c>
      <c r="B6" s="256" t="s">
        <v>2330</v>
      </c>
      <c r="C6" s="257">
        <f>'土地比较法-住宅、综合'!B2</f>
        <v>395001</v>
      </c>
      <c r="D6" s="258"/>
      <c r="E6" s="259"/>
      <c r="F6" s="259"/>
      <c r="G6" s="260"/>
    </row>
    <row r="7" spans="1:9" s="255" customFormat="1" ht="13.5" customHeight="1">
      <c r="A7" s="944" t="s">
        <v>2331</v>
      </c>
      <c r="B7" s="256" t="s">
        <v>2332</v>
      </c>
      <c r="C7" s="261">
        <f>ROUND(C6*F7,0)</f>
        <v>12048</v>
      </c>
      <c r="D7" s="261"/>
      <c r="E7" s="259"/>
      <c r="F7" s="262">
        <f>IF(项目基本情况!B8="出让",0,'数据-取费表'!B48+'数据-取费表'!B49)</f>
        <v>3.0499999999999999E-2</v>
      </c>
      <c r="G7" s="260"/>
    </row>
    <row r="8" spans="1:9" s="264" customFormat="1">
      <c r="A8" s="944" t="s">
        <v>2333</v>
      </c>
      <c r="B8" s="256" t="s">
        <v>2334</v>
      </c>
      <c r="C8" s="261">
        <f>IF(G8="已包含在土地购买价格中","0",IF(B1="",'数据-取费表'!B29,IF(G9="全部缴纳",C9+C10,H9)))</f>
        <v>0</v>
      </c>
      <c r="D8" s="263"/>
      <c r="E8" s="261"/>
      <c r="F8" s="262"/>
      <c r="G8" s="2542" t="s">
        <v>3656</v>
      </c>
    </row>
    <row r="9" spans="1:9" s="255" customFormat="1" ht="13.5" customHeight="1">
      <c r="A9" s="945" t="s">
        <v>800</v>
      </c>
      <c r="B9" s="265" t="s">
        <v>2335</v>
      </c>
      <c r="C9" s="266">
        <f ca="1">ROUND(D9*E9/10000,0)</f>
        <v>5507</v>
      </c>
      <c r="D9" s="1026">
        <f ca="1">IF(B1="",'数据-汇总表'!E5,IF(INDIRECT("'数据-取费表'!c"&amp;$G$1)="住宅",INDIRECT("'数据-取费表'!k"&amp;$G$1),0))</f>
        <v>611930.4</v>
      </c>
      <c r="E9" s="266">
        <f>'数据-取费表'!B27</f>
        <v>90</v>
      </c>
      <c r="F9" s="262"/>
      <c r="G9" s="2543"/>
      <c r="H9" s="1384"/>
      <c r="I9" s="2544" t="s">
        <v>2336</v>
      </c>
    </row>
    <row r="10" spans="1:9" s="255" customFormat="1" ht="13.5" customHeight="1">
      <c r="A10" s="945" t="s">
        <v>801</v>
      </c>
      <c r="B10" s="265" t="s">
        <v>2337</v>
      </c>
      <c r="C10" s="266">
        <f ca="1">ROUND(D10*E10/10000,0)</f>
        <v>4038</v>
      </c>
      <c r="D10" s="1026">
        <f ca="1">IF(B1="",'数据-汇总表'!E6,IF(INDIRECT("'数据-取费表'!c"&amp;$G$1)="住宅",INDIRECT("'数据-取费表'!s"&amp;$G$1),INDIRECT("'数据-取费表'!k"&amp;$G$1)+INDIRECT("'数据-取费表'!s"&amp;$G$1)))</f>
        <v>288453.85897299997</v>
      </c>
      <c r="E10" s="266">
        <f>'数据-取费表'!B28</f>
        <v>140</v>
      </c>
      <c r="F10" s="262"/>
      <c r="G10" s="267"/>
    </row>
    <row r="11" spans="1:9" s="255" customFormat="1" ht="13.5" hidden="1" customHeight="1">
      <c r="A11" s="268" t="s">
        <v>7</v>
      </c>
      <c r="B11" s="256" t="s">
        <v>2338</v>
      </c>
      <c r="C11" s="252"/>
      <c r="D11" s="1028"/>
      <c r="E11" s="259"/>
      <c r="F11" s="259"/>
      <c r="G11" s="260"/>
    </row>
    <row r="12" spans="1:9" s="255" customFormat="1" ht="13.5" hidden="1" customHeight="1">
      <c r="A12" s="268" t="s">
        <v>8</v>
      </c>
      <c r="B12" s="256" t="s">
        <v>2339</v>
      </c>
      <c r="C12" s="252">
        <v>0</v>
      </c>
      <c r="D12" s="1028"/>
      <c r="E12" s="269"/>
      <c r="F12" s="262">
        <v>3.0499999999999999E-2</v>
      </c>
      <c r="G12" s="260"/>
    </row>
    <row r="13" spans="1:9" s="255" customFormat="1" ht="13.5" hidden="1" customHeight="1">
      <c r="A13" s="268" t="s">
        <v>9</v>
      </c>
      <c r="B13" s="256" t="s">
        <v>2340</v>
      </c>
      <c r="C13" s="252"/>
      <c r="D13" s="1028"/>
      <c r="E13" s="259"/>
      <c r="F13" s="259"/>
      <c r="G13" s="260"/>
    </row>
    <row r="14" spans="1:9" s="255" customFormat="1" ht="13.5" hidden="1" customHeight="1">
      <c r="A14" s="268" t="s">
        <v>10</v>
      </c>
      <c r="B14" s="256" t="s">
        <v>2341</v>
      </c>
      <c r="C14" s="252"/>
      <c r="D14" s="1028"/>
      <c r="E14" s="259"/>
      <c r="F14" s="259"/>
      <c r="G14" s="260" t="s">
        <v>2342</v>
      </c>
    </row>
    <row r="15" spans="1:9" s="255" customFormat="1" ht="13.5" hidden="1" customHeight="1">
      <c r="A15" s="268" t="s">
        <v>11</v>
      </c>
      <c r="B15" s="256" t="s">
        <v>2343</v>
      </c>
      <c r="C15" s="261"/>
      <c r="D15" s="1028"/>
      <c r="E15" s="259"/>
      <c r="F15" s="259"/>
      <c r="G15" s="260" t="s">
        <v>2344</v>
      </c>
    </row>
    <row r="16" spans="1:9" s="255" customFormat="1" ht="13.5" hidden="1" customHeight="1">
      <c r="A16" s="268" t="s">
        <v>12</v>
      </c>
      <c r="B16" s="256" t="s">
        <v>2341</v>
      </c>
      <c r="C16" s="261"/>
      <c r="D16" s="1028"/>
      <c r="E16" s="259"/>
      <c r="F16" s="259"/>
      <c r="G16" s="260"/>
    </row>
    <row r="17" spans="1:7" s="255" customFormat="1" ht="13.5" hidden="1" customHeight="1">
      <c r="A17" s="268" t="s">
        <v>13</v>
      </c>
      <c r="B17" s="256" t="s">
        <v>2345</v>
      </c>
      <c r="C17" s="270"/>
      <c r="D17" s="1029"/>
      <c r="E17" s="270"/>
      <c r="F17" s="270"/>
      <c r="G17" s="260" t="s">
        <v>2344</v>
      </c>
    </row>
    <row r="18" spans="1:7" s="255" customFormat="1" ht="13.5" hidden="1" customHeight="1">
      <c r="A18" s="268" t="s">
        <v>14</v>
      </c>
      <c r="B18" s="256" t="s">
        <v>2346</v>
      </c>
      <c r="C18" s="261">
        <v>0</v>
      </c>
      <c r="D18" s="1028"/>
      <c r="E18" s="259"/>
      <c r="F18" s="262">
        <v>3.0499999999999999E-2</v>
      </c>
      <c r="G18" s="260" t="s">
        <v>2347</v>
      </c>
    </row>
    <row r="19" spans="1:7" s="264" customFormat="1" ht="13.5" customHeight="1">
      <c r="A19" s="296" t="s">
        <v>2348</v>
      </c>
      <c r="B19" s="251" t="s">
        <v>2349</v>
      </c>
      <c r="C19" s="252" t="str">
        <f>IF(G19="已包含在土地取得成本中","0",ROUND(D19*E19/10000,0))</f>
        <v>0</v>
      </c>
      <c r="D19" s="1030">
        <f ca="1">D9+D10</f>
        <v>900384.25897299999</v>
      </c>
      <c r="E19" s="252">
        <f>'数据-取费表'!B31</f>
        <v>150</v>
      </c>
      <c r="F19" s="272"/>
      <c r="G19" s="2542" t="s">
        <v>3657</v>
      </c>
    </row>
    <row r="20" spans="1:7" s="255" customFormat="1" ht="13.5" customHeight="1">
      <c r="A20" s="296" t="s">
        <v>2350</v>
      </c>
      <c r="B20" s="251" t="s">
        <v>2351</v>
      </c>
      <c r="C20" s="273">
        <f>ROUND((C5+C19)*F20,0)</f>
        <v>8141</v>
      </c>
      <c r="D20" s="273"/>
      <c r="E20" s="273"/>
      <c r="F20" s="274">
        <f>'数据-取费表'!B37</f>
        <v>0.02</v>
      </c>
      <c r="G20" s="275" t="s">
        <v>2352</v>
      </c>
    </row>
    <row r="21" spans="1:7" s="255" customFormat="1" ht="13.5" customHeight="1">
      <c r="A21" s="296" t="s">
        <v>2353</v>
      </c>
      <c r="B21" s="251" t="s">
        <v>2354</v>
      </c>
      <c r="C21" s="276">
        <f>F21</f>
        <v>0.02</v>
      </c>
      <c r="D21" s="277" t="s">
        <v>2355</v>
      </c>
      <c r="E21" s="273"/>
      <c r="F21" s="274">
        <f>'数据-取费表'!B38</f>
        <v>0.02</v>
      </c>
      <c r="G21" s="275" t="s">
        <v>2356</v>
      </c>
    </row>
    <row r="22" spans="1:7" s="255" customFormat="1" ht="13.5" customHeight="1">
      <c r="A22" s="296" t="s">
        <v>2357</v>
      </c>
      <c r="B22" s="251" t="s">
        <v>2358</v>
      </c>
      <c r="C22" s="1348">
        <f ca="1">ROUND(SUM(C23:C25),0)</f>
        <v>0</v>
      </c>
      <c r="D22" s="276">
        <f ca="1">C26</f>
        <v>0</v>
      </c>
      <c r="E22" s="277" t="s">
        <v>2355</v>
      </c>
      <c r="F22" s="278">
        <f ca="1">'数据-取费表'!B40</f>
        <v>4.7500000000000001E-2</v>
      </c>
      <c r="G22" s="275" t="str">
        <f>IF('数据-取费表'!B22&lt;=1,"单利计息","复利计息")</f>
        <v>复利计息</v>
      </c>
    </row>
    <row r="23" spans="1:7" s="255" customFormat="1" ht="13.5" customHeight="1">
      <c r="A23" s="946" t="s">
        <v>2359</v>
      </c>
      <c r="B23" s="256" t="s">
        <v>2360</v>
      </c>
      <c r="C23" s="1349">
        <f ca="1">ROUND(IF('数据-取费表'!B22&lt;=1,C5*F22*'数据-取费表'!B23,C5*(POWER((1+F22),'数据-取费表'!B23)-1)),0)</f>
        <v>0</v>
      </c>
      <c r="D23" s="279"/>
      <c r="E23" s="279"/>
      <c r="F23" s="280"/>
      <c r="G23" s="281" t="s">
        <v>2361</v>
      </c>
    </row>
    <row r="24" spans="1:7" s="255" customFormat="1" ht="13.5" customHeight="1">
      <c r="A24" s="946" t="s">
        <v>2362</v>
      </c>
      <c r="B24" s="256" t="s">
        <v>2363</v>
      </c>
      <c r="C24" s="1349">
        <f ca="1">ROUND(IF('数据-取费表'!B22&lt;=1,C19*F22*('数据-取费表'!B19/2+'数据-取费表'!B21),C19*(POWER((1+F22),('数据-取费表'!B19/2+'数据-取费表'!B21))-1)),0)</f>
        <v>0</v>
      </c>
      <c r="D24" s="279"/>
      <c r="E24" s="279"/>
      <c r="F24" s="280"/>
      <c r="G24" s="281" t="s">
        <v>2364</v>
      </c>
    </row>
    <row r="25" spans="1:7" s="255" customFormat="1" ht="24">
      <c r="A25" s="946" t="s">
        <v>2365</v>
      </c>
      <c r="B25" s="256" t="s">
        <v>2366</v>
      </c>
      <c r="C25" s="1349">
        <f ca="1">ROUND(IF('数据-取费表'!B22&lt;=1,C20*F22*'数据-取费表'!B23/2,C20*(POWER((1+F22),'数据-取费表'!B23/2)-1)),0)</f>
        <v>0</v>
      </c>
      <c r="D25" s="279"/>
      <c r="E25" s="282"/>
      <c r="F25" s="280"/>
      <c r="G25" s="283" t="s">
        <v>2367</v>
      </c>
    </row>
    <row r="26" spans="1:7" s="255" customFormat="1">
      <c r="A26" s="946" t="s">
        <v>795</v>
      </c>
      <c r="B26" s="256" t="s">
        <v>2368</v>
      </c>
      <c r="C26" s="279">
        <f ca="1">ROUND(IF('数据-取费表'!B22&lt;=1,F21*F22*'数据-取费表'!B23/2,F21*(POWER((1+F22),'数据-取费表'!B23/2)-1)),4)</f>
        <v>0</v>
      </c>
      <c r="D26" s="279"/>
      <c r="E26" s="282"/>
      <c r="F26" s="280"/>
      <c r="G26" s="284"/>
    </row>
    <row r="27" spans="1:7" s="255" customFormat="1" ht="24.75">
      <c r="A27" s="296" t="s">
        <v>2369</v>
      </c>
      <c r="B27" s="285" t="s">
        <v>2370</v>
      </c>
      <c r="C27" s="286">
        <f ca="1">C28</f>
        <v>0</v>
      </c>
      <c r="D27" s="276">
        <f ca="1">C29</f>
        <v>0</v>
      </c>
      <c r="E27" s="277" t="s">
        <v>2371</v>
      </c>
      <c r="F27" s="287">
        <f ca="1">IF(B1="",'数据-取费表'!Q16,INDIRECT("'数据-取费表'!q"&amp;$G$1))</f>
        <v>0.13</v>
      </c>
      <c r="G27" s="288" t="s">
        <v>2372</v>
      </c>
    </row>
    <row r="28" spans="1:7" s="255" customFormat="1" ht="13.5" customHeight="1">
      <c r="A28" s="946" t="s">
        <v>791</v>
      </c>
      <c r="B28" s="289" t="s">
        <v>2373</v>
      </c>
      <c r="C28" s="290">
        <f ca="1">ROUND((C5+C19+C20)*F27*'数据-取费表'!B21/'数据-取费表'!B20,0)</f>
        <v>0</v>
      </c>
      <c r="D28" s="276"/>
      <c r="E28" s="277"/>
      <c r="F28" s="287"/>
      <c r="G28" s="288"/>
    </row>
    <row r="29" spans="1:7" s="255" customFormat="1" ht="13.5" customHeight="1">
      <c r="A29" s="946" t="s">
        <v>792</v>
      </c>
      <c r="B29" s="289" t="s">
        <v>2374</v>
      </c>
      <c r="C29" s="279">
        <f ca="1">ROUND(C21*F27*'数据-取费表'!B21/'数据-取费表'!B20,4)</f>
        <v>0</v>
      </c>
      <c r="D29" s="276"/>
      <c r="E29" s="277"/>
      <c r="F29" s="287"/>
      <c r="G29" s="288"/>
    </row>
    <row r="30" spans="1:7" s="255" customFormat="1" ht="13.5" customHeight="1">
      <c r="A30" s="296" t="s">
        <v>2375</v>
      </c>
      <c r="B30" s="251" t="s">
        <v>2376</v>
      </c>
      <c r="C30" s="276">
        <f>ROUND(F30/(1+'数据-取费表'!C42),4)</f>
        <v>5.33E-2</v>
      </c>
      <c r="D30" s="277" t="s">
        <v>2371</v>
      </c>
      <c r="E30" s="282"/>
      <c r="F30" s="278">
        <f>'数据-取费表'!B41</f>
        <v>5.6000000000000001E-2</v>
      </c>
      <c r="G30" s="275" t="s">
        <v>2377</v>
      </c>
    </row>
    <row r="31" spans="1:7" ht="16.5" customHeight="1">
      <c r="A31" s="250">
        <v>1</v>
      </c>
      <c r="B31" s="251" t="s">
        <v>2378</v>
      </c>
      <c r="C31" s="252">
        <f ca="1">ROUND((C5+C19+C20+C22+C27)/(1-C21-D22-D27-C30),0)</f>
        <v>448031</v>
      </c>
      <c r="D31" s="271"/>
      <c r="E31" s="252"/>
      <c r="F31" s="291"/>
      <c r="G31" s="275" t="s">
        <v>2379</v>
      </c>
    </row>
    <row r="32" spans="1:7" s="249" customFormat="1" ht="15.75">
      <c r="A32" s="293" t="s">
        <v>2380</v>
      </c>
      <c r="B32" s="294"/>
      <c r="C32" s="294"/>
      <c r="D32" s="294"/>
      <c r="E32" s="294"/>
      <c r="F32" s="294"/>
      <c r="G32" s="295"/>
    </row>
    <row r="33" spans="1:7" s="255" customFormat="1" ht="13.5" customHeight="1">
      <c r="A33" s="296" t="s">
        <v>782</v>
      </c>
      <c r="B33" s="251" t="s">
        <v>2381</v>
      </c>
      <c r="C33" s="297">
        <f ca="1">SUM(C34:C38)</f>
        <v>0</v>
      </c>
      <c r="D33" s="273"/>
      <c r="E33" s="253"/>
      <c r="F33" s="282"/>
      <c r="G33" s="275"/>
    </row>
    <row r="34" spans="1:7" s="299" customFormat="1" ht="13.5" customHeight="1">
      <c r="A34" s="946" t="s">
        <v>791</v>
      </c>
      <c r="B34" s="256" t="s">
        <v>2382</v>
      </c>
      <c r="C34" s="261">
        <f ca="1">IF(B1="",IF(F34=100%,'数据-取费表'!M16,'数据-取费表'!O16),IF(F34=100%,INDIRECT("'数据-取费表'!m"&amp;$G$1)+INDIRECT("'数据-取费表'!t"&amp;$G$1),INDIRECT("'数据-取费表'!o"&amp;$G$1)+INDIRECT("'数据-取费表'!aq"&amp;$G$1)))</f>
        <v>0</v>
      </c>
      <c r="D34" s="258"/>
      <c r="E34" s="261"/>
      <c r="F34" s="298">
        <f ca="1">IF('数据-取费表'!B24=0,1,IF(B1="",'数据-取费表'!N16,INDIRECT("'数据-取费表'!n"&amp;$G$1)))</f>
        <v>0</v>
      </c>
      <c r="G34" s="260" t="s">
        <v>2383</v>
      </c>
    </row>
    <row r="35" spans="1:7" ht="13.5" customHeight="1">
      <c r="A35" s="946" t="s">
        <v>796</v>
      </c>
      <c r="B35" s="256" t="s">
        <v>2384</v>
      </c>
      <c r="C35" s="261">
        <f ca="1">ROUND(C34*F35,0)</f>
        <v>0</v>
      </c>
      <c r="D35" s="261"/>
      <c r="E35" s="261"/>
      <c r="F35" s="300">
        <f>'数据-取费表'!B33</f>
        <v>0.03</v>
      </c>
      <c r="G35" s="260" t="s">
        <v>2385</v>
      </c>
    </row>
    <row r="36" spans="1:7" ht="24">
      <c r="A36" s="946" t="s">
        <v>797</v>
      </c>
      <c r="B36" s="256" t="s">
        <v>2386</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0.05</v>
      </c>
      <c r="G36" s="301" t="s">
        <v>2387</v>
      </c>
    </row>
    <row r="37" spans="1:7" s="299" customFormat="1" ht="13.5" customHeight="1">
      <c r="A37" s="946" t="s">
        <v>798</v>
      </c>
      <c r="B37" s="256" t="s">
        <v>2388</v>
      </c>
      <c r="C37" s="290">
        <f ca="1">ROUND(E37*D37*F34/10000,0)</f>
        <v>0</v>
      </c>
      <c r="D37" s="258">
        <f ca="1">D19</f>
        <v>900384.25897299999</v>
      </c>
      <c r="E37" s="290">
        <f>'数据-取费表'!B35</f>
        <v>200</v>
      </c>
      <c r="F37" s="300"/>
      <c r="G37" s="302" t="s">
        <v>2389</v>
      </c>
    </row>
    <row r="38" spans="1:7" ht="13.5" customHeight="1">
      <c r="A38" s="946" t="s">
        <v>799</v>
      </c>
      <c r="B38" s="256" t="s">
        <v>2390</v>
      </c>
      <c r="C38" s="261">
        <f ca="1">ROUND(C34*F38,0)</f>
        <v>0</v>
      </c>
      <c r="D38" s="261"/>
      <c r="E38" s="261"/>
      <c r="F38" s="300">
        <f>'数据-取费表'!B36</f>
        <v>1.4999999999999999E-2</v>
      </c>
      <c r="G38" s="260" t="s">
        <v>2385</v>
      </c>
    </row>
    <row r="39" spans="1:7" s="255" customFormat="1" ht="13.5" customHeight="1">
      <c r="A39" s="296" t="s">
        <v>2391</v>
      </c>
      <c r="B39" s="251" t="s">
        <v>2392</v>
      </c>
      <c r="C39" s="273">
        <f ca="1">ROUND(C33*F20,0)</f>
        <v>0</v>
      </c>
      <c r="D39" s="273"/>
      <c r="E39" s="273"/>
      <c r="F39" s="274"/>
      <c r="G39" s="275" t="s">
        <v>2393</v>
      </c>
    </row>
    <row r="40" spans="1:7" s="255" customFormat="1" ht="13.5" customHeight="1">
      <c r="A40" s="296" t="s">
        <v>2394</v>
      </c>
      <c r="B40" s="251" t="s">
        <v>2395</v>
      </c>
      <c r="C40" s="1721">
        <f>F21</f>
        <v>0.02</v>
      </c>
      <c r="D40" s="277" t="s">
        <v>2396</v>
      </c>
      <c r="E40" s="273"/>
      <c r="F40" s="274"/>
      <c r="G40" s="275" t="s">
        <v>2397</v>
      </c>
    </row>
    <row r="41" spans="1:7" s="255" customFormat="1" ht="13.5" customHeight="1">
      <c r="A41" s="296" t="s">
        <v>2398</v>
      </c>
      <c r="B41" s="251" t="s">
        <v>2399</v>
      </c>
      <c r="C41" s="273">
        <f ca="1">ROUND(SUM(C42:C43),0)</f>
        <v>0</v>
      </c>
      <c r="D41" s="276">
        <f ca="1">C44</f>
        <v>0</v>
      </c>
      <c r="E41" s="277" t="s">
        <v>2396</v>
      </c>
      <c r="F41" s="278"/>
      <c r="G41" s="275" t="str">
        <f>IF('数据-取费表'!B22&lt;=1,"单利计息","复利计息")</f>
        <v>复利计息</v>
      </c>
    </row>
    <row r="42" spans="1:7" ht="13.5" customHeight="1">
      <c r="A42" s="946" t="s">
        <v>791</v>
      </c>
      <c r="B42" s="256" t="s">
        <v>2400</v>
      </c>
      <c r="C42" s="279">
        <f ca="1">ROUND(IF('数据-取费表'!B22&lt;=1,C33*F22*'数据-取费表'!B21/2,C33*(POWER((1+F22),'数据-取费表'!B21/2)-1)),0)</f>
        <v>0</v>
      </c>
      <c r="D42" s="279"/>
      <c r="E42" s="279"/>
      <c r="F42" s="280"/>
      <c r="G42" s="3257" t="s">
        <v>2401</v>
      </c>
    </row>
    <row r="43" spans="1:7" ht="13.5" customHeight="1">
      <c r="A43" s="946" t="s">
        <v>792</v>
      </c>
      <c r="B43" s="256" t="s">
        <v>2402</v>
      </c>
      <c r="C43" s="279">
        <f ca="1">ROUND(IF('数据-取费表'!B22&lt;=1,C39*F22*'数据-取费表'!B21/2,C39*(POWER((1+F22),'数据-取费表'!B21/2)-1)),0)</f>
        <v>0</v>
      </c>
      <c r="D43" s="279"/>
      <c r="E43" s="279"/>
      <c r="F43" s="280"/>
      <c r="G43" s="3258"/>
    </row>
    <row r="44" spans="1:7" ht="13.5" customHeight="1">
      <c r="A44" s="946" t="s">
        <v>793</v>
      </c>
      <c r="B44" s="256" t="s">
        <v>2403</v>
      </c>
      <c r="C44" s="279">
        <f ca="1">ROUND(IF('数据-取费表'!B22&lt;=1,C40*F22*'数据-取费表'!B21/2,C40*(POWER((1+F22),'数据-取费表'!B21/2)-1)),4)</f>
        <v>0</v>
      </c>
      <c r="D44" s="279"/>
      <c r="E44" s="279"/>
      <c r="F44" s="280"/>
      <c r="G44" s="3259"/>
    </row>
    <row r="45" spans="1:7" s="255" customFormat="1" ht="13.5" customHeight="1">
      <c r="A45" s="296" t="s">
        <v>2404</v>
      </c>
      <c r="B45" s="285" t="s">
        <v>2370</v>
      </c>
      <c r="C45" s="286">
        <f ca="1">C46</f>
        <v>0</v>
      </c>
      <c r="D45" s="276">
        <f ca="1">C47</f>
        <v>2.5999999999999999E-3</v>
      </c>
      <c r="E45" s="277" t="s">
        <v>2396</v>
      </c>
      <c r="F45" s="287"/>
      <c r="G45" s="288" t="s">
        <v>2405</v>
      </c>
    </row>
    <row r="46" spans="1:7" s="255" customFormat="1" ht="13.5" customHeight="1">
      <c r="A46" s="946" t="s">
        <v>791</v>
      </c>
      <c r="B46" s="289" t="s">
        <v>2406</v>
      </c>
      <c r="C46" s="290">
        <f ca="1">ROUND((C33+C39)*F27,0)</f>
        <v>0</v>
      </c>
      <c r="D46" s="304"/>
      <c r="E46" s="277"/>
      <c r="F46" s="287"/>
      <c r="G46" s="288"/>
    </row>
    <row r="47" spans="1:7" s="255" customFormat="1" ht="13.5" customHeight="1">
      <c r="A47" s="946" t="s">
        <v>792</v>
      </c>
      <c r="B47" s="289" t="s">
        <v>2407</v>
      </c>
      <c r="C47" s="279">
        <f ca="1">ROUND(C40*F27,4)</f>
        <v>2.5999999999999999E-3</v>
      </c>
      <c r="D47" s="304"/>
      <c r="E47" s="277"/>
      <c r="F47" s="287"/>
      <c r="G47" s="288"/>
    </row>
    <row r="48" spans="1:7" s="255" customFormat="1" ht="13.5" customHeight="1">
      <c r="A48" s="296" t="s">
        <v>2369</v>
      </c>
      <c r="B48" s="251" t="s">
        <v>2408</v>
      </c>
      <c r="C48" s="1721">
        <f>ROUND(F30/(1+'数据-取费表'!C42),4)</f>
        <v>5.33E-2</v>
      </c>
      <c r="D48" s="277" t="s">
        <v>2396</v>
      </c>
      <c r="E48" s="273"/>
      <c r="F48" s="278"/>
      <c r="G48" s="275" t="s">
        <v>2409</v>
      </c>
    </row>
    <row r="49" spans="1:7" ht="16.5" customHeight="1">
      <c r="A49" s="296" t="s">
        <v>2375</v>
      </c>
      <c r="B49" s="251" t="s">
        <v>2410</v>
      </c>
      <c r="C49" s="273">
        <f ca="1">ROUND((C33+C39+C41+C45)/(1-C40-D41-D45-C48),0)</f>
        <v>0</v>
      </c>
      <c r="D49" s="273"/>
      <c r="E49" s="273"/>
      <c r="F49" s="305"/>
      <c r="G49" s="275" t="s">
        <v>2411</v>
      </c>
    </row>
    <row r="50" spans="1:7" s="299" customFormat="1" ht="24">
      <c r="A50" s="296" t="s">
        <v>2412</v>
      </c>
      <c r="B50" s="251" t="s">
        <v>2413</v>
      </c>
      <c r="C50" s="273"/>
      <c r="D50" s="273"/>
      <c r="E50" s="273"/>
      <c r="F50" s="305">
        <f>IF('数据-取费表'!B24=0,'数据-取费表'!N16,1)</f>
        <v>1</v>
      </c>
      <c r="G50" s="288" t="s">
        <v>2414</v>
      </c>
    </row>
    <row r="51" spans="1:7" ht="16.5" customHeight="1">
      <c r="A51" s="296" t="s">
        <v>2415</v>
      </c>
      <c r="B51" s="251" t="s">
        <v>2416</v>
      </c>
      <c r="C51" s="273">
        <f ca="1">ROUND(C49*F50,0)</f>
        <v>0</v>
      </c>
      <c r="D51" s="273"/>
      <c r="E51" s="273"/>
      <c r="F51" s="305"/>
      <c r="G51" s="275" t="s">
        <v>2417</v>
      </c>
    </row>
    <row r="52" spans="1:7" s="249" customFormat="1" ht="16.5" thickBot="1">
      <c r="A52" s="306" t="s">
        <v>2418</v>
      </c>
      <c r="B52" s="307"/>
      <c r="C52" s="308">
        <f ca="1">C31+C51</f>
        <v>448031</v>
      </c>
      <c r="D52" s="307"/>
      <c r="E52" s="307"/>
      <c r="F52" s="307"/>
      <c r="G52" s="309"/>
    </row>
    <row r="55" spans="1:7" ht="15">
      <c r="B55" s="311" t="s">
        <v>2419</v>
      </c>
      <c r="C55" s="312"/>
    </row>
    <row r="56" spans="1:7">
      <c r="B56" s="314" t="s">
        <v>1508</v>
      </c>
      <c r="C56" s="316">
        <f ca="1">1-C57</f>
        <v>1</v>
      </c>
    </row>
    <row r="57" spans="1:7">
      <c r="B57" s="314" t="s">
        <v>1509</v>
      </c>
      <c r="C57" s="315">
        <f ca="1">ROUND(C51/C52,3)</f>
        <v>0</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44" sqref="F44"/>
    </sheetView>
  </sheetViews>
  <sheetFormatPr defaultColWidth="8.375" defaultRowHeight="12.75"/>
  <cols>
    <col min="1" max="1" width="9.375" style="310" customWidth="1"/>
    <col min="2" max="2" width="29.125" style="292" customWidth="1"/>
    <col min="3" max="3" width="12.125" style="292" customWidth="1"/>
    <col min="4" max="5" width="11.125" style="313" customWidth="1"/>
    <col min="6" max="6" width="9.5" style="292" customWidth="1"/>
    <col min="7" max="7" width="31.875" style="292" customWidth="1"/>
    <col min="8" max="8" width="10.625" style="292" customWidth="1"/>
    <col min="9" max="254" width="9" style="292" customWidth="1"/>
    <col min="255" max="16384" width="8.375" style="292"/>
  </cols>
  <sheetData>
    <row r="1" spans="1:8" s="241" customFormat="1" ht="20.25">
      <c r="A1" s="237" t="s">
        <v>2318</v>
      </c>
      <c r="B1" s="1929"/>
      <c r="C1" s="2545" t="s">
        <v>2420</v>
      </c>
      <c r="D1" s="239"/>
      <c r="E1" s="239"/>
      <c r="F1" s="239"/>
      <c r="G1" s="1373">
        <f>MATCH(B1,'数据-取费表'!A6:A16,0)+5</f>
        <v>11</v>
      </c>
      <c r="H1" s="1276" t="str">
        <f>IF(ISERROR(FIND("住宅",B1)),"非住宅","住宅")</f>
        <v>非住宅</v>
      </c>
    </row>
    <row r="2" spans="1:8" s="241" customFormat="1" ht="18" customHeight="1">
      <c r="A2" s="242" t="s">
        <v>2319</v>
      </c>
      <c r="B2" s="243">
        <f ca="1">ROUND(IF(D2="——",C52/10000,C52/10000-E2),0)</f>
        <v>406777</v>
      </c>
      <c r="C2" s="240" t="s">
        <v>2320</v>
      </c>
      <c r="D2" s="2539" t="s">
        <v>70</v>
      </c>
      <c r="E2" s="1434" t="e">
        <f ca="1">SUMIF(INDIRECT("'"&amp;G2&amp;"'"&amp;"!A:A"),"承租人权益价值",INDIRECT("'"&amp;G2&amp;"'"&amp;"!c:c"))</f>
        <v>#REF!</v>
      </c>
      <c r="F2" s="2540" t="s">
        <v>2320</v>
      </c>
      <c r="G2" s="2541"/>
    </row>
    <row r="3" spans="1:8" s="241" customFormat="1" ht="18" customHeight="1" thickBot="1">
      <c r="A3" s="244" t="s">
        <v>2321</v>
      </c>
      <c r="B3" s="245">
        <f ca="1">ROUND(B2*10000/(IF(B1="",'数据-汇总表'!E3,INDIRECT("'数据-取费表'!k"&amp;$G$1))),0)</f>
        <v>4518</v>
      </c>
      <c r="C3" s="240" t="s">
        <v>2322</v>
      </c>
      <c r="D3" s="240"/>
      <c r="E3" s="240"/>
      <c r="F3" s="240"/>
      <c r="G3" s="240"/>
    </row>
    <row r="4" spans="1:8" s="249" customFormat="1" ht="15.75">
      <c r="A4" s="246" t="s">
        <v>2323</v>
      </c>
      <c r="B4" s="247"/>
      <c r="C4" s="247"/>
      <c r="D4" s="247"/>
      <c r="E4" s="247"/>
      <c r="F4" s="247"/>
      <c r="G4" s="248"/>
    </row>
    <row r="5" spans="1:8" s="255" customFormat="1" ht="13.5" customHeight="1">
      <c r="A5" s="296" t="s">
        <v>2324</v>
      </c>
      <c r="B5" s="251" t="s">
        <v>2325</v>
      </c>
      <c r="C5" s="252">
        <f ca="1">C6+C7+C8</f>
        <v>95457276</v>
      </c>
      <c r="D5" s="252" t="s">
        <v>2326</v>
      </c>
      <c r="E5" s="253" t="s">
        <v>2327</v>
      </c>
      <c r="F5" s="253" t="s">
        <v>2328</v>
      </c>
      <c r="G5" s="254"/>
    </row>
    <row r="6" spans="1:8" s="255" customFormat="1" ht="13.5" customHeight="1">
      <c r="A6" s="944" t="s">
        <v>2329</v>
      </c>
      <c r="B6" s="256" t="s">
        <v>2330</v>
      </c>
      <c r="C6" s="257"/>
      <c r="D6" s="258"/>
      <c r="E6" s="259"/>
      <c r="F6" s="259"/>
      <c r="G6" s="260"/>
    </row>
    <row r="7" spans="1:8" s="255" customFormat="1" ht="13.5" customHeight="1">
      <c r="A7" s="944" t="s">
        <v>2331</v>
      </c>
      <c r="B7" s="256" t="s">
        <v>2332</v>
      </c>
      <c r="C7" s="261">
        <f>ROUND(C6*F7,0)</f>
        <v>0</v>
      </c>
      <c r="D7" s="261"/>
      <c r="E7" s="259"/>
      <c r="F7" s="262">
        <f>IF(项目基本情况!B8="出让",0,'数据-取费表'!B48+'数据-取费表'!B49)</f>
        <v>3.0499999999999999E-2</v>
      </c>
      <c r="G7" s="260"/>
    </row>
    <row r="8" spans="1:8" s="264" customFormat="1">
      <c r="A8" s="944" t="s">
        <v>2333</v>
      </c>
      <c r="B8" s="256" t="s">
        <v>2334</v>
      </c>
      <c r="C8" s="261">
        <f ca="1">IF(G8="已包含在土地购买价格中",0,C9+C10)</f>
        <v>95457276</v>
      </c>
      <c r="D8" s="263"/>
      <c r="E8" s="261"/>
      <c r="F8" s="262"/>
      <c r="G8" s="2542"/>
    </row>
    <row r="9" spans="1:8" s="255" customFormat="1" ht="13.5" customHeight="1">
      <c r="A9" s="945" t="s">
        <v>800</v>
      </c>
      <c r="B9" s="265" t="s">
        <v>2335</v>
      </c>
      <c r="C9" s="266">
        <f ca="1">ROUND(D9*E9,0)</f>
        <v>55073736</v>
      </c>
      <c r="D9" s="1026">
        <f ca="1">IF(B1="",'数据-汇总表'!E5,IF(INDIRECT("'数据-取费表'!c"&amp;$G$1)="住宅",INDIRECT("'数据-取费表'!k"&amp;$G$1),0))</f>
        <v>611930.4</v>
      </c>
      <c r="E9" s="266">
        <f>'数据-取费表'!B27</f>
        <v>90</v>
      </c>
      <c r="F9" s="262"/>
      <c r="G9" s="267"/>
    </row>
    <row r="10" spans="1:8" s="255" customFormat="1" ht="13.5" customHeight="1">
      <c r="A10" s="945" t="s">
        <v>801</v>
      </c>
      <c r="B10" s="265" t="s">
        <v>2337</v>
      </c>
      <c r="C10" s="266">
        <f ca="1">ROUND(D10*E10,0)</f>
        <v>40383540</v>
      </c>
      <c r="D10" s="1026">
        <f ca="1">IF(B1="",'数据-汇总表'!E6,IF(INDIRECT("'数据-取费表'!c"&amp;$G$1)="住宅",INDIRECT("'数据-取费表'!s"&amp;$G$1),INDIRECT("'数据-取费表'!k"&amp;$G$1)+INDIRECT("'数据-取费表'!s"&amp;$G$1)))</f>
        <v>288453.85897299997</v>
      </c>
      <c r="E10" s="266">
        <f>'数据-取费表'!B28</f>
        <v>140</v>
      </c>
      <c r="F10" s="262"/>
      <c r="G10" s="267"/>
    </row>
    <row r="11" spans="1:8" s="255" customFormat="1" ht="13.5" hidden="1" customHeight="1">
      <c r="A11" s="268" t="s">
        <v>7</v>
      </c>
      <c r="B11" s="256" t="s">
        <v>2338</v>
      </c>
      <c r="C11" s="252"/>
      <c r="D11" s="1028"/>
      <c r="E11" s="259"/>
      <c r="F11" s="259"/>
      <c r="G11" s="260"/>
    </row>
    <row r="12" spans="1:8" s="255" customFormat="1" ht="13.5" hidden="1" customHeight="1">
      <c r="A12" s="268" t="s">
        <v>8</v>
      </c>
      <c r="B12" s="256" t="s">
        <v>2421</v>
      </c>
      <c r="C12" s="252">
        <v>0</v>
      </c>
      <c r="D12" s="1028"/>
      <c r="E12" s="269"/>
      <c r="F12" s="262">
        <v>3.0499999999999999E-2</v>
      </c>
      <c r="G12" s="260"/>
    </row>
    <row r="13" spans="1:8" s="255" customFormat="1" ht="13.5" hidden="1" customHeight="1">
      <c r="A13" s="268" t="s">
        <v>9</v>
      </c>
      <c r="B13" s="256" t="s">
        <v>2422</v>
      </c>
      <c r="C13" s="252"/>
      <c r="D13" s="1028"/>
      <c r="E13" s="259"/>
      <c r="F13" s="259"/>
      <c r="G13" s="260"/>
    </row>
    <row r="14" spans="1:8" s="255" customFormat="1" ht="13.5" hidden="1" customHeight="1">
      <c r="A14" s="268" t="s">
        <v>10</v>
      </c>
      <c r="B14" s="256" t="s">
        <v>2334</v>
      </c>
      <c r="C14" s="252"/>
      <c r="D14" s="1028"/>
      <c r="E14" s="259"/>
      <c r="F14" s="259"/>
      <c r="G14" s="260" t="s">
        <v>2423</v>
      </c>
    </row>
    <row r="15" spans="1:8" s="255" customFormat="1" ht="13.5" hidden="1" customHeight="1">
      <c r="A15" s="268" t="s">
        <v>11</v>
      </c>
      <c r="B15" s="256" t="s">
        <v>2424</v>
      </c>
      <c r="C15" s="261"/>
      <c r="D15" s="1028"/>
      <c r="E15" s="259"/>
      <c r="F15" s="259"/>
      <c r="G15" s="260" t="s">
        <v>2425</v>
      </c>
    </row>
    <row r="16" spans="1:8" s="255" customFormat="1" ht="13.5" hidden="1" customHeight="1">
      <c r="A16" s="268" t="s">
        <v>12</v>
      </c>
      <c r="B16" s="256" t="s">
        <v>2334</v>
      </c>
      <c r="C16" s="261"/>
      <c r="D16" s="1028"/>
      <c r="E16" s="259"/>
      <c r="F16" s="259"/>
      <c r="G16" s="260"/>
    </row>
    <row r="17" spans="1:7" s="255" customFormat="1" ht="13.5" hidden="1" customHeight="1">
      <c r="A17" s="268" t="s">
        <v>13</v>
      </c>
      <c r="B17" s="256" t="s">
        <v>2426</v>
      </c>
      <c r="C17" s="270"/>
      <c r="D17" s="1029"/>
      <c r="E17" s="270"/>
      <c r="F17" s="270"/>
      <c r="G17" s="260" t="s">
        <v>2425</v>
      </c>
    </row>
    <row r="18" spans="1:7" s="255" customFormat="1" ht="13.5" hidden="1" customHeight="1">
      <c r="A18" s="268" t="s">
        <v>14</v>
      </c>
      <c r="B18" s="256" t="s">
        <v>2427</v>
      </c>
      <c r="C18" s="261">
        <v>0</v>
      </c>
      <c r="D18" s="1028"/>
      <c r="E18" s="259"/>
      <c r="F18" s="262">
        <v>3.0499999999999999E-2</v>
      </c>
      <c r="G18" s="260" t="s">
        <v>2428</v>
      </c>
    </row>
    <row r="19" spans="1:7" s="264" customFormat="1" ht="13.5" customHeight="1">
      <c r="A19" s="296" t="s">
        <v>2429</v>
      </c>
      <c r="B19" s="251" t="s">
        <v>2430</v>
      </c>
      <c r="C19" s="252">
        <f ca="1">IF(G19="已包含在土地取得成本中","0",ROUND(D19*E19,0))</f>
        <v>135057639</v>
      </c>
      <c r="D19" s="1030">
        <f ca="1">D9+D10</f>
        <v>900384.25897299999</v>
      </c>
      <c r="E19" s="252">
        <f>'数据-取费表'!B31</f>
        <v>150</v>
      </c>
      <c r="F19" s="272"/>
      <c r="G19" s="2542"/>
    </row>
    <row r="20" spans="1:7" s="255" customFormat="1" ht="13.5" customHeight="1">
      <c r="A20" s="296" t="s">
        <v>2431</v>
      </c>
      <c r="B20" s="251" t="s">
        <v>2432</v>
      </c>
      <c r="C20" s="273">
        <f ca="1">ROUND((C5+C19)*F20,0)</f>
        <v>4610298</v>
      </c>
      <c r="D20" s="273"/>
      <c r="E20" s="273"/>
      <c r="F20" s="274">
        <f>'数据-取费表'!B37</f>
        <v>0.02</v>
      </c>
      <c r="G20" s="275" t="s">
        <v>2433</v>
      </c>
    </row>
    <row r="21" spans="1:7" s="255" customFormat="1" ht="13.5" customHeight="1">
      <c r="A21" s="296" t="s">
        <v>2434</v>
      </c>
      <c r="B21" s="251" t="s">
        <v>2435</v>
      </c>
      <c r="C21" s="276">
        <f>F21</f>
        <v>0.02</v>
      </c>
      <c r="D21" s="277" t="s">
        <v>2436</v>
      </c>
      <c r="E21" s="273"/>
      <c r="F21" s="274">
        <f>'数据-取费表'!B38</f>
        <v>0.02</v>
      </c>
      <c r="G21" s="275" t="s">
        <v>2437</v>
      </c>
    </row>
    <row r="22" spans="1:7" s="255" customFormat="1" ht="13.5" customHeight="1">
      <c r="A22" s="296" t="s">
        <v>2438</v>
      </c>
      <c r="B22" s="251" t="s">
        <v>2439</v>
      </c>
      <c r="C22" s="1374">
        <f ca="1">ROUND(SUM(C23:C25),0)</f>
        <v>47466802</v>
      </c>
      <c r="D22" s="276">
        <f ca="1">C26</f>
        <v>1.9E-3</v>
      </c>
      <c r="E22" s="277" t="s">
        <v>2436</v>
      </c>
      <c r="F22" s="278">
        <f ca="1">'数据-取费表'!B40</f>
        <v>4.7500000000000001E-2</v>
      </c>
      <c r="G22" s="275" t="str">
        <f>IF('数据-取费表'!B22&lt;=1,"单利计息","复利计息")</f>
        <v>复利计息</v>
      </c>
    </row>
    <row r="23" spans="1:7" s="255" customFormat="1" ht="13.5" customHeight="1">
      <c r="A23" s="946" t="s">
        <v>2329</v>
      </c>
      <c r="B23" s="256" t="s">
        <v>2440</v>
      </c>
      <c r="C23" s="1375">
        <f ca="1">ROUND(IF('数据-取费表'!B22&lt;=1,C5*F22*'数据-取费表'!B22,C5*(POWER((1+F22),'数据-取费表'!B22)-1)),0)</f>
        <v>19470543</v>
      </c>
      <c r="D23" s="279"/>
      <c r="E23" s="279"/>
      <c r="F23" s="280"/>
      <c r="G23" s="281" t="s">
        <v>2441</v>
      </c>
    </row>
    <row r="24" spans="1:7" s="255" customFormat="1" ht="13.5" customHeight="1">
      <c r="A24" s="946" t="s">
        <v>2331</v>
      </c>
      <c r="B24" s="256" t="s">
        <v>2442</v>
      </c>
      <c r="C24" s="1375">
        <f ca="1">ROUND(IF('数据-取费表'!B22&lt;=1,C19*F22*('数据-取费表'!B19/2+'数据-取费表'!B20),C19*(POWER((1+F22),('数据-取费表'!B19/2+'数据-取费表'!B20))-1)),0)</f>
        <v>27547879</v>
      </c>
      <c r="D24" s="279"/>
      <c r="E24" s="279"/>
      <c r="F24" s="280"/>
      <c r="G24" s="281" t="s">
        <v>2443</v>
      </c>
    </row>
    <row r="25" spans="1:7" s="255" customFormat="1" ht="24">
      <c r="A25" s="946" t="s">
        <v>2333</v>
      </c>
      <c r="B25" s="256" t="s">
        <v>2444</v>
      </c>
      <c r="C25" s="1375">
        <f ca="1">ROUND(IF('数据-取费表'!B22&lt;=1,C20*F22*'数据-取费表'!B22/2,C20*(POWER((1+F22),'数据-取费表'!B22/2)-1)),0)</f>
        <v>448380</v>
      </c>
      <c r="D25" s="279"/>
      <c r="E25" s="282"/>
      <c r="F25" s="280"/>
      <c r="G25" s="283" t="s">
        <v>2445</v>
      </c>
    </row>
    <row r="26" spans="1:7" s="255" customFormat="1">
      <c r="A26" s="946" t="s">
        <v>795</v>
      </c>
      <c r="B26" s="256" t="s">
        <v>2368</v>
      </c>
      <c r="C26" s="279">
        <f ca="1">ROUND(IF('数据-取费表'!B22&lt;=1,F21*F22*'数据-取费表'!B22/2,F21*(POWER((1+F22),'数据-取费表'!B22/2)-1)),4)</f>
        <v>1.9E-3</v>
      </c>
      <c r="D26" s="279"/>
      <c r="E26" s="282"/>
      <c r="F26" s="280"/>
      <c r="G26" s="284"/>
    </row>
    <row r="27" spans="1:7" s="255" customFormat="1" ht="24.75">
      <c r="A27" s="296" t="s">
        <v>2369</v>
      </c>
      <c r="B27" s="285" t="s">
        <v>2370</v>
      </c>
      <c r="C27" s="286">
        <f ca="1">C28</f>
        <v>30566278</v>
      </c>
      <c r="D27" s="276">
        <f ca="1">C29</f>
        <v>2.5999999999999999E-3</v>
      </c>
      <c r="E27" s="277" t="s">
        <v>2371</v>
      </c>
      <c r="F27" s="287">
        <f ca="1">IF(B1="",'数据-取费表'!Q16,INDIRECT("'数据-取费表'!q"&amp;$G$1))</f>
        <v>0.13</v>
      </c>
      <c r="G27" s="288" t="s">
        <v>2372</v>
      </c>
    </row>
    <row r="28" spans="1:7" s="255" customFormat="1" ht="13.5" customHeight="1">
      <c r="A28" s="946" t="s">
        <v>791</v>
      </c>
      <c r="B28" s="289" t="s">
        <v>2373</v>
      </c>
      <c r="C28" s="290">
        <f ca="1">ROUND((C5+C19+C20)*F27,0)</f>
        <v>30566278</v>
      </c>
      <c r="D28" s="276"/>
      <c r="E28" s="277"/>
      <c r="F28" s="287"/>
      <c r="G28" s="288"/>
    </row>
    <row r="29" spans="1:7" s="255" customFormat="1" ht="13.5" customHeight="1">
      <c r="A29" s="946" t="s">
        <v>792</v>
      </c>
      <c r="B29" s="289" t="s">
        <v>2374</v>
      </c>
      <c r="C29" s="279">
        <f ca="1">ROUND(C21*F27,4)</f>
        <v>2.5999999999999999E-3</v>
      </c>
      <c r="D29" s="276"/>
      <c r="E29" s="277"/>
      <c r="F29" s="287"/>
      <c r="G29" s="288"/>
    </row>
    <row r="30" spans="1:7" s="255" customFormat="1" ht="13.5" customHeight="1">
      <c r="A30" s="296" t="s">
        <v>2375</v>
      </c>
      <c r="B30" s="251" t="s">
        <v>2376</v>
      </c>
      <c r="C30" s="276">
        <f>ROUND(F30/(1+'数据-取费表'!C42),4)</f>
        <v>5.33E-2</v>
      </c>
      <c r="D30" s="277" t="s">
        <v>2371</v>
      </c>
      <c r="E30" s="282"/>
      <c r="F30" s="278">
        <f>'数据-取费表'!B41</f>
        <v>5.6000000000000001E-2</v>
      </c>
      <c r="G30" s="275" t="s">
        <v>2377</v>
      </c>
    </row>
    <row r="31" spans="1:7" ht="16.5" customHeight="1">
      <c r="A31" s="250">
        <v>1</v>
      </c>
      <c r="B31" s="251" t="s">
        <v>2378</v>
      </c>
      <c r="C31" s="252">
        <f ca="1">ROUND((C5+C19+C20+C22+C27)/(1-C21-D22-D27-C30),0)</f>
        <v>339577416</v>
      </c>
      <c r="D31" s="271"/>
      <c r="E31" s="252"/>
      <c r="F31" s="291"/>
      <c r="G31" s="275" t="s">
        <v>2379</v>
      </c>
    </row>
    <row r="32" spans="1:7" s="249" customFormat="1" ht="15.75">
      <c r="A32" s="293" t="s">
        <v>2446</v>
      </c>
      <c r="B32" s="294"/>
      <c r="C32" s="294"/>
      <c r="D32" s="294"/>
      <c r="E32" s="294"/>
      <c r="F32" s="294"/>
      <c r="G32" s="295"/>
    </row>
    <row r="33" spans="1:7" s="255" customFormat="1" ht="13.5" customHeight="1">
      <c r="A33" s="296" t="s">
        <v>782</v>
      </c>
      <c r="B33" s="251" t="s">
        <v>2447</v>
      </c>
      <c r="C33" s="297">
        <f ca="1">SUM(C34:C38)</f>
        <v>2746551938</v>
      </c>
      <c r="D33" s="273"/>
      <c r="E33" s="253"/>
      <c r="F33" s="282"/>
      <c r="G33" s="275"/>
    </row>
    <row r="34" spans="1:7" s="299" customFormat="1" ht="13.5" customHeight="1">
      <c r="A34" s="946" t="s">
        <v>791</v>
      </c>
      <c r="B34" s="256" t="s">
        <v>2382</v>
      </c>
      <c r="C34" s="261">
        <f ca="1">ROUND(IF(B1="",SUMPRODUCT('数据-取费表'!K6:K14,'数据-取费表'!L6:L14),INDIRECT("'数据-取费表'!l"&amp;$G$1)*INDIRECT("'数据-取费表'!k"&amp;$G$1)+'数据-取费表'!L14*INDIRECT("'数据-取费表'!S"&amp;$G$1)),0)</f>
        <v>2368120120</v>
      </c>
      <c r="D34" s="258"/>
      <c r="E34" s="261"/>
      <c r="F34" s="298"/>
      <c r="G34" s="260"/>
    </row>
    <row r="35" spans="1:7" ht="13.5" customHeight="1">
      <c r="A35" s="946" t="s">
        <v>796</v>
      </c>
      <c r="B35" s="256" t="s">
        <v>2384</v>
      </c>
      <c r="C35" s="261">
        <f ca="1">ROUND(C34*F35,0)</f>
        <v>71043604</v>
      </c>
      <c r="D35" s="261"/>
      <c r="E35" s="261"/>
      <c r="F35" s="300">
        <f>'数据-取费表'!B33</f>
        <v>0.03</v>
      </c>
      <c r="G35" s="260" t="s">
        <v>2385</v>
      </c>
    </row>
    <row r="36" spans="1:7" ht="24">
      <c r="A36" s="946" t="s">
        <v>797</v>
      </c>
      <c r="B36" s="256" t="s">
        <v>2386</v>
      </c>
      <c r="C36" s="261">
        <f ca="1">ROUND(IF(B1="",SUM('数据-取费表'!AP6:AP13)*F36,IF(INDIRECT("'数据-取费表'!c"&amp;$G$1)="住宅",INDIRECT("'数据-取费表'!k"&amp;$G$1)*INDIRECT("'数据-取费表'!l"&amp;$G$1)*F36,0)),0)</f>
        <v>91789560</v>
      </c>
      <c r="D36" s="261"/>
      <c r="E36" s="261"/>
      <c r="F36" s="300">
        <f>'数据-取费表'!B34</f>
        <v>0.05</v>
      </c>
      <c r="G36" s="301" t="s">
        <v>2387</v>
      </c>
    </row>
    <row r="37" spans="1:7" s="299" customFormat="1" ht="13.5" customHeight="1">
      <c r="A37" s="946" t="s">
        <v>798</v>
      </c>
      <c r="B37" s="256" t="s">
        <v>2388</v>
      </c>
      <c r="C37" s="290">
        <f ca="1">ROUND(E37*D37,0)</f>
        <v>180076852</v>
      </c>
      <c r="D37" s="258">
        <f ca="1">D19</f>
        <v>900384.25897299999</v>
      </c>
      <c r="E37" s="290">
        <f>'数据-取费表'!B35</f>
        <v>200</v>
      </c>
      <c r="F37" s="300"/>
      <c r="G37" s="302"/>
    </row>
    <row r="38" spans="1:7" ht="13.5" customHeight="1">
      <c r="A38" s="946" t="s">
        <v>799</v>
      </c>
      <c r="B38" s="256" t="s">
        <v>2390</v>
      </c>
      <c r="C38" s="261">
        <f ca="1">ROUND(C34*F38,0)</f>
        <v>35521802</v>
      </c>
      <c r="D38" s="261"/>
      <c r="E38" s="261"/>
      <c r="F38" s="300">
        <f>'数据-取费表'!B36</f>
        <v>1.4999999999999999E-2</v>
      </c>
      <c r="G38" s="260" t="s">
        <v>2385</v>
      </c>
    </row>
    <row r="39" spans="1:7" s="255" customFormat="1" ht="13.5" customHeight="1">
      <c r="A39" s="296" t="s">
        <v>2391</v>
      </c>
      <c r="B39" s="251" t="s">
        <v>2392</v>
      </c>
      <c r="C39" s="273">
        <f ca="1">ROUND(C33*F20,0)</f>
        <v>54931039</v>
      </c>
      <c r="D39" s="273"/>
      <c r="E39" s="273"/>
      <c r="F39" s="274"/>
      <c r="G39" s="275" t="s">
        <v>2393</v>
      </c>
    </row>
    <row r="40" spans="1:7" s="255" customFormat="1" ht="13.5" customHeight="1">
      <c r="A40" s="296" t="s">
        <v>2394</v>
      </c>
      <c r="B40" s="251" t="s">
        <v>2395</v>
      </c>
      <c r="C40" s="1721">
        <f>F21</f>
        <v>0.02</v>
      </c>
      <c r="D40" s="277" t="s">
        <v>2396</v>
      </c>
      <c r="E40" s="273"/>
      <c r="F40" s="274"/>
      <c r="G40" s="275" t="s">
        <v>2397</v>
      </c>
    </row>
    <row r="41" spans="1:7" s="255" customFormat="1" ht="13.5" customHeight="1">
      <c r="A41" s="296" t="s">
        <v>2398</v>
      </c>
      <c r="B41" s="251" t="s">
        <v>2399</v>
      </c>
      <c r="C41" s="273">
        <f ca="1">ROUND(SUM(C42:C43),0)</f>
        <v>272461729</v>
      </c>
      <c r="D41" s="276">
        <f ca="1">C44</f>
        <v>1.9E-3</v>
      </c>
      <c r="E41" s="277" t="s">
        <v>2396</v>
      </c>
      <c r="F41" s="278"/>
      <c r="G41" s="275" t="str">
        <f>IF('数据-取费表'!B22&lt;=1,"单利计息","复利计息")</f>
        <v>复利计息</v>
      </c>
    </row>
    <row r="42" spans="1:7" ht="13.5" customHeight="1">
      <c r="A42" s="946" t="s">
        <v>791</v>
      </c>
      <c r="B42" s="256" t="s">
        <v>2400</v>
      </c>
      <c r="C42" s="279">
        <f ca="1">ROUND(IF('数据-取费表'!B22&lt;=1,C33*F22*'数据-取费表'!B20/2,C33*(POWER((1+F22),'数据-取费表'!B20/2)-1)),0)</f>
        <v>267119342</v>
      </c>
      <c r="D42" s="279"/>
      <c r="E42" s="279"/>
      <c r="F42" s="280"/>
      <c r="G42" s="3257" t="s">
        <v>2448</v>
      </c>
    </row>
    <row r="43" spans="1:7" ht="13.5" customHeight="1">
      <c r="A43" s="946" t="s">
        <v>792</v>
      </c>
      <c r="B43" s="256" t="s">
        <v>2402</v>
      </c>
      <c r="C43" s="279">
        <f ca="1">ROUND(IF('数据-取费表'!B22&lt;=1,C39*F22*'数据-取费表'!B20/2,C39*(POWER((1+F22),'数据-取费表'!B20/2)-1)),0)</f>
        <v>5342387</v>
      </c>
      <c r="D43" s="279"/>
      <c r="E43" s="279"/>
      <c r="F43" s="280"/>
      <c r="G43" s="3258"/>
    </row>
    <row r="44" spans="1:7" ht="13.5" customHeight="1">
      <c r="A44" s="946" t="s">
        <v>793</v>
      </c>
      <c r="B44" s="256" t="s">
        <v>2403</v>
      </c>
      <c r="C44" s="279">
        <f ca="1">ROUND(IF('数据-取费表'!B22&lt;=1,C40*F22*'数据-取费表'!B20/2,C40*(POWER((1+F22),'数据-取费表'!B20/2)-1)),4)</f>
        <v>1.9E-3</v>
      </c>
      <c r="D44" s="279"/>
      <c r="E44" s="279"/>
      <c r="F44" s="280"/>
      <c r="G44" s="3259"/>
    </row>
    <row r="45" spans="1:7" s="255" customFormat="1" ht="13.5" customHeight="1">
      <c r="A45" s="296" t="s">
        <v>2404</v>
      </c>
      <c r="B45" s="285" t="s">
        <v>2370</v>
      </c>
      <c r="C45" s="286">
        <f ca="1">C46</f>
        <v>364192787</v>
      </c>
      <c r="D45" s="276">
        <f ca="1">C47</f>
        <v>2.5999999999999999E-3</v>
      </c>
      <c r="E45" s="277" t="s">
        <v>2396</v>
      </c>
      <c r="F45" s="287"/>
      <c r="G45" s="288" t="s">
        <v>2405</v>
      </c>
    </row>
    <row r="46" spans="1:7" s="255" customFormat="1" ht="13.5" customHeight="1">
      <c r="A46" s="946" t="s">
        <v>791</v>
      </c>
      <c r="B46" s="289" t="s">
        <v>2406</v>
      </c>
      <c r="C46" s="290">
        <f ca="1">ROUND((C33+C39)*F27,0)</f>
        <v>364192787</v>
      </c>
      <c r="D46" s="304"/>
      <c r="E46" s="277"/>
      <c r="F46" s="287"/>
      <c r="G46" s="288"/>
    </row>
    <row r="47" spans="1:7" s="255" customFormat="1" ht="13.5" customHeight="1">
      <c r="A47" s="946" t="s">
        <v>792</v>
      </c>
      <c r="B47" s="289" t="s">
        <v>2407</v>
      </c>
      <c r="C47" s="279">
        <f ca="1">ROUND(C40*F27,4)</f>
        <v>2.5999999999999999E-3</v>
      </c>
      <c r="D47" s="304"/>
      <c r="E47" s="277"/>
      <c r="F47" s="287"/>
      <c r="G47" s="288"/>
    </row>
    <row r="48" spans="1:7" s="255" customFormat="1" ht="13.5" customHeight="1">
      <c r="A48" s="296" t="s">
        <v>2369</v>
      </c>
      <c r="B48" s="251" t="s">
        <v>2408</v>
      </c>
      <c r="C48" s="303">
        <f>ROUND(F30/(1+'数据-取费表'!C42),4)</f>
        <v>5.33E-2</v>
      </c>
      <c r="D48" s="277" t="s">
        <v>2396</v>
      </c>
      <c r="E48" s="273"/>
      <c r="F48" s="278"/>
      <c r="G48" s="275" t="s">
        <v>2409</v>
      </c>
    </row>
    <row r="49" spans="1:7" ht="16.5" customHeight="1">
      <c r="A49" s="296" t="s">
        <v>2375</v>
      </c>
      <c r="B49" s="251" t="s">
        <v>2449</v>
      </c>
      <c r="C49" s="273">
        <f ca="1">ROUND((C33+C39+C41+C45)/(1-C40-D41-D45-C48),0)</f>
        <v>3728190732</v>
      </c>
      <c r="D49" s="273"/>
      <c r="E49" s="273"/>
      <c r="F49" s="305"/>
      <c r="G49" s="275" t="s">
        <v>2411</v>
      </c>
    </row>
    <row r="50" spans="1:7" s="299" customFormat="1">
      <c r="A50" s="296" t="s">
        <v>2412</v>
      </c>
      <c r="B50" s="251" t="s">
        <v>2413</v>
      </c>
      <c r="C50" s="273"/>
      <c r="D50" s="273"/>
      <c r="E50" s="273"/>
      <c r="F50" s="305">
        <f>IF('数据-取费表'!B24=0,'数据-取费表'!N16,1)</f>
        <v>1</v>
      </c>
      <c r="G50" s="288"/>
    </row>
    <row r="51" spans="1:7" ht="16.5" customHeight="1">
      <c r="A51" s="296" t="s">
        <v>2415</v>
      </c>
      <c r="B51" s="251" t="s">
        <v>2450</v>
      </c>
      <c r="C51" s="273">
        <f ca="1">ROUND(C49*F50,0)</f>
        <v>3728190732</v>
      </c>
      <c r="D51" s="273"/>
      <c r="E51" s="273"/>
      <c r="F51" s="305"/>
      <c r="G51" s="275" t="s">
        <v>2417</v>
      </c>
    </row>
    <row r="52" spans="1:7" s="249" customFormat="1" ht="16.5" thickBot="1">
      <c r="A52" s="306" t="s">
        <v>2418</v>
      </c>
      <c r="B52" s="307"/>
      <c r="C52" s="308">
        <f ca="1">C31+C51</f>
        <v>4067768148</v>
      </c>
      <c r="D52" s="307"/>
      <c r="E52" s="307"/>
      <c r="F52" s="307"/>
      <c r="G52" s="309"/>
    </row>
    <row r="55" spans="1:7" ht="15">
      <c r="B55" s="311" t="s">
        <v>2419</v>
      </c>
      <c r="C55" s="312"/>
    </row>
    <row r="56" spans="1:7">
      <c r="B56" s="314" t="s">
        <v>1508</v>
      </c>
      <c r="C56" s="316">
        <f ca="1">1-C57</f>
        <v>8.2999999999999963E-2</v>
      </c>
    </row>
    <row r="57" spans="1:7">
      <c r="B57" s="314" t="s">
        <v>1509</v>
      </c>
      <c r="C57" s="315">
        <f ca="1">ROUND(C51/C52,3)</f>
        <v>0.91700000000000004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42"/>
  <sheetViews>
    <sheetView topLeftCell="A21" zoomScale="80" zoomScaleNormal="80" workbookViewId="0">
      <selection activeCell="G47" sqref="G47"/>
    </sheetView>
  </sheetViews>
  <sheetFormatPr defaultColWidth="9" defaultRowHeight="14.25"/>
  <cols>
    <col min="1" max="1" width="14.375" style="400" customWidth="1"/>
    <col min="2" max="2" width="15.625" style="400" customWidth="1"/>
    <col min="3" max="3" width="15.5" style="400" customWidth="1"/>
    <col min="4" max="4" width="14.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hidden="1" customWidth="1"/>
    <col min="13" max="15" width="12.125" style="400" hidden="1" customWidth="1"/>
    <col min="16" max="16" width="4.625" style="400" hidden="1" customWidth="1"/>
    <col min="17" max="17" width="19.5" style="400" hidden="1" customWidth="1"/>
    <col min="18" max="22" width="6.125" style="400" hidden="1" customWidth="1"/>
    <col min="23" max="23" width="5.625" style="400" hidden="1" customWidth="1"/>
    <col min="24" max="24" width="4.125" style="400" hidden="1" customWidth="1"/>
    <col min="25" max="25" width="3.5" style="400" hidden="1" customWidth="1"/>
    <col min="26" max="26" width="19.625" style="400" hidden="1" customWidth="1"/>
    <col min="27" max="28" width="9.375" style="400" hidden="1" customWidth="1"/>
    <col min="29" max="31" width="0" style="400" hidden="1" customWidth="1"/>
    <col min="32" max="16384" width="9" style="400"/>
  </cols>
  <sheetData>
    <row r="1" spans="1:30" s="395" customFormat="1" ht="28.5" customHeight="1">
      <c r="A1" s="391" t="s">
        <v>2733</v>
      </c>
      <c r="B1" s="392"/>
      <c r="C1" s="393" t="s">
        <v>2734</v>
      </c>
      <c r="D1" s="751"/>
      <c r="E1" s="751"/>
      <c r="F1" s="750" t="s">
        <v>2632</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2319</v>
      </c>
      <c r="B2" s="668">
        <f>F66</f>
        <v>395001</v>
      </c>
      <c r="C2" s="1118"/>
      <c r="D2" s="1118"/>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c r="AD2" s="394"/>
    </row>
    <row r="3" spans="1:30" s="395" customFormat="1" ht="28.5" customHeight="1" thickBot="1">
      <c r="A3" s="244" t="s">
        <v>2321</v>
      </c>
      <c r="B3" s="606">
        <f>ROUND(IF(D3="",B2*10000/'数据-汇总表'!E3,B2*10000/D3),0)</f>
        <v>4387</v>
      </c>
      <c r="C3" s="244" t="s">
        <v>2735</v>
      </c>
      <c r="D3" s="1576"/>
      <c r="E3" s="1119"/>
      <c r="F3" s="1120"/>
      <c r="G3" s="1119" t="s">
        <v>3679</v>
      </c>
      <c r="H3" s="1119"/>
      <c r="I3" s="1119" t="s">
        <v>3680</v>
      </c>
      <c r="J3" s="1119"/>
      <c r="K3" s="1121"/>
      <c r="L3" s="1122"/>
      <c r="M3" s="1123"/>
      <c r="N3" s="1123"/>
      <c r="O3" s="1123"/>
      <c r="P3" s="764"/>
      <c r="Q3" s="764"/>
      <c r="R3" s="764"/>
      <c r="S3" s="764"/>
      <c r="T3" s="764"/>
      <c r="U3" s="764"/>
      <c r="V3" s="764"/>
      <c r="W3" s="764"/>
      <c r="X3" s="764"/>
      <c r="Y3" s="764"/>
      <c r="Z3" s="764"/>
      <c r="AA3" s="764"/>
      <c r="AB3" s="782"/>
      <c r="AC3" s="778"/>
    </row>
    <row r="4" spans="1:30" ht="15">
      <c r="A4" s="398" t="s">
        <v>2634</v>
      </c>
      <c r="B4" s="399"/>
      <c r="C4" s="3264" t="s">
        <v>2635</v>
      </c>
      <c r="D4" s="3277"/>
      <c r="E4" s="3278" t="s">
        <v>2636</v>
      </c>
      <c r="F4" s="3279"/>
      <c r="G4" s="3264" t="s">
        <v>2637</v>
      </c>
      <c r="H4" s="3277"/>
      <c r="I4" s="3264" t="s">
        <v>2638</v>
      </c>
      <c r="J4" s="3277"/>
      <c r="K4" s="607" t="s">
        <v>2639</v>
      </c>
      <c r="L4" s="1124"/>
      <c r="M4" s="1125"/>
      <c r="N4" s="1125"/>
      <c r="O4" s="1125"/>
      <c r="P4" s="3280" t="s">
        <v>2640</v>
      </c>
      <c r="Q4" s="3281"/>
      <c r="R4" s="3286" t="s">
        <v>2636</v>
      </c>
      <c r="S4" s="3287"/>
      <c r="T4" s="3286" t="s">
        <v>2637</v>
      </c>
      <c r="U4" s="3287"/>
      <c r="V4" s="3273" t="s">
        <v>2638</v>
      </c>
      <c r="W4" s="3273"/>
      <c r="X4" s="1806"/>
      <c r="Y4" s="3286" t="s">
        <v>2640</v>
      </c>
      <c r="Z4" s="3287"/>
      <c r="AA4" s="3274" t="s">
        <v>2636</v>
      </c>
      <c r="AB4" s="3275" t="s">
        <v>2637</v>
      </c>
      <c r="AC4" s="3274" t="s">
        <v>2638</v>
      </c>
    </row>
    <row r="5" spans="1:30" ht="15">
      <c r="A5" s="401"/>
      <c r="B5" s="402"/>
      <c r="C5" s="3294" t="s">
        <v>2531</v>
      </c>
      <c r="D5" s="3295"/>
      <c r="E5" s="3301" t="str">
        <f>土地案例!A26</f>
        <v>戴村镇市政路恒达路交叉口东侧住宅A区块</v>
      </c>
      <c r="F5" s="3302"/>
      <c r="G5" s="3294" t="str">
        <f>土地案例!A77</f>
        <v>临浦新区商住地块二</v>
      </c>
      <c r="H5" s="3295"/>
      <c r="I5" s="3294" t="str">
        <f>土地案例!A79</f>
        <v>临浦新区商住地块一</v>
      </c>
      <c r="J5" s="3295"/>
      <c r="K5" s="607"/>
      <c r="L5" s="1124"/>
      <c r="M5" s="1125"/>
      <c r="N5" s="1125"/>
      <c r="O5" s="1125"/>
      <c r="P5" s="3282"/>
      <c r="Q5" s="3283"/>
      <c r="R5" s="3288"/>
      <c r="S5" s="3289"/>
      <c r="T5" s="3288"/>
      <c r="U5" s="3289"/>
      <c r="V5" s="3273"/>
      <c r="W5" s="3273"/>
      <c r="X5" s="1806"/>
      <c r="Y5" s="3288"/>
      <c r="Z5" s="3289"/>
      <c r="AA5" s="3275"/>
      <c r="AB5" s="3275"/>
      <c r="AC5" s="3275"/>
    </row>
    <row r="6" spans="1:30" ht="15.75" thickBot="1">
      <c r="A6" s="403"/>
      <c r="B6" s="404"/>
      <c r="C6" s="3292" t="s">
        <v>2535</v>
      </c>
      <c r="D6" s="3293"/>
      <c r="E6" s="3299" t="str">
        <f>土地案例!G26</f>
        <v>萧政储出(2019)6号</v>
      </c>
      <c r="F6" s="3300"/>
      <c r="G6" s="3292" t="str">
        <f>土地案例!G77</f>
        <v>萧政储出(2016)32号</v>
      </c>
      <c r="H6" s="3293"/>
      <c r="I6" s="3292" t="str">
        <f>土地案例!G79</f>
        <v>萧政储出(2016)31号</v>
      </c>
      <c r="J6" s="3293"/>
      <c r="K6" s="607" t="s">
        <v>2536</v>
      </c>
      <c r="L6" s="1124"/>
      <c r="M6" s="1125"/>
      <c r="N6" s="1125"/>
      <c r="O6" s="1125"/>
      <c r="P6" s="3284"/>
      <c r="Q6" s="3285"/>
      <c r="R6" s="3288"/>
      <c r="S6" s="3289"/>
      <c r="T6" s="3290"/>
      <c r="U6" s="3291"/>
      <c r="V6" s="3273"/>
      <c r="W6" s="3273"/>
      <c r="X6" s="1806"/>
      <c r="Y6" s="3290"/>
      <c r="Z6" s="3291"/>
      <c r="AA6" s="3276"/>
      <c r="AB6" s="3276"/>
      <c r="AC6" s="3276"/>
    </row>
    <row r="7" spans="1:30" s="116" customFormat="1" ht="15.75" thickBot="1">
      <c r="A7" s="405" t="s">
        <v>2537</v>
      </c>
      <c r="B7" s="406"/>
      <c r="C7" s="407">
        <f>'数据-取费表'!B2</f>
        <v>43782</v>
      </c>
      <c r="D7" s="408">
        <v>100</v>
      </c>
      <c r="E7" s="409" t="str">
        <f>土地案例!L26</f>
        <v>2019-03-29</v>
      </c>
      <c r="F7" s="410">
        <f>SUMIF(70:70,YEAR(E7)&amp;"-"&amp;INT((MONTH(E7)+2)/3),71:71)</f>
        <v>98.5</v>
      </c>
      <c r="G7" s="2686" t="str">
        <f>土地案例!L77</f>
        <v>2017-01-19</v>
      </c>
      <c r="H7" s="408">
        <f>SUMIF(70:70,YEAR(G7)&amp;"-"&amp;INT((MONTH(G7)+2)/3),71:71)</f>
        <v>94.5</v>
      </c>
      <c r="I7" s="2686" t="str">
        <f>土地案例!L79</f>
        <v>2017-01-19</v>
      </c>
      <c r="J7" s="408">
        <f>SUMIF(70:70,YEAR(I7)&amp;"-"&amp;INT((MONTH(I7)+2)/3),71:71)</f>
        <v>94.5</v>
      </c>
      <c r="K7" s="608"/>
      <c r="L7" s="1126"/>
      <c r="M7" s="1127"/>
      <c r="N7" s="1127"/>
      <c r="O7" s="1127"/>
      <c r="P7" s="3296" t="s">
        <v>2538</v>
      </c>
      <c r="Q7" s="3298"/>
      <c r="R7" s="766" t="s">
        <v>17</v>
      </c>
      <c r="S7" s="767">
        <f t="shared" ref="S7:S15" si="0">F7</f>
        <v>98.5</v>
      </c>
      <c r="T7" s="766" t="s">
        <v>17</v>
      </c>
      <c r="U7" s="767">
        <f t="shared" ref="U7:U15" si="1">H7</f>
        <v>94.5</v>
      </c>
      <c r="V7" s="766" t="s">
        <v>17</v>
      </c>
      <c r="W7" s="767">
        <f t="shared" ref="W7:W15" si="2">J7</f>
        <v>94.5</v>
      </c>
      <c r="X7" s="768"/>
      <c r="Y7" s="3296" t="s">
        <v>2538</v>
      </c>
      <c r="Z7" s="3297"/>
      <c r="AA7" s="769">
        <f>D7/F7</f>
        <v>1.015228426395939</v>
      </c>
      <c r="AB7" s="769">
        <f>D7/H7</f>
        <v>1.0582010582010581</v>
      </c>
      <c r="AC7" s="769">
        <f>D7/J7</f>
        <v>1.0582010582010581</v>
      </c>
    </row>
    <row r="8" spans="1:30" s="116" customFormat="1" ht="15.75" thickBot="1">
      <c r="A8" s="405" t="s">
        <v>2539</v>
      </c>
      <c r="B8" s="406"/>
      <c r="C8" s="411" t="s">
        <v>2540</v>
      </c>
      <c r="D8" s="408">
        <v>100</v>
      </c>
      <c r="E8" s="411" t="s">
        <v>3095</v>
      </c>
      <c r="F8" s="410">
        <f>SUMIF(73:73,E8,74:74)-SUMIF(73:73,C8,74:74)+100</f>
        <v>100</v>
      </c>
      <c r="G8" s="411" t="s">
        <v>3095</v>
      </c>
      <c r="H8" s="408">
        <f>SUMIF(73:73,G8,74:74)-SUMIF(73:73,C8,74:74)+100</f>
        <v>100</v>
      </c>
      <c r="I8" s="411" t="s">
        <v>3095</v>
      </c>
      <c r="J8" s="408">
        <f>SUMIF(73:73,I8,74:74)-SUMIF(73:73,C8,74:74)+100</f>
        <v>100</v>
      </c>
      <c r="K8" s="608"/>
      <c r="L8" s="1126"/>
      <c r="M8" s="1127"/>
      <c r="N8" s="1127"/>
      <c r="O8" s="1127"/>
      <c r="P8" s="3296" t="s">
        <v>2541</v>
      </c>
      <c r="Q8" s="3297"/>
      <c r="R8" s="766" t="s">
        <v>17</v>
      </c>
      <c r="S8" s="767">
        <f t="shared" si="0"/>
        <v>100</v>
      </c>
      <c r="T8" s="766" t="s">
        <v>17</v>
      </c>
      <c r="U8" s="767">
        <f t="shared" si="1"/>
        <v>100</v>
      </c>
      <c r="V8" s="766" t="s">
        <v>17</v>
      </c>
      <c r="W8" s="767">
        <f t="shared" si="2"/>
        <v>100</v>
      </c>
      <c r="X8" s="768"/>
      <c r="Y8" s="3296" t="s">
        <v>2541</v>
      </c>
      <c r="Z8" s="3297"/>
      <c r="AA8" s="769">
        <f t="shared" ref="AA8:AA45" si="3">D8/F8</f>
        <v>1</v>
      </c>
      <c r="AB8" s="769">
        <f t="shared" ref="AB8:AB45" si="4">D8/H8</f>
        <v>1</v>
      </c>
      <c r="AC8" s="769">
        <f t="shared" ref="AC8:AC45" si="5">D8/J8</f>
        <v>1</v>
      </c>
    </row>
    <row r="9" spans="1:30" s="116" customFormat="1" ht="57">
      <c r="A9" s="412" t="s">
        <v>2542</v>
      </c>
      <c r="B9" s="71" t="s">
        <v>2543</v>
      </c>
      <c r="C9" s="2689" t="s">
        <v>3638</v>
      </c>
      <c r="D9" s="132">
        <v>100</v>
      </c>
      <c r="E9" s="2689" t="s">
        <v>3305</v>
      </c>
      <c r="F9" s="132">
        <f>SUMIF(75:75,E9,76:76)-SUMIF(75:75,C9,76:76)+100</f>
        <v>100</v>
      </c>
      <c r="G9" s="2689" t="s">
        <v>3305</v>
      </c>
      <c r="H9" s="132">
        <f>SUMIF(75:75,G9,76:76)-SUMIF(75:75,C9,76:76)+100</f>
        <v>100</v>
      </c>
      <c r="I9" s="2689" t="s">
        <v>3220</v>
      </c>
      <c r="J9" s="132">
        <f>SUMIF(75:75,I9,76:76)-SUMIF(75:75,C9,76:76)+100</f>
        <v>100</v>
      </c>
      <c r="K9" s="608"/>
      <c r="L9" s="1126"/>
      <c r="M9" s="1127"/>
      <c r="N9" s="1127"/>
      <c r="O9" s="1128"/>
      <c r="P9" s="3267" t="s">
        <v>2544</v>
      </c>
      <c r="Q9" s="1788" t="str">
        <f t="shared" ref="Q9:Q15" si="6">B9</f>
        <v>用途</v>
      </c>
      <c r="R9" s="766" t="s">
        <v>17</v>
      </c>
      <c r="S9" s="767">
        <f t="shared" si="0"/>
        <v>100</v>
      </c>
      <c r="T9" s="766" t="s">
        <v>17</v>
      </c>
      <c r="U9" s="767">
        <f t="shared" si="1"/>
        <v>100</v>
      </c>
      <c r="V9" s="766" t="s">
        <v>17</v>
      </c>
      <c r="W9" s="767">
        <f t="shared" si="2"/>
        <v>100</v>
      </c>
      <c r="X9" s="768"/>
      <c r="Y9" s="3087" t="s">
        <v>2545</v>
      </c>
      <c r="Z9" s="55" t="str">
        <f t="shared" ref="Z9:Z15" si="7">Q9</f>
        <v>用途</v>
      </c>
      <c r="AA9" s="769">
        <f t="shared" si="3"/>
        <v>1</v>
      </c>
      <c r="AB9" s="769">
        <f t="shared" si="4"/>
        <v>1</v>
      </c>
      <c r="AC9" s="769">
        <f t="shared" si="5"/>
        <v>1</v>
      </c>
    </row>
    <row r="10" spans="1:30" s="424" customFormat="1" ht="27">
      <c r="A10" s="418"/>
      <c r="B10" s="419" t="s">
        <v>2546</v>
      </c>
      <c r="C10" s="429"/>
      <c r="D10" s="133">
        <v>100</v>
      </c>
      <c r="E10" s="462"/>
      <c r="F10" s="133">
        <f>ROUND(100/'数据-取费表'!G16,0)</f>
        <v>104</v>
      </c>
      <c r="G10" s="460"/>
      <c r="H10" s="133">
        <f>ROUND(100/'数据-取费表'!G16,0)</f>
        <v>104</v>
      </c>
      <c r="I10" s="460"/>
      <c r="J10" s="133">
        <f>ROUND(100/'数据-取费表'!G16,0)</f>
        <v>104</v>
      </c>
      <c r="K10" s="669"/>
      <c r="L10" s="1129"/>
      <c r="M10" s="1130"/>
      <c r="N10" s="1130"/>
      <c r="O10" s="1131"/>
      <c r="P10" s="3267"/>
      <c r="Q10" s="1788" t="str">
        <f t="shared" si="6"/>
        <v>土地使用年限（年）</v>
      </c>
      <c r="R10" s="766" t="s">
        <v>17</v>
      </c>
      <c r="S10" s="767">
        <f t="shared" si="0"/>
        <v>104</v>
      </c>
      <c r="T10" s="766" t="s">
        <v>17</v>
      </c>
      <c r="U10" s="767">
        <f t="shared" si="1"/>
        <v>104</v>
      </c>
      <c r="V10" s="766" t="s">
        <v>17</v>
      </c>
      <c r="W10" s="767">
        <f t="shared" si="2"/>
        <v>104</v>
      </c>
      <c r="X10" s="768"/>
      <c r="Y10" s="3087"/>
      <c r="Z10" s="55" t="str">
        <f t="shared" si="7"/>
        <v>土地使用年限（年）</v>
      </c>
      <c r="AA10" s="769">
        <f t="shared" si="3"/>
        <v>0.96153846153846156</v>
      </c>
      <c r="AB10" s="769">
        <f t="shared" si="4"/>
        <v>0.96153846153846156</v>
      </c>
      <c r="AC10" s="769">
        <f t="shared" si="5"/>
        <v>0.96153846153846156</v>
      </c>
    </row>
    <row r="11" spans="1:30" ht="15.75" thickBot="1">
      <c r="A11" s="425"/>
      <c r="B11" s="419" t="s">
        <v>2547</v>
      </c>
      <c r="C11" s="426">
        <f>'数据-汇总表'!I6</f>
        <v>1.78</v>
      </c>
      <c r="D11" s="133">
        <v>100</v>
      </c>
      <c r="E11" s="426">
        <v>1.8</v>
      </c>
      <c r="F11" s="133">
        <f>LOOKUP(E11,80:80,81:81)-LOOKUP(C11,80:80,81:81)+100</f>
        <v>100</v>
      </c>
      <c r="G11" s="427">
        <v>2.5</v>
      </c>
      <c r="H11" s="133">
        <f>LOOKUP(G11,80:80,81:81)-LOOKUP(C11,80:80,81:81)+100</f>
        <v>97</v>
      </c>
      <c r="I11" s="426">
        <v>2.2999999999999998</v>
      </c>
      <c r="J11" s="133">
        <f>LOOKUP(I11,80:80,81:81)-LOOKUP(C11,80:80,81:81)+100</f>
        <v>97</v>
      </c>
      <c r="K11" s="670">
        <v>3</v>
      </c>
      <c r="L11" s="1132"/>
      <c r="M11" s="1125"/>
      <c r="N11" s="1125"/>
      <c r="O11" s="1133"/>
      <c r="P11" s="3267"/>
      <c r="Q11" s="1788" t="str">
        <f t="shared" si="6"/>
        <v>容积率</v>
      </c>
      <c r="R11" s="766" t="s">
        <v>17</v>
      </c>
      <c r="S11" s="767">
        <f t="shared" si="0"/>
        <v>100</v>
      </c>
      <c r="T11" s="766" t="s">
        <v>17</v>
      </c>
      <c r="U11" s="767">
        <f t="shared" si="1"/>
        <v>97</v>
      </c>
      <c r="V11" s="766" t="s">
        <v>17</v>
      </c>
      <c r="W11" s="767">
        <f t="shared" si="2"/>
        <v>97</v>
      </c>
      <c r="X11" s="768"/>
      <c r="Y11" s="3087"/>
      <c r="Z11" s="55" t="str">
        <f t="shared" si="7"/>
        <v>容积率</v>
      </c>
      <c r="AA11" s="769">
        <f t="shared" si="3"/>
        <v>1</v>
      </c>
      <c r="AB11" s="769">
        <f t="shared" si="4"/>
        <v>1.0309278350515463</v>
      </c>
      <c r="AC11" s="769">
        <f t="shared" si="5"/>
        <v>1.0309278350515463</v>
      </c>
    </row>
    <row r="12" spans="1:30" s="116" customFormat="1" ht="15" hidden="1">
      <c r="A12" s="428"/>
      <c r="B12" s="2592" t="s">
        <v>2736</v>
      </c>
      <c r="C12" s="429"/>
      <c r="D12" s="430">
        <v>100</v>
      </c>
      <c r="E12" s="462"/>
      <c r="F12" s="133">
        <f>SUMIF(82:82,E12,83:83)-SUMIF(82:82,C12,83:83)+100</f>
        <v>100</v>
      </c>
      <c r="G12" s="460"/>
      <c r="H12" s="133">
        <f>SUMIF(82:82,G12,83:83)-SUMIF(82:82,C12,83:83)+100</f>
        <v>100</v>
      </c>
      <c r="I12" s="462"/>
      <c r="J12" s="133">
        <f>SUMIF(82:82,I12,83:83)-SUMIF(82:82,C12,83:83)+100</f>
        <v>100</v>
      </c>
      <c r="K12" s="669"/>
      <c r="L12" s="1126"/>
      <c r="M12" s="1127"/>
      <c r="N12" s="1127"/>
      <c r="O12" s="1128"/>
      <c r="P12" s="3267"/>
      <c r="Q12" s="1788" t="str">
        <f t="shared" si="6"/>
        <v>配建</v>
      </c>
      <c r="R12" s="766" t="s">
        <v>17</v>
      </c>
      <c r="S12" s="767">
        <f t="shared" si="0"/>
        <v>100</v>
      </c>
      <c r="T12" s="766" t="s">
        <v>17</v>
      </c>
      <c r="U12" s="767">
        <f t="shared" si="1"/>
        <v>100</v>
      </c>
      <c r="V12" s="766" t="s">
        <v>17</v>
      </c>
      <c r="W12" s="767">
        <f t="shared" si="2"/>
        <v>100</v>
      </c>
      <c r="X12" s="768"/>
      <c r="Y12" s="3087"/>
      <c r="Z12" s="55" t="str">
        <f t="shared" si="7"/>
        <v>配建</v>
      </c>
      <c r="AA12" s="769">
        <f>D12/F12</f>
        <v>1</v>
      </c>
      <c r="AB12" s="769">
        <f>D12/H12</f>
        <v>1</v>
      </c>
      <c r="AC12" s="769">
        <f>D12/J12</f>
        <v>1</v>
      </c>
    </row>
    <row r="13" spans="1:30" ht="15" hidden="1">
      <c r="A13" s="425"/>
      <c r="B13" s="2592"/>
      <c r="C13" s="431"/>
      <c r="D13" s="432">
        <v>100</v>
      </c>
      <c r="E13" s="546"/>
      <c r="F13" s="133">
        <f>SUMIF(84:84,E13,85:85)-SUMIF(84:84,C13,85:85)+100</f>
        <v>100</v>
      </c>
      <c r="G13" s="671"/>
      <c r="H13" s="432">
        <f>SUMIF(84:84,G13,85:85)-SUMIF(84:84,C13,85:85)+100</f>
        <v>100</v>
      </c>
      <c r="I13" s="671"/>
      <c r="J13" s="432">
        <f>SUMIF(84:84,I13,85:85)-SUMIF(84:84,C13,85:85)+100</f>
        <v>100</v>
      </c>
      <c r="K13" s="669"/>
      <c r="L13" s="1134"/>
      <c r="M13" s="1125"/>
      <c r="N13" s="1125"/>
      <c r="O13" s="1133"/>
      <c r="P13" s="3267"/>
      <c r="Q13" s="1788">
        <f t="shared" si="6"/>
        <v>0</v>
      </c>
      <c r="R13" s="766" t="s">
        <v>17</v>
      </c>
      <c r="S13" s="767">
        <f t="shared" si="0"/>
        <v>100</v>
      </c>
      <c r="T13" s="766" t="s">
        <v>17</v>
      </c>
      <c r="U13" s="767">
        <f t="shared" si="1"/>
        <v>100</v>
      </c>
      <c r="V13" s="766" t="s">
        <v>17</v>
      </c>
      <c r="W13" s="767">
        <f t="shared" si="2"/>
        <v>100</v>
      </c>
      <c r="X13" s="768"/>
      <c r="Y13" s="3087"/>
      <c r="Z13" s="55">
        <f t="shared" si="7"/>
        <v>0</v>
      </c>
      <c r="AA13" s="769">
        <f>D13/F13</f>
        <v>1</v>
      </c>
      <c r="AB13" s="769">
        <f>D13/H13</f>
        <v>1</v>
      </c>
      <c r="AC13" s="769">
        <f>D13/J13</f>
        <v>1</v>
      </c>
    </row>
    <row r="14" spans="1:30" ht="15.75" hidden="1" thickBot="1">
      <c r="A14" s="433"/>
      <c r="B14" s="2594"/>
      <c r="C14" s="434"/>
      <c r="D14" s="435">
        <v>100</v>
      </c>
      <c r="E14" s="546"/>
      <c r="F14" s="435">
        <f>SUMIF(86:86,E14,87:87)-SUMIF(86:86,C14,87:87)+100</f>
        <v>100</v>
      </c>
      <c r="G14" s="671"/>
      <c r="H14" s="435">
        <f>SUMIF(86:86,G14,87:87)-SUMIF(86:86,C14,87:87)+100</f>
        <v>100</v>
      </c>
      <c r="I14" s="671"/>
      <c r="J14" s="435">
        <f>SUMIF(86:86,I14,87:87)-SUMIF(86:86,C14,87:87)+100</f>
        <v>100</v>
      </c>
      <c r="K14" s="669"/>
      <c r="L14" s="1134"/>
      <c r="M14" s="1125"/>
      <c r="N14" s="1125"/>
      <c r="O14" s="1133"/>
      <c r="P14" s="3267"/>
      <c r="Q14" s="1788">
        <f t="shared" si="6"/>
        <v>0</v>
      </c>
      <c r="R14" s="766" t="s">
        <v>17</v>
      </c>
      <c r="S14" s="767">
        <f t="shared" si="0"/>
        <v>100</v>
      </c>
      <c r="T14" s="766" t="s">
        <v>17</v>
      </c>
      <c r="U14" s="767">
        <f t="shared" si="1"/>
        <v>100</v>
      </c>
      <c r="V14" s="766" t="s">
        <v>17</v>
      </c>
      <c r="W14" s="767">
        <f t="shared" si="2"/>
        <v>100</v>
      </c>
      <c r="X14" s="768"/>
      <c r="Y14" s="3087"/>
      <c r="Z14" s="55">
        <f t="shared" si="7"/>
        <v>0</v>
      </c>
      <c r="AA14" s="769">
        <f>D14/F14</f>
        <v>1</v>
      </c>
      <c r="AB14" s="769">
        <f>D14/H14</f>
        <v>1</v>
      </c>
      <c r="AC14" s="769">
        <f>D14/J14</f>
        <v>1</v>
      </c>
    </row>
    <row r="15" spans="1:30" ht="99.75">
      <c r="A15" s="437" t="s">
        <v>2548</v>
      </c>
      <c r="B15" s="69" t="s">
        <v>2080</v>
      </c>
      <c r="C15" s="2595" t="str">
        <f>估价对象房地状况!C15</f>
        <v>估价对象周边居住用地比例、居住小区规模和社区发展完善程度，综合评价居住社区成熟度一般</v>
      </c>
      <c r="D15" s="438">
        <v>100</v>
      </c>
      <c r="E15" s="439"/>
      <c r="F15" s="438">
        <f>SUMIF(88:88,E16,89:89)-SUMIF(88:88,C16,89:89)+100</f>
        <v>108</v>
      </c>
      <c r="G15" s="439"/>
      <c r="H15" s="438">
        <f>SUMIF(88:88,G16,89:89)-SUMIF(88:88,C16,89:89)+100</f>
        <v>108</v>
      </c>
      <c r="I15" s="439"/>
      <c r="J15" s="438">
        <f>SUMIF(88:88,I16,89:89)-SUMIF(88:88,C16,89:89)+100</f>
        <v>108</v>
      </c>
      <c r="K15" s="670">
        <v>4</v>
      </c>
      <c r="L15" s="1134"/>
      <c r="M15" s="1125"/>
      <c r="N15" s="1125"/>
      <c r="O15" s="1133"/>
      <c r="P15" s="3269" t="s">
        <v>2549</v>
      </c>
      <c r="Q15" s="1803" t="str">
        <f t="shared" si="6"/>
        <v>居住社区成熟度</v>
      </c>
      <c r="R15" s="770" t="s">
        <v>17</v>
      </c>
      <c r="S15" s="771">
        <f t="shared" si="0"/>
        <v>108</v>
      </c>
      <c r="T15" s="770" t="s">
        <v>17</v>
      </c>
      <c r="U15" s="771">
        <f t="shared" si="1"/>
        <v>108</v>
      </c>
      <c r="V15" s="770" t="s">
        <v>17</v>
      </c>
      <c r="W15" s="771">
        <f t="shared" si="2"/>
        <v>108</v>
      </c>
      <c r="X15" s="1806"/>
      <c r="Y15" s="3269" t="s">
        <v>2549</v>
      </c>
      <c r="Z15" s="1807" t="str">
        <f t="shared" si="7"/>
        <v>居住社区成熟度</v>
      </c>
      <c r="AA15" s="1804">
        <f t="shared" si="3"/>
        <v>0.92592592592592593</v>
      </c>
      <c r="AB15" s="1804">
        <f t="shared" si="4"/>
        <v>0.92592592592592593</v>
      </c>
      <c r="AC15" s="1804">
        <f t="shared" si="5"/>
        <v>0.92592592592592593</v>
      </c>
    </row>
    <row r="16" spans="1:30" ht="15">
      <c r="A16" s="425"/>
      <c r="B16" s="443"/>
      <c r="C16" s="444" t="s">
        <v>3097</v>
      </c>
      <c r="D16" s="445"/>
      <c r="E16" s="2597" t="s">
        <v>3100</v>
      </c>
      <c r="F16" s="445"/>
      <c r="G16" s="2597" t="s">
        <v>3100</v>
      </c>
      <c r="H16" s="447"/>
      <c r="I16" s="2597" t="s">
        <v>3100</v>
      </c>
      <c r="J16" s="445"/>
      <c r="K16" s="669"/>
      <c r="L16" s="1134"/>
      <c r="M16" s="1125"/>
      <c r="N16" s="1125"/>
      <c r="O16" s="1133"/>
      <c r="P16" s="3270"/>
      <c r="Q16" s="1803"/>
      <c r="R16" s="770"/>
      <c r="S16" s="771"/>
      <c r="T16" s="770"/>
      <c r="U16" s="771"/>
      <c r="V16" s="770"/>
      <c r="W16" s="771"/>
      <c r="X16" s="1806"/>
      <c r="Y16" s="3270"/>
      <c r="Z16" s="1807"/>
      <c r="AA16" s="1804">
        <v>1</v>
      </c>
      <c r="AB16" s="1804">
        <v>1</v>
      </c>
      <c r="AC16" s="1804">
        <v>1</v>
      </c>
    </row>
    <row r="17" spans="1:29" ht="71.25">
      <c r="A17" s="425"/>
      <c r="B17" s="448" t="s">
        <v>2642</v>
      </c>
      <c r="C17" s="2654" t="str">
        <f>估价对象房地状况!C16</f>
        <v>估价对象位于XX商圈，周边商业氛围成熟，人流量大，商业繁华度好</v>
      </c>
      <c r="D17" s="447">
        <v>100</v>
      </c>
      <c r="E17" s="449"/>
      <c r="F17" s="447">
        <f>SUMIF(90:90,E18,91:91)-SUMIF(90:90,C18,91:91)+100</f>
        <v>103</v>
      </c>
      <c r="G17" s="449"/>
      <c r="H17" s="452">
        <f>SUMIF(90:90,G18,91:91)-SUMIF(90:90,C18,91:91)+100</f>
        <v>103</v>
      </c>
      <c r="I17" s="449"/>
      <c r="J17" s="452">
        <f>SUMIF(90:90,I18,91:91)-SUMIF(90:90,C18,91:91)+100</f>
        <v>103</v>
      </c>
      <c r="K17" s="670">
        <f>'[4]土地比较法-住宅、综合'!$K$17</f>
        <v>3</v>
      </c>
      <c r="L17" s="1134"/>
      <c r="M17" s="1125"/>
      <c r="N17" s="1125"/>
      <c r="O17" s="1133"/>
      <c r="P17" s="3270"/>
      <c r="Q17" s="1803" t="str">
        <f>B17</f>
        <v>商业繁华度</v>
      </c>
      <c r="R17" s="770" t="s">
        <v>17</v>
      </c>
      <c r="S17" s="771">
        <f>F17</f>
        <v>103</v>
      </c>
      <c r="T17" s="770" t="s">
        <v>17</v>
      </c>
      <c r="U17" s="771">
        <f>H17</f>
        <v>103</v>
      </c>
      <c r="V17" s="770" t="s">
        <v>17</v>
      </c>
      <c r="W17" s="771">
        <f>J17</f>
        <v>103</v>
      </c>
      <c r="X17" s="1806"/>
      <c r="Y17" s="3270"/>
      <c r="Z17" s="1807" t="str">
        <f>Q17</f>
        <v>商业繁华度</v>
      </c>
      <c r="AA17" s="1804">
        <f t="shared" si="3"/>
        <v>0.970873786407767</v>
      </c>
      <c r="AB17" s="1804">
        <f t="shared" si="4"/>
        <v>0.970873786407767</v>
      </c>
      <c r="AC17" s="1804">
        <f t="shared" si="5"/>
        <v>0.970873786407767</v>
      </c>
    </row>
    <row r="18" spans="1:29" ht="15">
      <c r="A18" s="425"/>
      <c r="B18" s="453"/>
      <c r="C18" s="2600" t="s">
        <v>3097</v>
      </c>
      <c r="D18" s="447"/>
      <c r="E18" s="2602" t="s">
        <v>3098</v>
      </c>
      <c r="F18" s="447"/>
      <c r="G18" s="2602" t="s">
        <v>3098</v>
      </c>
      <c r="H18" s="445"/>
      <c r="I18" s="2602" t="s">
        <v>3098</v>
      </c>
      <c r="J18" s="445"/>
      <c r="K18" s="669"/>
      <c r="L18" s="1134"/>
      <c r="M18" s="1125"/>
      <c r="N18" s="1125"/>
      <c r="O18" s="1133"/>
      <c r="P18" s="3270"/>
      <c r="Q18" s="1803"/>
      <c r="R18" s="770"/>
      <c r="S18" s="771"/>
      <c r="T18" s="770"/>
      <c r="U18" s="771"/>
      <c r="V18" s="770"/>
      <c r="W18" s="771"/>
      <c r="X18" s="1806"/>
      <c r="Y18" s="3270"/>
      <c r="Z18" s="1807"/>
      <c r="AA18" s="1804">
        <v>1</v>
      </c>
      <c r="AB18" s="1804">
        <v>1</v>
      </c>
      <c r="AC18" s="1804">
        <v>1</v>
      </c>
    </row>
    <row r="19" spans="1:29" ht="71.25" hidden="1">
      <c r="A19" s="425"/>
      <c r="B19" s="448" t="s">
        <v>2676</v>
      </c>
      <c r="C19" s="2654"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4"/>
      <c r="J19" s="447">
        <f>SUMIF(92:92,I20,93:93)-SUMIF(92:92,C20,93:93)+100</f>
        <v>100</v>
      </c>
      <c r="K19" s="670"/>
      <c r="L19" s="1134"/>
      <c r="M19" s="1125"/>
      <c r="N19" s="1125"/>
      <c r="O19" s="1133"/>
      <c r="P19" s="3270"/>
      <c r="Q19" s="1803" t="str">
        <f>B19</f>
        <v>办公集聚程度</v>
      </c>
      <c r="R19" s="770" t="s">
        <v>17</v>
      </c>
      <c r="S19" s="771">
        <f>F19</f>
        <v>100</v>
      </c>
      <c r="T19" s="770" t="s">
        <v>17</v>
      </c>
      <c r="U19" s="771">
        <f>H19</f>
        <v>100</v>
      </c>
      <c r="V19" s="770" t="s">
        <v>17</v>
      </c>
      <c r="W19" s="771">
        <f>J19</f>
        <v>100</v>
      </c>
      <c r="X19" s="1806"/>
      <c r="Y19" s="3270"/>
      <c r="Z19" s="1807" t="str">
        <f>Q19</f>
        <v>办公集聚程度</v>
      </c>
      <c r="AA19" s="1804">
        <f t="shared" si="3"/>
        <v>1</v>
      </c>
      <c r="AB19" s="1804">
        <f t="shared" si="4"/>
        <v>1</v>
      </c>
      <c r="AC19" s="1804">
        <f t="shared" si="5"/>
        <v>1</v>
      </c>
    </row>
    <row r="20" spans="1:29" ht="15" hidden="1">
      <c r="A20" s="425"/>
      <c r="B20" s="453"/>
      <c r="C20" s="444"/>
      <c r="D20" s="445"/>
      <c r="E20" s="2597"/>
      <c r="F20" s="445"/>
      <c r="G20" s="2597"/>
      <c r="H20" s="445"/>
      <c r="I20" s="2597"/>
      <c r="J20" s="445"/>
      <c r="K20" s="669"/>
      <c r="L20" s="1134"/>
      <c r="M20" s="1125"/>
      <c r="N20" s="1125"/>
      <c r="O20" s="1133"/>
      <c r="P20" s="3270"/>
      <c r="Q20" s="1803"/>
      <c r="R20" s="770"/>
      <c r="S20" s="771"/>
      <c r="T20" s="770"/>
      <c r="U20" s="771"/>
      <c r="V20" s="770"/>
      <c r="W20" s="771"/>
      <c r="X20" s="1806"/>
      <c r="Y20" s="3270"/>
      <c r="Z20" s="1807"/>
      <c r="AA20" s="1804">
        <v>1</v>
      </c>
      <c r="AB20" s="1804">
        <v>1</v>
      </c>
      <c r="AC20" s="1804">
        <v>1</v>
      </c>
    </row>
    <row r="21" spans="1:29" ht="85.5">
      <c r="A21" s="425"/>
      <c r="B21" s="448" t="s">
        <v>2698</v>
      </c>
      <c r="C21" s="2599"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49"/>
      <c r="J21" s="447">
        <f>SUMIF(94:94,I22,95:95)-SUMIF(94:94,C22,95:95)+100</f>
        <v>100</v>
      </c>
      <c r="K21" s="670">
        <f>'[4]土地比较法-住宅、综合'!$K$21</f>
        <v>3</v>
      </c>
      <c r="L21" s="1134"/>
      <c r="M21" s="1125"/>
      <c r="N21" s="1125"/>
      <c r="O21" s="1133"/>
      <c r="P21" s="3270"/>
      <c r="Q21" s="1803" t="str">
        <f>B21</f>
        <v>交通便捷度</v>
      </c>
      <c r="R21" s="770" t="s">
        <v>17</v>
      </c>
      <c r="S21" s="771">
        <f>F21</f>
        <v>100</v>
      </c>
      <c r="T21" s="770" t="s">
        <v>17</v>
      </c>
      <c r="U21" s="771">
        <f>H21</f>
        <v>100</v>
      </c>
      <c r="V21" s="770" t="s">
        <v>17</v>
      </c>
      <c r="W21" s="771">
        <f>J21</f>
        <v>100</v>
      </c>
      <c r="X21" s="1806"/>
      <c r="Y21" s="3270"/>
      <c r="Z21" s="1807" t="str">
        <f>Q21</f>
        <v>交通便捷度</v>
      </c>
      <c r="AA21" s="1804">
        <f t="shared" si="3"/>
        <v>1</v>
      </c>
      <c r="AB21" s="1804">
        <f t="shared" si="4"/>
        <v>1</v>
      </c>
      <c r="AC21" s="1804">
        <f t="shared" si="5"/>
        <v>1</v>
      </c>
    </row>
    <row r="22" spans="1:29" ht="15">
      <c r="A22" s="425"/>
      <c r="B22" s="1378"/>
      <c r="C22" s="444" t="s">
        <v>3098</v>
      </c>
      <c r="D22" s="447"/>
      <c r="E22" s="2597" t="s">
        <v>3098</v>
      </c>
      <c r="F22" s="445"/>
      <c r="G22" s="2597" t="s">
        <v>3098</v>
      </c>
      <c r="H22" s="445"/>
      <c r="I22" s="2597" t="s">
        <v>3098</v>
      </c>
      <c r="J22" s="445"/>
      <c r="K22" s="669"/>
      <c r="L22" s="1134"/>
      <c r="M22" s="1125"/>
      <c r="N22" s="1125"/>
      <c r="O22" s="1133"/>
      <c r="P22" s="3270"/>
      <c r="Q22" s="1803"/>
      <c r="R22" s="770"/>
      <c r="S22" s="771"/>
      <c r="T22" s="770"/>
      <c r="U22" s="771"/>
      <c r="V22" s="770"/>
      <c r="W22" s="771"/>
      <c r="X22" s="1806"/>
      <c r="Y22" s="3270"/>
      <c r="Z22" s="1807"/>
      <c r="AA22" s="1804">
        <v>1</v>
      </c>
      <c r="AB22" s="1804">
        <v>1</v>
      </c>
      <c r="AC22" s="1804">
        <v>1</v>
      </c>
    </row>
    <row r="23" spans="1:29" ht="15">
      <c r="A23" s="401"/>
      <c r="B23" s="448" t="s">
        <v>2737</v>
      </c>
      <c r="C23" s="1383">
        <f>估价对象房地状况!C19</f>
        <v>0</v>
      </c>
      <c r="D23" s="452">
        <v>100</v>
      </c>
      <c r="E23" s="451"/>
      <c r="F23" s="452">
        <f>SUMIF(96:96,E24,97:97)-SUMIF(96:96,C24,97:97)+100</f>
        <v>100</v>
      </c>
      <c r="G23" s="451"/>
      <c r="H23" s="452">
        <f>SUMIF(96:96,G24,97:97)-SUMIF(96:96,C24,97:97)+100</f>
        <v>100</v>
      </c>
      <c r="I23" s="451"/>
      <c r="J23" s="452">
        <f>SUMIF(96:96,I24,97:97)-SUMIF(96:96,C24,97:97)+100</f>
        <v>100</v>
      </c>
      <c r="K23" s="670">
        <f>'[4]土地比较法-住宅、综合'!$K$23</f>
        <v>5</v>
      </c>
      <c r="L23" s="1134"/>
      <c r="M23" s="1125"/>
      <c r="N23" s="1125"/>
      <c r="O23" s="1133"/>
      <c r="P23" s="3270"/>
      <c r="Q23" s="1803" t="str">
        <f t="shared" ref="Q23:Q37" si="8">B23</f>
        <v>区域土地利用方向</v>
      </c>
      <c r="R23" s="770" t="s">
        <v>17</v>
      </c>
      <c r="S23" s="771">
        <f>F23</f>
        <v>100</v>
      </c>
      <c r="T23" s="770" t="s">
        <v>17</v>
      </c>
      <c r="U23" s="771">
        <f>H23</f>
        <v>100</v>
      </c>
      <c r="V23" s="770" t="s">
        <v>17</v>
      </c>
      <c r="W23" s="771">
        <f>J23</f>
        <v>100</v>
      </c>
      <c r="X23" s="1806"/>
      <c r="Y23" s="3270"/>
      <c r="Z23" s="1807" t="str">
        <f>Q23</f>
        <v>区域土地利用方向</v>
      </c>
      <c r="AA23" s="1804">
        <f t="shared" si="3"/>
        <v>1</v>
      </c>
      <c r="AB23" s="1804">
        <f t="shared" si="4"/>
        <v>1</v>
      </c>
      <c r="AC23" s="1804">
        <f t="shared" si="5"/>
        <v>1</v>
      </c>
    </row>
    <row r="24" spans="1:29" ht="15">
      <c r="A24" s="401"/>
      <c r="B24" s="453"/>
      <c r="C24" s="613" t="s">
        <v>3100</v>
      </c>
      <c r="D24" s="445"/>
      <c r="E24" s="613" t="s">
        <v>3100</v>
      </c>
      <c r="F24" s="445"/>
      <c r="G24" s="613" t="s">
        <v>3100</v>
      </c>
      <c r="H24" s="445"/>
      <c r="I24" s="613" t="s">
        <v>3100</v>
      </c>
      <c r="J24" s="445"/>
      <c r="K24" s="807"/>
      <c r="L24" s="1134"/>
      <c r="M24" s="1125"/>
      <c r="N24" s="1125"/>
      <c r="O24" s="1133"/>
      <c r="P24" s="3270"/>
      <c r="Q24" s="1803"/>
      <c r="R24" s="770"/>
      <c r="S24" s="771"/>
      <c r="T24" s="770"/>
      <c r="U24" s="771"/>
      <c r="V24" s="770"/>
      <c r="W24" s="771"/>
      <c r="X24" s="1806"/>
      <c r="Y24" s="3270"/>
      <c r="Z24" s="1807"/>
      <c r="AA24" s="1804"/>
      <c r="AB24" s="1804"/>
      <c r="AC24" s="1804"/>
    </row>
    <row r="25" spans="1:29" ht="57">
      <c r="A25" s="401"/>
      <c r="B25" s="1378" t="s">
        <v>2738</v>
      </c>
      <c r="C25" s="2654" t="str">
        <f>估价对象房地状况!C20</f>
        <v>区域自然环境：；人文环境；综合评价环境状况一般</v>
      </c>
      <c r="D25" s="447">
        <v>100</v>
      </c>
      <c r="E25" s="449"/>
      <c r="F25" s="447">
        <f>SUMIF(98:98,E26,99:99)-SUMIF(98:98,C26,99:99)+100</f>
        <v>97</v>
      </c>
      <c r="G25" s="449"/>
      <c r="H25" s="447">
        <f>SUMIF(98:98,G26,99:99)-SUMIF(98:98,C26,99:99)+100</f>
        <v>97</v>
      </c>
      <c r="I25" s="449"/>
      <c r="J25" s="447">
        <f>SUMIF(98:98,I26,99:99)-SUMIF(98:98,C26,99:99)+100</f>
        <v>97</v>
      </c>
      <c r="K25" s="670">
        <v>3</v>
      </c>
      <c r="L25" s="1134"/>
      <c r="M25" s="1125"/>
      <c r="N25" s="1125"/>
      <c r="O25" s="1133"/>
      <c r="P25" s="3270"/>
      <c r="Q25" s="1803" t="str">
        <f t="shared" si="8"/>
        <v>自然及人文环境状况</v>
      </c>
      <c r="R25" s="770" t="s">
        <v>17</v>
      </c>
      <c r="S25" s="771">
        <f>F25</f>
        <v>97</v>
      </c>
      <c r="T25" s="770" t="s">
        <v>17</v>
      </c>
      <c r="U25" s="771">
        <f>H25</f>
        <v>97</v>
      </c>
      <c r="V25" s="770" t="s">
        <v>17</v>
      </c>
      <c r="W25" s="771">
        <f>J25</f>
        <v>97</v>
      </c>
      <c r="X25" s="1806"/>
      <c r="Y25" s="3270"/>
      <c r="Z25" s="1807" t="str">
        <f>Q25</f>
        <v>自然及人文环境状况</v>
      </c>
      <c r="AA25" s="1804">
        <f t="shared" si="3"/>
        <v>1.0309278350515463</v>
      </c>
      <c r="AB25" s="1804">
        <f t="shared" si="4"/>
        <v>1.0309278350515463</v>
      </c>
      <c r="AC25" s="1804">
        <f t="shared" si="5"/>
        <v>1.0309278350515463</v>
      </c>
    </row>
    <row r="26" spans="1:29" ht="15">
      <c r="A26" s="401"/>
      <c r="B26" s="453"/>
      <c r="C26" s="444" t="s">
        <v>3100</v>
      </c>
      <c r="D26" s="445"/>
      <c r="E26" s="2603" t="s">
        <v>3098</v>
      </c>
      <c r="F26" s="445"/>
      <c r="G26" s="2603" t="s">
        <v>3098</v>
      </c>
      <c r="H26" s="445"/>
      <c r="I26" s="2603" t="s">
        <v>3098</v>
      </c>
      <c r="J26" s="445"/>
      <c r="K26" s="669"/>
      <c r="L26" s="1134"/>
      <c r="M26" s="1125"/>
      <c r="N26" s="1125"/>
      <c r="O26" s="1133"/>
      <c r="P26" s="3270"/>
      <c r="Q26" s="1803"/>
      <c r="R26" s="770"/>
      <c r="S26" s="771"/>
      <c r="T26" s="770"/>
      <c r="U26" s="771"/>
      <c r="V26" s="770"/>
      <c r="W26" s="771"/>
      <c r="X26" s="1806"/>
      <c r="Y26" s="3270"/>
      <c r="Z26" s="1807"/>
      <c r="AA26" s="1804">
        <v>1</v>
      </c>
      <c r="AB26" s="1804">
        <v>1</v>
      </c>
      <c r="AC26" s="1804">
        <v>1</v>
      </c>
    </row>
    <row r="27" spans="1:29" s="116" customFormat="1" ht="42.75">
      <c r="A27" s="646"/>
      <c r="B27" s="1378" t="s">
        <v>2643</v>
      </c>
      <c r="C27" s="2599" t="str">
        <f>估价对象房地状况!C21</f>
        <v>估价对象所在区域公共配套设施齐备情况</v>
      </c>
      <c r="D27" s="447">
        <v>100</v>
      </c>
      <c r="E27" s="449"/>
      <c r="F27" s="447">
        <f>SUMIF(100:100,E28,101:101)-SUMIF(100:100,C28,101:101)+100</f>
        <v>105</v>
      </c>
      <c r="G27" s="449"/>
      <c r="H27" s="447">
        <f>SUMIF(100:100,G28,101:101)-SUMIF(100:100,C28,101:101)+100</f>
        <v>105</v>
      </c>
      <c r="I27" s="449"/>
      <c r="J27" s="447">
        <f>SUMIF(100:100,I28,101:101)-SUMIF(100:100,C28,101:101)+100</f>
        <v>105</v>
      </c>
      <c r="K27" s="670">
        <f>'[4]土地比较法-住宅、综合'!$K$27</f>
        <v>5</v>
      </c>
      <c r="L27" s="1126"/>
      <c r="M27" s="1127"/>
      <c r="N27" s="1127"/>
      <c r="O27" s="1128"/>
      <c r="P27" s="3270"/>
      <c r="Q27" s="1788" t="str">
        <f t="shared" si="8"/>
        <v>公共配套设施</v>
      </c>
      <c r="R27" s="766" t="s">
        <v>17</v>
      </c>
      <c r="S27" s="767">
        <f>F27</f>
        <v>105</v>
      </c>
      <c r="T27" s="766" t="s">
        <v>17</v>
      </c>
      <c r="U27" s="767">
        <f>H27</f>
        <v>105</v>
      </c>
      <c r="V27" s="766" t="s">
        <v>17</v>
      </c>
      <c r="W27" s="767">
        <f>J27</f>
        <v>105</v>
      </c>
      <c r="X27" s="768"/>
      <c r="Y27" s="3270"/>
      <c r="Z27" s="55" t="str">
        <f>Q27</f>
        <v>公共配套设施</v>
      </c>
      <c r="AA27" s="1804">
        <f>D27/F27</f>
        <v>0.95238095238095233</v>
      </c>
      <c r="AB27" s="1804">
        <f>D27/H27</f>
        <v>0.95238095238095233</v>
      </c>
      <c r="AC27" s="1804">
        <f>D27/J27</f>
        <v>0.95238095238095233</v>
      </c>
    </row>
    <row r="28" spans="1:29" s="116" customFormat="1" ht="15">
      <c r="A28" s="646"/>
      <c r="B28" s="453"/>
      <c r="C28" s="2690" t="s">
        <v>3098</v>
      </c>
      <c r="D28" s="445"/>
      <c r="E28" s="2597" t="s">
        <v>3100</v>
      </c>
      <c r="F28" s="445"/>
      <c r="G28" s="2597" t="s">
        <v>3100</v>
      </c>
      <c r="H28" s="445"/>
      <c r="I28" s="2597" t="s">
        <v>3100</v>
      </c>
      <c r="J28" s="445"/>
      <c r="K28" s="669"/>
      <c r="L28" s="1126"/>
      <c r="M28" s="1127"/>
      <c r="N28" s="1127"/>
      <c r="O28" s="1128"/>
      <c r="P28" s="3270"/>
      <c r="Q28" s="1788"/>
      <c r="R28" s="766"/>
      <c r="S28" s="767"/>
      <c r="T28" s="766"/>
      <c r="U28" s="767"/>
      <c r="V28" s="766"/>
      <c r="W28" s="767"/>
      <c r="X28" s="768"/>
      <c r="Y28" s="3270"/>
      <c r="Z28" s="55"/>
      <c r="AA28" s="1804">
        <v>1</v>
      </c>
      <c r="AB28" s="1804">
        <v>1</v>
      </c>
      <c r="AC28" s="1804">
        <v>1</v>
      </c>
    </row>
    <row r="29" spans="1:29" s="116" customFormat="1" ht="28.5">
      <c r="A29" s="646"/>
      <c r="B29" s="1378" t="s">
        <v>2644</v>
      </c>
      <c r="C29" s="2599" t="str">
        <f>估价对象房地状况!C22</f>
        <v>估价对象所在区域基础设施水平</v>
      </c>
      <c r="D29" s="447">
        <v>100</v>
      </c>
      <c r="E29" s="449"/>
      <c r="F29" s="447">
        <f>SUMIF(102:102,E30,103:103)-SUMIF(102:102,C30,103:103)+100</f>
        <v>100</v>
      </c>
      <c r="G29" s="449"/>
      <c r="H29" s="447">
        <f>SUMIF(102:102,G30,103:103)-SUMIF(102:102,C30,103:103)+100</f>
        <v>100</v>
      </c>
      <c r="I29" s="449"/>
      <c r="J29" s="447">
        <f>SUMIF(102:102,I30,103:103)-SUMIF(102:102,C30,103:103)+100</f>
        <v>100</v>
      </c>
      <c r="K29" s="670">
        <f>'[4]土地比较法-住宅、综合'!$K$29</f>
        <v>2</v>
      </c>
      <c r="L29" s="1126"/>
      <c r="M29" s="1127"/>
      <c r="N29" s="1127"/>
      <c r="O29" s="1128"/>
      <c r="P29" s="3270"/>
      <c r="Q29" s="1788" t="str">
        <f>B29</f>
        <v>基础设施水平</v>
      </c>
      <c r="R29" s="766" t="s">
        <v>17</v>
      </c>
      <c r="S29" s="767">
        <f>F29</f>
        <v>100</v>
      </c>
      <c r="T29" s="766" t="s">
        <v>17</v>
      </c>
      <c r="U29" s="767">
        <f>H29</f>
        <v>100</v>
      </c>
      <c r="V29" s="766" t="s">
        <v>17</v>
      </c>
      <c r="W29" s="767">
        <f>J29</f>
        <v>100</v>
      </c>
      <c r="X29" s="768"/>
      <c r="Y29" s="3270"/>
      <c r="Z29" s="55" t="str">
        <f>Q29</f>
        <v>基础设施水平</v>
      </c>
      <c r="AA29" s="1804">
        <f>D29/F29</f>
        <v>1</v>
      </c>
      <c r="AB29" s="1804">
        <f>D29/H29</f>
        <v>1</v>
      </c>
      <c r="AC29" s="1804">
        <f>D29/J29</f>
        <v>1</v>
      </c>
    </row>
    <row r="30" spans="1:29" s="116" customFormat="1" ht="15.75" thickBot="1">
      <c r="A30" s="646"/>
      <c r="B30" s="453"/>
      <c r="C30" s="2690" t="s">
        <v>3099</v>
      </c>
      <c r="D30" s="445"/>
      <c r="E30" s="2690" t="s">
        <v>3099</v>
      </c>
      <c r="F30" s="445"/>
      <c r="G30" s="2690" t="s">
        <v>3099</v>
      </c>
      <c r="H30" s="445"/>
      <c r="I30" s="2690" t="s">
        <v>3099</v>
      </c>
      <c r="J30" s="445"/>
      <c r="K30" s="669"/>
      <c r="L30" s="1126"/>
      <c r="M30" s="1127"/>
      <c r="N30" s="1127"/>
      <c r="O30" s="1128"/>
      <c r="P30" s="3270"/>
      <c r="Q30" s="1788"/>
      <c r="R30" s="766"/>
      <c r="S30" s="767"/>
      <c r="T30" s="766"/>
      <c r="U30" s="767"/>
      <c r="V30" s="766"/>
      <c r="W30" s="767"/>
      <c r="X30" s="768"/>
      <c r="Y30" s="3270"/>
      <c r="Z30" s="55"/>
      <c r="AA30" s="1804">
        <v>1</v>
      </c>
      <c r="AB30" s="1804">
        <v>1</v>
      </c>
      <c r="AC30" s="1804">
        <v>1</v>
      </c>
    </row>
    <row r="31" spans="1:29" ht="15" hidden="1">
      <c r="A31" s="425"/>
      <c r="B31" s="453" t="s">
        <v>2645</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4"/>
      <c r="M31" s="1125"/>
      <c r="N31" s="1125"/>
      <c r="O31" s="1133"/>
      <c r="P31" s="3270"/>
      <c r="Q31" s="1803" t="str">
        <f t="shared" si="8"/>
        <v>临街状况</v>
      </c>
      <c r="R31" s="770" t="s">
        <v>17</v>
      </c>
      <c r="S31" s="771">
        <f t="shared" ref="S31:S45" si="9">F31</f>
        <v>100</v>
      </c>
      <c r="T31" s="770" t="s">
        <v>17</v>
      </c>
      <c r="U31" s="771">
        <f t="shared" ref="U31:U45" si="10">H31</f>
        <v>100</v>
      </c>
      <c r="V31" s="770" t="s">
        <v>17</v>
      </c>
      <c r="W31" s="771">
        <f t="shared" ref="W31:W45" si="11">J31</f>
        <v>100</v>
      </c>
      <c r="X31" s="1806"/>
      <c r="Y31" s="3270"/>
      <c r="Z31" s="1807" t="str">
        <f t="shared" ref="Z31:Z45" si="12">Q31</f>
        <v>临街状况</v>
      </c>
      <c r="AA31" s="1804">
        <f t="shared" si="3"/>
        <v>1</v>
      </c>
      <c r="AB31" s="1804">
        <f t="shared" si="4"/>
        <v>1</v>
      </c>
      <c r="AC31" s="1804">
        <f t="shared" si="5"/>
        <v>1</v>
      </c>
    </row>
    <row r="32" spans="1:29" ht="27" hidden="1">
      <c r="A32" s="425"/>
      <c r="B32" s="1378" t="s">
        <v>2680</v>
      </c>
      <c r="C32" s="2979" t="s">
        <v>3676</v>
      </c>
      <c r="D32" s="447">
        <v>100</v>
      </c>
      <c r="E32" s="449"/>
      <c r="F32" s="447">
        <f>SUMIF(106:106,E33,107:107)-SUMIF(106:106,C33,107:107)+100</f>
        <v>100</v>
      </c>
      <c r="G32" s="449"/>
      <c r="H32" s="447">
        <f>SUMIF(106:106,G33,107:107)-SUMIF(106:106,C33,107:107)+100</f>
        <v>100</v>
      </c>
      <c r="I32" s="451"/>
      <c r="J32" s="447">
        <f>SUMIF(106:106,I33,107:107)-SUMIF(106:106,C33,107:107)+100</f>
        <v>100</v>
      </c>
      <c r="K32" s="670"/>
      <c r="L32" s="1134"/>
      <c r="M32" s="1125"/>
      <c r="N32" s="1125"/>
      <c r="O32" s="1133"/>
      <c r="P32" s="3270"/>
      <c r="Q32" s="1803" t="str">
        <f t="shared" si="8"/>
        <v>毗邻道路的类型与等级</v>
      </c>
      <c r="R32" s="770" t="s">
        <v>17</v>
      </c>
      <c r="S32" s="771">
        <f t="shared" si="9"/>
        <v>100</v>
      </c>
      <c r="T32" s="770" t="s">
        <v>17</v>
      </c>
      <c r="U32" s="771">
        <f t="shared" si="10"/>
        <v>100</v>
      </c>
      <c r="V32" s="770" t="s">
        <v>17</v>
      </c>
      <c r="W32" s="771">
        <f t="shared" si="11"/>
        <v>100</v>
      </c>
      <c r="X32" s="1806"/>
      <c r="Y32" s="3270"/>
      <c r="Z32" s="1807" t="str">
        <f t="shared" si="12"/>
        <v>毗邻道路的类型与等级</v>
      </c>
      <c r="AA32" s="1804">
        <f t="shared" si="3"/>
        <v>1</v>
      </c>
      <c r="AB32" s="1804">
        <f t="shared" si="4"/>
        <v>1</v>
      </c>
      <c r="AC32" s="1804">
        <f t="shared" si="5"/>
        <v>1</v>
      </c>
    </row>
    <row r="33" spans="1:29" ht="15" hidden="1">
      <c r="A33" s="425"/>
      <c r="B33" s="453"/>
      <c r="C33" s="444"/>
      <c r="D33" s="445"/>
      <c r="E33" s="2603"/>
      <c r="F33" s="445"/>
      <c r="G33" s="2603"/>
      <c r="H33" s="445"/>
      <c r="I33" s="444"/>
      <c r="J33" s="445"/>
      <c r="K33" s="610"/>
      <c r="L33" s="1134"/>
      <c r="M33" s="1125"/>
      <c r="N33" s="1125"/>
      <c r="O33" s="1133"/>
      <c r="P33" s="3270"/>
      <c r="Q33" s="1803"/>
      <c r="R33" s="770"/>
      <c r="S33" s="771"/>
      <c r="T33" s="770"/>
      <c r="U33" s="771"/>
      <c r="V33" s="770"/>
      <c r="W33" s="771"/>
      <c r="X33" s="1806"/>
      <c r="Y33" s="3270"/>
      <c r="Z33" s="1807"/>
      <c r="AA33" s="1804">
        <v>1</v>
      </c>
      <c r="AB33" s="1804">
        <v>1</v>
      </c>
      <c r="AC33" s="1804">
        <v>1</v>
      </c>
    </row>
    <row r="34" spans="1:29" ht="15" hidden="1">
      <c r="A34" s="425"/>
      <c r="B34" s="419" t="s">
        <v>2739</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4"/>
      <c r="M34" s="1125"/>
      <c r="N34" s="1125"/>
      <c r="O34" s="1133"/>
      <c r="P34" s="3270"/>
      <c r="Q34" s="1803" t="str">
        <f t="shared" si="8"/>
        <v>土地级别</v>
      </c>
      <c r="R34" s="770" t="s">
        <v>17</v>
      </c>
      <c r="S34" s="771">
        <f t="shared" si="9"/>
        <v>100</v>
      </c>
      <c r="T34" s="770" t="s">
        <v>17</v>
      </c>
      <c r="U34" s="771">
        <f t="shared" si="10"/>
        <v>100</v>
      </c>
      <c r="V34" s="770" t="s">
        <v>17</v>
      </c>
      <c r="W34" s="771">
        <f t="shared" si="11"/>
        <v>100</v>
      </c>
      <c r="X34" s="1806"/>
      <c r="Y34" s="3270"/>
      <c r="Z34" s="1807" t="str">
        <f t="shared" si="12"/>
        <v>土地级别</v>
      </c>
      <c r="AA34" s="1804">
        <f t="shared" si="3"/>
        <v>1</v>
      </c>
      <c r="AB34" s="1804">
        <f t="shared" si="4"/>
        <v>1</v>
      </c>
      <c r="AC34" s="1804">
        <f t="shared" si="5"/>
        <v>1</v>
      </c>
    </row>
    <row r="35" spans="1:29" ht="15" hidden="1">
      <c r="A35" s="401"/>
      <c r="B35" s="1380"/>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4"/>
      <c r="M35" s="1125"/>
      <c r="N35" s="1125"/>
      <c r="O35" s="1133"/>
      <c r="P35" s="3270"/>
      <c r="Q35" s="1803">
        <f t="shared" si="8"/>
        <v>0</v>
      </c>
      <c r="R35" s="770" t="s">
        <v>17</v>
      </c>
      <c r="S35" s="771">
        <f t="shared" si="9"/>
        <v>100</v>
      </c>
      <c r="T35" s="770" t="s">
        <v>17</v>
      </c>
      <c r="U35" s="771">
        <f t="shared" si="10"/>
        <v>100</v>
      </c>
      <c r="V35" s="770" t="s">
        <v>17</v>
      </c>
      <c r="W35" s="771">
        <f t="shared" si="11"/>
        <v>100</v>
      </c>
      <c r="X35" s="1806"/>
      <c r="Y35" s="3270"/>
      <c r="Z35" s="1807">
        <f t="shared" si="12"/>
        <v>0</v>
      </c>
      <c r="AA35" s="1804">
        <f t="shared" si="3"/>
        <v>1</v>
      </c>
      <c r="AB35" s="1804">
        <f t="shared" si="4"/>
        <v>1</v>
      </c>
      <c r="AC35" s="1804">
        <f t="shared" si="5"/>
        <v>1</v>
      </c>
    </row>
    <row r="36" spans="1:29" ht="15" hidden="1">
      <c r="A36" s="672"/>
      <c r="B36" s="1381"/>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4"/>
      <c r="M36" s="1125"/>
      <c r="N36" s="1125"/>
      <c r="O36" s="1133"/>
      <c r="P36" s="3271" t="s">
        <v>2554</v>
      </c>
      <c r="Q36" s="1803">
        <f t="shared" si="8"/>
        <v>0</v>
      </c>
      <c r="R36" s="770" t="s">
        <v>17</v>
      </c>
      <c r="S36" s="771">
        <f t="shared" si="9"/>
        <v>100</v>
      </c>
      <c r="T36" s="770" t="s">
        <v>17</v>
      </c>
      <c r="U36" s="771">
        <f t="shared" si="10"/>
        <v>100</v>
      </c>
      <c r="V36" s="770" t="s">
        <v>17</v>
      </c>
      <c r="W36" s="771">
        <f t="shared" si="11"/>
        <v>100</v>
      </c>
      <c r="X36" s="1806"/>
      <c r="Y36" s="3272" t="s">
        <v>2554</v>
      </c>
      <c r="Z36" s="1807">
        <f t="shared" si="12"/>
        <v>0</v>
      </c>
      <c r="AA36" s="1804">
        <f t="shared" si="3"/>
        <v>1</v>
      </c>
      <c r="AB36" s="1804">
        <f t="shared" si="4"/>
        <v>1</v>
      </c>
      <c r="AC36" s="1804">
        <f t="shared" si="5"/>
        <v>1</v>
      </c>
    </row>
    <row r="37" spans="1:29" s="468" customFormat="1" ht="15.75" hidden="1" thickBot="1">
      <c r="A37" s="673"/>
      <c r="B37" s="1382"/>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2"/>
      <c r="M37" s="1135"/>
      <c r="N37" s="1135"/>
      <c r="O37" s="1136"/>
      <c r="P37" s="3272"/>
      <c r="Q37" s="1803">
        <f t="shared" si="8"/>
        <v>0</v>
      </c>
      <c r="R37" s="773" t="s">
        <v>17</v>
      </c>
      <c r="S37" s="774">
        <f t="shared" si="9"/>
        <v>100</v>
      </c>
      <c r="T37" s="773" t="s">
        <v>17</v>
      </c>
      <c r="U37" s="774">
        <f t="shared" si="10"/>
        <v>100</v>
      </c>
      <c r="V37" s="773" t="s">
        <v>17</v>
      </c>
      <c r="W37" s="774">
        <f t="shared" si="11"/>
        <v>100</v>
      </c>
      <c r="X37" s="775"/>
      <c r="Y37" s="3272"/>
      <c r="Z37" s="776">
        <f t="shared" si="12"/>
        <v>0</v>
      </c>
      <c r="AA37" s="1804">
        <f t="shared" si="3"/>
        <v>1</v>
      </c>
      <c r="AB37" s="1804">
        <f t="shared" si="4"/>
        <v>1</v>
      </c>
      <c r="AC37" s="1804">
        <f t="shared" si="5"/>
        <v>1</v>
      </c>
    </row>
    <row r="38" spans="1:29" ht="15">
      <c r="A38" s="469" t="s">
        <v>2552</v>
      </c>
      <c r="B38" s="453" t="s">
        <v>2740</v>
      </c>
      <c r="C38" s="676">
        <f>[4]抵押物汇总!$H$13</f>
        <v>563129</v>
      </c>
      <c r="D38" s="464">
        <v>100</v>
      </c>
      <c r="E38" s="676">
        <f>土地案例!I26</f>
        <v>86055</v>
      </c>
      <c r="F38" s="464">
        <f>LOOKUP(E38,117:117,118:118)-LOOKUP(C38,117:117,118:118)+100</f>
        <v>100</v>
      </c>
      <c r="G38" s="676">
        <f>土地案例!I77</f>
        <v>48320</v>
      </c>
      <c r="H38" s="464">
        <f>LOOKUP(G38,117:117,118:118)-LOOKUP(C38,117:117,118:118)+100</f>
        <v>100</v>
      </c>
      <c r="I38" s="527">
        <f>土地案例!I79</f>
        <v>32427</v>
      </c>
      <c r="J38" s="464">
        <f>LOOKUP(I38,117:117,118:118)-LOOKUP(C38,117:117,118:118)+100</f>
        <v>100</v>
      </c>
      <c r="K38" s="610"/>
      <c r="L38" s="1134"/>
      <c r="M38" s="1125"/>
      <c r="N38" s="1125"/>
      <c r="O38" s="1133"/>
      <c r="P38" s="3272"/>
      <c r="Q38" s="1803" t="str">
        <f>B38</f>
        <v>宗地面积</v>
      </c>
      <c r="R38" s="770" t="s">
        <v>17</v>
      </c>
      <c r="S38" s="771">
        <f t="shared" si="9"/>
        <v>100</v>
      </c>
      <c r="T38" s="770" t="s">
        <v>17</v>
      </c>
      <c r="U38" s="771">
        <f t="shared" si="10"/>
        <v>100</v>
      </c>
      <c r="V38" s="770" t="s">
        <v>17</v>
      </c>
      <c r="W38" s="771">
        <f t="shared" si="11"/>
        <v>100</v>
      </c>
      <c r="X38" s="1806"/>
      <c r="Y38" s="3272"/>
      <c r="Z38" s="1807" t="str">
        <f t="shared" si="12"/>
        <v>宗地面积</v>
      </c>
      <c r="AA38" s="1804">
        <f t="shared" si="3"/>
        <v>1</v>
      </c>
      <c r="AB38" s="1804">
        <f t="shared" si="4"/>
        <v>1</v>
      </c>
      <c r="AC38" s="1804">
        <f t="shared" si="5"/>
        <v>1</v>
      </c>
    </row>
    <row r="39" spans="1:29" ht="15">
      <c r="A39" s="469"/>
      <c r="B39" s="419" t="s">
        <v>2741</v>
      </c>
      <c r="C39" s="2605" t="s">
        <v>3642</v>
      </c>
      <c r="D39" s="432">
        <v>100</v>
      </c>
      <c r="E39" s="2605" t="s">
        <v>3640</v>
      </c>
      <c r="F39" s="432">
        <f>SUMIF(119:119,E39,120:120)-SUMIF(119:119,C39,120:120)+100</f>
        <v>102</v>
      </c>
      <c r="G39" s="2605" t="s">
        <v>3640</v>
      </c>
      <c r="H39" s="432">
        <f>SUMIF(119:119,G39,120:120)-SUMIF(119:119,C39,120:120)+100</f>
        <v>102</v>
      </c>
      <c r="I39" s="2605" t="s">
        <v>3640</v>
      </c>
      <c r="J39" s="432">
        <f>SUMIF(119:119,I39,120:120)-SUMIF(119:119,C39,120:120)+100</f>
        <v>102</v>
      </c>
      <c r="K39" s="609">
        <v>2</v>
      </c>
      <c r="L39" s="1134"/>
      <c r="M39" s="1125"/>
      <c r="N39" s="1125"/>
      <c r="O39" s="1133"/>
      <c r="P39" s="3272"/>
      <c r="Q39" s="1803" t="str">
        <f t="shared" ref="Q39:Q45" si="13">B39</f>
        <v>宗地形状</v>
      </c>
      <c r="R39" s="770" t="s">
        <v>17</v>
      </c>
      <c r="S39" s="771">
        <f t="shared" si="9"/>
        <v>102</v>
      </c>
      <c r="T39" s="770" t="s">
        <v>17</v>
      </c>
      <c r="U39" s="771">
        <f t="shared" si="10"/>
        <v>102</v>
      </c>
      <c r="V39" s="770" t="s">
        <v>17</v>
      </c>
      <c r="W39" s="771">
        <f t="shared" si="11"/>
        <v>102</v>
      </c>
      <c r="X39" s="1806"/>
      <c r="Y39" s="3272"/>
      <c r="Z39" s="1807" t="str">
        <f t="shared" si="12"/>
        <v>宗地形状</v>
      </c>
      <c r="AA39" s="1804">
        <f t="shared" si="3"/>
        <v>0.98039215686274506</v>
      </c>
      <c r="AB39" s="1804">
        <f t="shared" si="4"/>
        <v>0.98039215686274506</v>
      </c>
      <c r="AC39" s="1804">
        <f t="shared" si="5"/>
        <v>0.98039215686274506</v>
      </c>
    </row>
    <row r="40" spans="1:29" ht="15">
      <c r="A40" s="469"/>
      <c r="B40" s="419" t="s">
        <v>2742</v>
      </c>
      <c r="C40" s="2605"/>
      <c r="D40" s="432">
        <v>100</v>
      </c>
      <c r="E40" s="2605"/>
      <c r="F40" s="432">
        <f>SUMIF(121:121,E40,122:122)-SUMIF(121:121,C40,122:122)+100</f>
        <v>100</v>
      </c>
      <c r="G40" s="2605"/>
      <c r="H40" s="432">
        <f>SUMIF(121:121,G40,122:122)-SUMIF(121:121,C40,122:122)+100</f>
        <v>100</v>
      </c>
      <c r="I40" s="2605"/>
      <c r="J40" s="432">
        <f>SUMIF(121:121,I40,122:122)-SUMIF(121:121,C40,122:122)+100</f>
        <v>100</v>
      </c>
      <c r="K40" s="609">
        <v>2</v>
      </c>
      <c r="L40" s="1134"/>
      <c r="M40" s="1125"/>
      <c r="N40" s="1125"/>
      <c r="O40" s="1133"/>
      <c r="P40" s="3272"/>
      <c r="Q40" s="1803" t="str">
        <f t="shared" si="13"/>
        <v>临街宽度及深度</v>
      </c>
      <c r="R40" s="770" t="s">
        <v>17</v>
      </c>
      <c r="S40" s="771">
        <f t="shared" si="9"/>
        <v>100</v>
      </c>
      <c r="T40" s="770" t="s">
        <v>17</v>
      </c>
      <c r="U40" s="771">
        <f t="shared" si="10"/>
        <v>100</v>
      </c>
      <c r="V40" s="770" t="s">
        <v>17</v>
      </c>
      <c r="W40" s="771">
        <f t="shared" si="11"/>
        <v>100</v>
      </c>
      <c r="X40" s="1806"/>
      <c r="Y40" s="3272"/>
      <c r="Z40" s="1807" t="str">
        <f t="shared" si="12"/>
        <v>临街宽度及深度</v>
      </c>
      <c r="AA40" s="1804">
        <f t="shared" si="3"/>
        <v>1</v>
      </c>
      <c r="AB40" s="1804">
        <f t="shared" si="4"/>
        <v>1</v>
      </c>
      <c r="AC40" s="1804">
        <f t="shared" si="5"/>
        <v>1</v>
      </c>
    </row>
    <row r="41" spans="1:29" s="116" customFormat="1" ht="15">
      <c r="A41" s="470"/>
      <c r="B41" s="419" t="s">
        <v>2743</v>
      </c>
      <c r="C41" s="2692" t="s">
        <v>3647</v>
      </c>
      <c r="D41" s="133">
        <v>100</v>
      </c>
      <c r="E41" s="2692" t="s">
        <v>3647</v>
      </c>
      <c r="F41" s="432">
        <f>SUMIF(123:123,E41,124:124)-SUMIF(123:123,C41,124:124)+100</f>
        <v>100</v>
      </c>
      <c r="G41" s="2692" t="s">
        <v>3647</v>
      </c>
      <c r="H41" s="432">
        <f>SUMIF(123:123,G41,124:124)-SUMIF(123:123,C41,124:124)+100</f>
        <v>100</v>
      </c>
      <c r="I41" s="2692" t="s">
        <v>3647</v>
      </c>
      <c r="J41" s="432">
        <f>SUMIF(123:123,I41,124:124)-SUMIF(123:123,C41,124:124)+100</f>
        <v>100</v>
      </c>
      <c r="K41" s="609">
        <v>2</v>
      </c>
      <c r="L41" s="1126"/>
      <c r="M41" s="1127"/>
      <c r="N41" s="1127"/>
      <c r="O41" s="1128"/>
      <c r="P41" s="3272"/>
      <c r="Q41" s="1803" t="str">
        <f t="shared" si="13"/>
        <v>宗地开发程度</v>
      </c>
      <c r="R41" s="766" t="s">
        <v>17</v>
      </c>
      <c r="S41" s="767">
        <f t="shared" si="9"/>
        <v>100</v>
      </c>
      <c r="T41" s="766" t="s">
        <v>17</v>
      </c>
      <c r="U41" s="767">
        <f t="shared" si="10"/>
        <v>100</v>
      </c>
      <c r="V41" s="766" t="s">
        <v>17</v>
      </c>
      <c r="W41" s="767">
        <f t="shared" si="11"/>
        <v>100</v>
      </c>
      <c r="X41" s="768"/>
      <c r="Y41" s="3272"/>
      <c r="Z41" s="55" t="str">
        <f t="shared" si="12"/>
        <v>宗地开发程度</v>
      </c>
      <c r="AA41" s="769">
        <f t="shared" si="3"/>
        <v>1</v>
      </c>
      <c r="AB41" s="769">
        <f t="shared" si="4"/>
        <v>1</v>
      </c>
      <c r="AC41" s="769">
        <f t="shared" si="5"/>
        <v>1</v>
      </c>
    </row>
    <row r="42" spans="1:29" ht="15">
      <c r="A42" s="469"/>
      <c r="B42" s="419" t="s">
        <v>2744</v>
      </c>
      <c r="C42" s="2605" t="s">
        <v>3100</v>
      </c>
      <c r="D42" s="432">
        <v>100</v>
      </c>
      <c r="E42" s="2605" t="s">
        <v>3100</v>
      </c>
      <c r="F42" s="432">
        <f>SUMIF(125:125,E42,126:126)-SUMIF(125:125,C42,126:126)+100</f>
        <v>100</v>
      </c>
      <c r="G42" s="2605" t="s">
        <v>3100</v>
      </c>
      <c r="H42" s="432">
        <f>SUMIF(125:125,G42,126:126)-SUMIF(125:125,C42,126:126)+100</f>
        <v>100</v>
      </c>
      <c r="I42" s="2605" t="s">
        <v>3100</v>
      </c>
      <c r="J42" s="432">
        <f>SUMIF(125:125,I42,126:126)-SUMIF(125:125,C42,126:126)+100</f>
        <v>100</v>
      </c>
      <c r="K42" s="609">
        <v>2</v>
      </c>
      <c r="L42" s="1134"/>
      <c r="M42" s="1125"/>
      <c r="N42" s="1125"/>
      <c r="O42" s="1133"/>
      <c r="P42" s="3272" t="s">
        <v>2554</v>
      </c>
      <c r="Q42" s="1803" t="str">
        <f t="shared" si="13"/>
        <v>工程地质条件</v>
      </c>
      <c r="R42" s="770" t="s">
        <v>17</v>
      </c>
      <c r="S42" s="771">
        <f t="shared" si="9"/>
        <v>100</v>
      </c>
      <c r="T42" s="770" t="s">
        <v>17</v>
      </c>
      <c r="U42" s="771">
        <f t="shared" si="10"/>
        <v>100</v>
      </c>
      <c r="V42" s="770" t="s">
        <v>17</v>
      </c>
      <c r="W42" s="771">
        <f t="shared" si="11"/>
        <v>100</v>
      </c>
      <c r="X42" s="1806"/>
      <c r="Y42" s="3272" t="s">
        <v>2554</v>
      </c>
      <c r="Z42" s="1807" t="str">
        <f t="shared" si="12"/>
        <v>工程地质条件</v>
      </c>
      <c r="AA42" s="1804">
        <f t="shared" si="3"/>
        <v>1</v>
      </c>
      <c r="AB42" s="1804">
        <f t="shared" si="4"/>
        <v>1</v>
      </c>
      <c r="AC42" s="1804">
        <f t="shared" si="5"/>
        <v>1</v>
      </c>
    </row>
    <row r="43" spans="1:29" ht="15.75" thickBot="1">
      <c r="A43" s="469"/>
      <c r="B43" s="2984" t="s">
        <v>3681</v>
      </c>
      <c r="C43" s="671" t="str">
        <f>D127</f>
        <v>较大/较小</v>
      </c>
      <c r="D43" s="432">
        <v>100</v>
      </c>
      <c r="E43" s="671" t="str">
        <f>C127</f>
        <v>适中</v>
      </c>
      <c r="F43" s="432">
        <f>SUMIF(127:127,E43,128:128)-SUMIF(127:127,C43,128:128)+100</f>
        <v>102</v>
      </c>
      <c r="G43" s="671" t="str">
        <f>C127</f>
        <v>适中</v>
      </c>
      <c r="H43" s="432">
        <f>SUMIF(127:127,G43,128:128)-SUMIF(127:127,C43,128:128)+100</f>
        <v>102</v>
      </c>
      <c r="I43" s="546" t="str">
        <f>C127</f>
        <v>适中</v>
      </c>
      <c r="J43" s="432">
        <f>SUMIF(127:127,I43,128:128)-SUMIF(127:127,C43,128:128)+100</f>
        <v>102</v>
      </c>
      <c r="K43" s="610"/>
      <c r="L43" s="1134"/>
      <c r="M43" s="1125"/>
      <c r="N43" s="1125"/>
      <c r="O43" s="1133"/>
      <c r="P43" s="3272"/>
      <c r="Q43" s="1803" t="str">
        <f t="shared" si="13"/>
        <v>宗地面积</v>
      </c>
      <c r="R43" s="770" t="s">
        <v>17</v>
      </c>
      <c r="S43" s="771">
        <f t="shared" si="9"/>
        <v>102</v>
      </c>
      <c r="T43" s="770" t="s">
        <v>17</v>
      </c>
      <c r="U43" s="771">
        <f t="shared" si="10"/>
        <v>102</v>
      </c>
      <c r="V43" s="770" t="s">
        <v>17</v>
      </c>
      <c r="W43" s="771">
        <f t="shared" si="11"/>
        <v>102</v>
      </c>
      <c r="X43" s="1806"/>
      <c r="Y43" s="3272"/>
      <c r="Z43" s="1807" t="str">
        <f t="shared" si="12"/>
        <v>宗地面积</v>
      </c>
      <c r="AA43" s="1804">
        <f t="shared" si="3"/>
        <v>0.98039215686274506</v>
      </c>
      <c r="AB43" s="1804">
        <f t="shared" si="4"/>
        <v>0.98039215686274506</v>
      </c>
      <c r="AC43" s="1804">
        <f t="shared" si="5"/>
        <v>0.98039215686274506</v>
      </c>
    </row>
    <row r="44" spans="1:29" ht="15" hidden="1">
      <c r="A44" s="469"/>
      <c r="B44" s="1381"/>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4"/>
      <c r="M44" s="1125"/>
      <c r="N44" s="1125"/>
      <c r="O44" s="1133"/>
      <c r="P44" s="3272"/>
      <c r="Q44" s="1803">
        <f t="shared" si="13"/>
        <v>0</v>
      </c>
      <c r="R44" s="770" t="s">
        <v>17</v>
      </c>
      <c r="S44" s="771">
        <f t="shared" si="9"/>
        <v>100</v>
      </c>
      <c r="T44" s="770" t="s">
        <v>17</v>
      </c>
      <c r="U44" s="771">
        <f t="shared" si="10"/>
        <v>100</v>
      </c>
      <c r="V44" s="770" t="s">
        <v>17</v>
      </c>
      <c r="W44" s="771">
        <f t="shared" si="11"/>
        <v>100</v>
      </c>
      <c r="X44" s="1806"/>
      <c r="Y44" s="3272"/>
      <c r="Z44" s="1807">
        <f t="shared" si="12"/>
        <v>0</v>
      </c>
      <c r="AA44" s="1804">
        <f t="shared" si="3"/>
        <v>1</v>
      </c>
      <c r="AB44" s="1804">
        <f t="shared" si="4"/>
        <v>1</v>
      </c>
      <c r="AC44" s="1804">
        <f t="shared" si="5"/>
        <v>1</v>
      </c>
    </row>
    <row r="45" spans="1:29" s="468" customFormat="1" ht="82.5" hidden="1" thickBot="1">
      <c r="A45" s="465"/>
      <c r="B45" s="1381"/>
      <c r="C45" s="2693"/>
      <c r="D45" s="677">
        <v>100</v>
      </c>
      <c r="E45" s="671" t="s">
        <v>3658</v>
      </c>
      <c r="F45" s="435">
        <f>SUMIF(131:131,E45,132:132)-SUMIF(131:131,C45,132:132)+100</f>
        <v>100</v>
      </c>
      <c r="G45" s="671"/>
      <c r="H45" s="435">
        <f>SUMIF(131:131,G45,132:132)-SUMIF(131:131,C45,132:132)+100</f>
        <v>100</v>
      </c>
      <c r="I45" s="671"/>
      <c r="J45" s="435">
        <f>SUMIF(131:131,I45,132:132)-SUMIF(131:131,C45,132:132)+100</f>
        <v>100</v>
      </c>
      <c r="K45" s="678"/>
      <c r="L45" s="1132"/>
      <c r="M45" s="1135"/>
      <c r="N45" s="1135"/>
      <c r="O45" s="1136"/>
      <c r="P45" s="3272"/>
      <c r="Q45" s="1803">
        <f t="shared" si="13"/>
        <v>0</v>
      </c>
      <c r="R45" s="773" t="s">
        <v>17</v>
      </c>
      <c r="S45" s="774">
        <f t="shared" si="9"/>
        <v>100</v>
      </c>
      <c r="T45" s="773" t="s">
        <v>17</v>
      </c>
      <c r="U45" s="774">
        <f t="shared" si="10"/>
        <v>100</v>
      </c>
      <c r="V45" s="773" t="s">
        <v>17</v>
      </c>
      <c r="W45" s="774">
        <f t="shared" si="11"/>
        <v>100</v>
      </c>
      <c r="X45" s="775"/>
      <c r="Y45" s="3272"/>
      <c r="Z45" s="776">
        <f t="shared" si="12"/>
        <v>0</v>
      </c>
      <c r="AA45" s="1804">
        <f t="shared" si="3"/>
        <v>1</v>
      </c>
      <c r="AB45" s="1804">
        <f t="shared" si="4"/>
        <v>1</v>
      </c>
      <c r="AC45" s="1804">
        <f t="shared" si="5"/>
        <v>1</v>
      </c>
    </row>
    <row r="46" spans="1:29" ht="15">
      <c r="A46" s="476" t="s">
        <v>2709</v>
      </c>
      <c r="B46" s="2694" t="s">
        <v>2745</v>
      </c>
      <c r="C46" s="679" t="s">
        <v>1</v>
      </c>
      <c r="D46" s="478"/>
      <c r="E46" s="479">
        <f>ROUNDDOWN(土地案例!Q26,0)</f>
        <v>8017</v>
      </c>
      <c r="F46" s="480"/>
      <c r="G46" s="479">
        <f>ROUNDDOWN(土地案例!Q77,0)</f>
        <v>7301</v>
      </c>
      <c r="H46" s="482"/>
      <c r="I46" s="479">
        <f>ROUNDDOWN(土地案例!Q79,0)</f>
        <v>6999</v>
      </c>
      <c r="J46" s="482"/>
      <c r="K46" s="779"/>
      <c r="L46" s="1137"/>
      <c r="M46" s="1138"/>
      <c r="N46" s="1125"/>
      <c r="O46" s="1138"/>
      <c r="P46" s="3267" t="str">
        <f>A46</f>
        <v>成交单价</v>
      </c>
      <c r="Q46" s="3267"/>
      <c r="R46" s="3273">
        <f>E46</f>
        <v>8017</v>
      </c>
      <c r="S46" s="3273"/>
      <c r="T46" s="3273">
        <f>G46</f>
        <v>7301</v>
      </c>
      <c r="U46" s="3273"/>
      <c r="V46" s="3273">
        <f>I46</f>
        <v>6999</v>
      </c>
      <c r="W46" s="3273"/>
      <c r="X46" s="755"/>
      <c r="Y46" s="777"/>
      <c r="Z46" s="755"/>
      <c r="AA46" s="755"/>
      <c r="AB46" s="755"/>
      <c r="AC46" s="755"/>
    </row>
    <row r="47" spans="1:29" ht="15.75" thickBot="1">
      <c r="A47" s="483" t="s">
        <v>2658</v>
      </c>
      <c r="B47" s="680"/>
      <c r="C47" s="487">
        <f>R48</f>
        <v>6455</v>
      </c>
      <c r="D47" s="486"/>
      <c r="E47" s="487">
        <f>R47</f>
        <v>6639</v>
      </c>
      <c r="F47" s="488"/>
      <c r="G47" s="485">
        <f>T47</f>
        <v>6497</v>
      </c>
      <c r="H47" s="486"/>
      <c r="I47" s="487">
        <f>V47</f>
        <v>6228</v>
      </c>
      <c r="J47" s="486"/>
      <c r="K47" s="780"/>
      <c r="L47" s="1137"/>
      <c r="M47" s="1138"/>
      <c r="N47" s="1138"/>
      <c r="O47" s="1138"/>
      <c r="P47" s="3267" t="str">
        <f>A47</f>
        <v>比较价值（元/平方米）</v>
      </c>
      <c r="Q47" s="3267"/>
      <c r="R47" s="3260">
        <f>ROUND(PRODUCT(R46,AA7:AA45),0)</f>
        <v>6639</v>
      </c>
      <c r="S47" s="3260"/>
      <c r="T47" s="3260">
        <f>ROUND(PRODUCT(T46,AB7:AB45),0)</f>
        <v>6497</v>
      </c>
      <c r="U47" s="3260"/>
      <c r="V47" s="3260">
        <f>ROUND(PRODUCT(V46,AC7:AC45),0)</f>
        <v>6228</v>
      </c>
      <c r="W47" s="3260"/>
      <c r="X47" s="755"/>
      <c r="Y47" s="755"/>
      <c r="Z47" s="755"/>
      <c r="AA47" s="755"/>
      <c r="AB47" s="755"/>
      <c r="AC47" s="755"/>
    </row>
    <row r="48" spans="1:29" ht="15.75" thickBot="1">
      <c r="A48" s="489" t="s">
        <v>2746</v>
      </c>
      <c r="B48" s="490"/>
      <c r="C48" s="491">
        <f>R48</f>
        <v>6455</v>
      </c>
      <c r="D48" s="491"/>
      <c r="E48" s="491"/>
      <c r="F48" s="491"/>
      <c r="G48" s="491"/>
      <c r="H48" s="491"/>
      <c r="I48" s="491"/>
      <c r="J48" s="491"/>
      <c r="K48" s="781"/>
      <c r="L48" s="1137"/>
      <c r="M48" s="1138"/>
      <c r="N48" s="1138"/>
      <c r="O48" s="1138"/>
      <c r="P48" s="3261" t="str">
        <f>A48</f>
        <v>估价对象XX用房的比较价值（楼面单价，元/平方米）</v>
      </c>
      <c r="Q48" s="3262"/>
      <c r="R48" s="3263">
        <f>ROUND(AVERAGE(R47:V47),0)</f>
        <v>6455</v>
      </c>
      <c r="S48" s="3263"/>
      <c r="T48" s="3263"/>
      <c r="U48" s="3263"/>
      <c r="V48" s="3263"/>
      <c r="W48" s="3263"/>
      <c r="X48" s="755"/>
      <c r="Y48" s="755"/>
      <c r="Z48" s="755"/>
      <c r="AA48" s="755"/>
      <c r="AB48" s="755"/>
      <c r="AC48" s="755"/>
    </row>
    <row r="49" spans="1:15">
      <c r="A49" s="1138"/>
      <c r="B49" s="1138"/>
      <c r="C49" s="1138"/>
      <c r="D49" s="1138"/>
      <c r="E49" s="1138"/>
      <c r="F49" s="1138"/>
      <c r="G49" s="1141"/>
      <c r="H49" s="1138"/>
      <c r="I49" s="1138"/>
      <c r="J49" s="1138"/>
      <c r="K49" s="1099"/>
      <c r="L49" s="1100"/>
      <c r="M49" s="1138"/>
      <c r="N49" s="1138"/>
      <c r="O49" s="1138"/>
    </row>
    <row r="50" spans="1:15" hidden="1">
      <c r="A50" s="1138"/>
      <c r="B50" s="1138"/>
      <c r="C50" s="1138"/>
      <c r="D50" s="1138"/>
      <c r="E50" s="1138"/>
      <c r="F50" s="1138"/>
      <c r="G50" s="1138"/>
      <c r="H50" s="1138"/>
      <c r="I50" s="1138"/>
      <c r="J50" s="1138"/>
      <c r="K50" s="1099"/>
      <c r="L50" s="1100"/>
      <c r="M50" s="1138"/>
      <c r="N50" s="1138"/>
      <c r="O50" s="1138"/>
    </row>
    <row r="51" spans="1:15" ht="13.5" hidden="1" customHeight="1">
      <c r="A51" s="1138"/>
      <c r="B51" s="1138"/>
      <c r="C51" s="494" t="s">
        <v>2660</v>
      </c>
      <c r="D51" s="495"/>
      <c r="E51" s="496">
        <f>IF(E46&lt;E47,E47/E46-1,E46/E47-1)</f>
        <v>0.20756137972586242</v>
      </c>
      <c r="F51" s="497" t="str">
        <f>IF(OR(E51&gt;=0.3,E51&lt;=-0.3),"超过30%","")</f>
        <v/>
      </c>
      <c r="G51" s="496">
        <f>IF(G46&lt;G47,G47/G46-1,G46/G47-1)</f>
        <v>0.12374942281052803</v>
      </c>
      <c r="H51" s="497" t="str">
        <f>IF(OR(G51&gt;=0.3,G51&lt;=-0.3),"超过30%","")</f>
        <v/>
      </c>
      <c r="I51" s="496">
        <f>IF(I46&lt;I47,I47/I46-1,I46/I47-1)</f>
        <v>0.12379576107899815</v>
      </c>
      <c r="J51" s="497" t="str">
        <f>IF(OR(I51&gt;=0.3,I51&lt;=-0.3),"超过30%","")</f>
        <v/>
      </c>
      <c r="K51" s="1099"/>
      <c r="L51" s="1100"/>
      <c r="M51" s="1138"/>
      <c r="N51" s="1138"/>
      <c r="O51" s="1138"/>
    </row>
    <row r="52" spans="1:15" ht="13.5" hidden="1" customHeight="1">
      <c r="A52" s="1138"/>
      <c r="B52" s="1138"/>
      <c r="C52" s="494" t="s">
        <v>2661</v>
      </c>
      <c r="D52" s="498"/>
      <c r="E52" s="496">
        <f>IF(E47&lt;G47,G47/E47-1,E47/G47-1)</f>
        <v>2.1856241342157912E-2</v>
      </c>
      <c r="F52" s="497" t="str">
        <f>IF(OR(E52&gt;=0.2,E52&lt;=-0.2),"超过20%","")</f>
        <v/>
      </c>
      <c r="G52" s="496">
        <f>IF(G47&lt;I47,I47/G47-1,G47/I47-1)</f>
        <v>4.3192035966602482E-2</v>
      </c>
      <c r="H52" s="497" t="str">
        <f>IF(OR(G52&gt;=0.2,G52&lt;=-0.2),"超过20%","")</f>
        <v/>
      </c>
      <c r="I52" s="496">
        <f>IF(I47&lt;E47,E47/I47-1,I47/E47-1)</f>
        <v>6.5992292870905578E-2</v>
      </c>
      <c r="J52" s="497" t="str">
        <f>IF(OR(I52&gt;=0.2,I52&lt;=-0.2),"超过20%","")</f>
        <v/>
      </c>
      <c r="K52" s="1099"/>
      <c r="L52" s="1100"/>
      <c r="M52" s="1138"/>
      <c r="N52" s="1138"/>
      <c r="O52" s="1138"/>
    </row>
    <row r="53" spans="1:15" s="499" customFormat="1" ht="13.5" hidden="1" customHeight="1">
      <c r="A53" s="1139"/>
      <c r="B53" s="1139"/>
      <c r="C53" s="494" t="s">
        <v>2662</v>
      </c>
      <c r="D53" s="498"/>
      <c r="E53" s="496">
        <f>IF(E46&lt;G46,G46/E46-1,E46/G46-1)</f>
        <v>9.8068757704424137E-2</v>
      </c>
      <c r="F53" s="497" t="str">
        <f>IF(OR(E53&gt;=0.3,E53&lt;=-0.3),"超过30%","")</f>
        <v/>
      </c>
      <c r="G53" s="496">
        <f>IF(G46&lt;I46,I46/G46-1,G46/I46-1)</f>
        <v>4.3149021288755529E-2</v>
      </c>
      <c r="H53" s="497" t="str">
        <f>IF(OR(G53&gt;=0.3,G53&lt;=-0.3),"超过30%","")</f>
        <v/>
      </c>
      <c r="I53" s="496">
        <f>IF(I46&lt;E46,E46/I46-1,I46/E46-1)</f>
        <v>0.14544934990712965</v>
      </c>
      <c r="J53" s="497" t="str">
        <f>IF(OR(I53&gt;=0.3,I53&lt;=-0.3),"超过30%","")</f>
        <v/>
      </c>
      <c r="K53" s="1142"/>
      <c r="L53" s="1143"/>
      <c r="M53" s="1139"/>
      <c r="N53" s="1139"/>
      <c r="O53" s="1139"/>
    </row>
    <row r="54" spans="1:15" s="499" customFormat="1" ht="15" hidden="1" thickBot="1">
      <c r="A54" s="1139"/>
      <c r="B54" s="1140"/>
      <c r="C54" s="758"/>
      <c r="D54" s="756"/>
      <c r="E54" s="756"/>
      <c r="F54" s="756"/>
      <c r="G54" s="756"/>
      <c r="H54" s="756"/>
      <c r="I54" s="756"/>
      <c r="J54" s="756"/>
      <c r="K54" s="1142"/>
      <c r="L54" s="1143"/>
      <c r="M54" s="1139"/>
      <c r="N54" s="1139"/>
      <c r="O54" s="1139"/>
    </row>
    <row r="55" spans="1:15" ht="27" hidden="1" customHeight="1">
      <c r="A55" s="681" t="s">
        <v>2747</v>
      </c>
      <c r="B55" s="682" t="s">
        <v>2748</v>
      </c>
      <c r="C55" s="2695" t="s">
        <v>3655</v>
      </c>
      <c r="D55" s="2696" t="s">
        <v>2750</v>
      </c>
      <c r="E55" s="683" t="s">
        <v>2751</v>
      </c>
      <c r="F55" s="1101" t="s">
        <v>2752</v>
      </c>
      <c r="G55" s="3264" t="s">
        <v>2753</v>
      </c>
      <c r="H55" s="3265"/>
      <c r="I55" s="141" t="s">
        <v>2754</v>
      </c>
      <c r="J55" s="2697" t="str">
        <f>项目基本情况!F35</f>
        <v>浙江省杭州市萧山区</v>
      </c>
      <c r="K55" s="2698" t="s">
        <v>2755</v>
      </c>
      <c r="L55" s="1100"/>
      <c r="M55" s="1138"/>
      <c r="N55" s="1138"/>
      <c r="O55" s="1138"/>
    </row>
    <row r="56" spans="1:15" s="689" customFormat="1" hidden="1">
      <c r="A56" s="685" t="s">
        <v>2756</v>
      </c>
      <c r="B56" s="686">
        <f>C48</f>
        <v>6455</v>
      </c>
      <c r="C56" s="687">
        <v>1</v>
      </c>
      <c r="D56" s="1157">
        <v>1</v>
      </c>
      <c r="E56" s="687">
        <f>'数据-汇总表'!E8+'数据-汇总表'!E9</f>
        <v>611930.4</v>
      </c>
      <c r="F56" s="1097">
        <f t="shared" ref="F56:F65" si="14">ROUND(B56*E56/10000,0)</f>
        <v>395001</v>
      </c>
      <c r="G56" s="3266"/>
      <c r="H56" s="3267"/>
      <c r="I56" s="1102">
        <v>1</v>
      </c>
      <c r="J56" s="1105">
        <v>1</v>
      </c>
      <c r="K56" s="1139"/>
      <c r="L56" s="936"/>
      <c r="M56" s="936"/>
      <c r="N56" s="936"/>
      <c r="O56" s="936"/>
    </row>
    <row r="57" spans="1:15" s="689" customFormat="1" hidden="1">
      <c r="A57" s="690" t="s">
        <v>2757</v>
      </c>
      <c r="B57" s="259">
        <f>ROUND($C$48*C57*D57,0)</f>
        <v>0</v>
      </c>
      <c r="C57" s="197">
        <f t="shared" ref="C57:C65" si="15">IF($C$55="北京市系数",I57,J57)</f>
        <v>0</v>
      </c>
      <c r="D57" s="1158">
        <v>0.25</v>
      </c>
      <c r="E57" s="691"/>
      <c r="F57" s="1097">
        <f t="shared" si="14"/>
        <v>0</v>
      </c>
      <c r="G57" s="3268" t="s">
        <v>2758</v>
      </c>
      <c r="H57" s="1098">
        <f>项目基本情况!B37</f>
        <v>0</v>
      </c>
      <c r="I57" s="1102">
        <f>SUMIF(修正!A45:A56,H57,修正!B45:B56)</f>
        <v>0</v>
      </c>
      <c r="J57" s="1106"/>
      <c r="K57" s="1138"/>
      <c r="L57" s="936"/>
      <c r="M57" s="936"/>
      <c r="N57" s="936"/>
      <c r="O57" s="936"/>
    </row>
    <row r="58" spans="1:15" s="689" customFormat="1" hidden="1">
      <c r="A58" s="690" t="s">
        <v>2759</v>
      </c>
      <c r="B58" s="259">
        <f t="shared" ref="B58:B65" si="16">ROUND($C$48*C58*D58,0)</f>
        <v>0</v>
      </c>
      <c r="C58" s="197">
        <f t="shared" si="15"/>
        <v>0</v>
      </c>
      <c r="D58" s="1158">
        <v>0.25</v>
      </c>
      <c r="E58" s="691"/>
      <c r="F58" s="1097">
        <f t="shared" si="14"/>
        <v>0</v>
      </c>
      <c r="G58" s="3268"/>
      <c r="H58" s="1098">
        <f>项目基本情况!B37</f>
        <v>0</v>
      </c>
      <c r="I58" s="1102">
        <f>SUMIF(修正!A45:A56,H58,修正!C45:C56)</f>
        <v>0</v>
      </c>
      <c r="J58" s="1106"/>
      <c r="K58" s="1139"/>
      <c r="L58" s="936"/>
      <c r="M58" s="936"/>
      <c r="N58" s="936"/>
      <c r="O58" s="936"/>
    </row>
    <row r="59" spans="1:15" s="689" customFormat="1" hidden="1">
      <c r="A59" s="690" t="s">
        <v>2760</v>
      </c>
      <c r="B59" s="259">
        <f t="shared" si="16"/>
        <v>0</v>
      </c>
      <c r="C59" s="197">
        <f t="shared" si="15"/>
        <v>0</v>
      </c>
      <c r="D59" s="1158">
        <v>0.25</v>
      </c>
      <c r="E59" s="691"/>
      <c r="F59" s="1097">
        <f t="shared" si="14"/>
        <v>0</v>
      </c>
      <c r="G59" s="3268"/>
      <c r="H59" s="1098">
        <f>项目基本情况!B37</f>
        <v>0</v>
      </c>
      <c r="I59" s="1102">
        <f>SUMIF(修正!A45:A56,H59,修正!D45:D56)</f>
        <v>0</v>
      </c>
      <c r="J59" s="1106"/>
      <c r="K59" s="1138"/>
      <c r="L59" s="936"/>
      <c r="M59" s="936"/>
      <c r="N59" s="936"/>
      <c r="O59" s="936"/>
    </row>
    <row r="60" spans="1:15" s="689" customFormat="1" hidden="1">
      <c r="A60" s="690" t="s">
        <v>2761</v>
      </c>
      <c r="B60" s="259">
        <f t="shared" si="16"/>
        <v>0</v>
      </c>
      <c r="C60" s="197">
        <f t="shared" si="15"/>
        <v>0</v>
      </c>
      <c r="D60" s="1158">
        <v>0.25</v>
      </c>
      <c r="E60" s="691"/>
      <c r="F60" s="1097">
        <f t="shared" si="14"/>
        <v>0</v>
      </c>
      <c r="G60" s="3268"/>
      <c r="H60" s="1098">
        <f>项目基本情况!B37</f>
        <v>0</v>
      </c>
      <c r="I60" s="1102">
        <f>SUMIF(修正!A45:A56,H60,修正!E45:E56)</f>
        <v>0</v>
      </c>
      <c r="J60" s="1106"/>
      <c r="K60" s="1139"/>
      <c r="L60" s="936"/>
      <c r="M60" s="936"/>
      <c r="N60" s="936"/>
      <c r="O60" s="936"/>
    </row>
    <row r="61" spans="1:15" s="689" customFormat="1" hidden="1">
      <c r="A61" s="690" t="s">
        <v>2762</v>
      </c>
      <c r="B61" s="259">
        <f t="shared" si="16"/>
        <v>0</v>
      </c>
      <c r="C61" s="197">
        <f t="shared" si="15"/>
        <v>0</v>
      </c>
      <c r="D61" s="1158">
        <v>0.25</v>
      </c>
      <c r="E61" s="258">
        <f>'数据-汇总表'!E11</f>
        <v>0</v>
      </c>
      <c r="F61" s="1097">
        <f t="shared" si="14"/>
        <v>0</v>
      </c>
      <c r="G61" s="2699" t="s">
        <v>2763</v>
      </c>
      <c r="H61" s="1098">
        <f>项目基本情况!C37</f>
        <v>0</v>
      </c>
      <c r="I61" s="1102">
        <f>SUMIF(修正!A45:A56,H61,修正!F45:F56)</f>
        <v>0</v>
      </c>
      <c r="J61" s="1106"/>
      <c r="K61" s="1138"/>
      <c r="L61" s="936"/>
      <c r="M61" s="936"/>
      <c r="N61" s="936"/>
      <c r="O61" s="936"/>
    </row>
    <row r="62" spans="1:15" s="689" customFormat="1" hidden="1">
      <c r="A62" s="690" t="s">
        <v>2764</v>
      </c>
      <c r="B62" s="259">
        <f t="shared" si="16"/>
        <v>0</v>
      </c>
      <c r="C62" s="197">
        <f t="shared" si="15"/>
        <v>0</v>
      </c>
      <c r="D62" s="1158">
        <v>0.25</v>
      </c>
      <c r="E62" s="258">
        <f>'数据-汇总表'!E12</f>
        <v>0</v>
      </c>
      <c r="F62" s="1097">
        <f t="shared" si="14"/>
        <v>0</v>
      </c>
      <c r="G62" s="1103" t="s">
        <v>2765</v>
      </c>
      <c r="H62" s="1098">
        <f>IF(G62="商业",项目基本情况!B37,IF(G62="办公",项目基本情况!C37,IF(G62="住宅",项目基本情况!D37,项目基本情况!E37)))</f>
        <v>0</v>
      </c>
      <c r="I62" s="1102">
        <f>SUMIF(修正!A45:A56,H62,修正!G45:G56)</f>
        <v>0</v>
      </c>
      <c r="J62" s="1106"/>
      <c r="K62" s="1139"/>
      <c r="L62" s="936"/>
      <c r="M62" s="936"/>
      <c r="N62" s="936"/>
      <c r="O62" s="936"/>
    </row>
    <row r="63" spans="1:15" s="689" customFormat="1" hidden="1">
      <c r="A63" s="690" t="s">
        <v>2766</v>
      </c>
      <c r="B63" s="259">
        <f t="shared" si="16"/>
        <v>0</v>
      </c>
      <c r="C63" s="197">
        <f t="shared" si="15"/>
        <v>0</v>
      </c>
      <c r="D63" s="1158">
        <v>0.25</v>
      </c>
      <c r="E63" s="258">
        <f>'数据-汇总表'!E13</f>
        <v>0</v>
      </c>
      <c r="F63" s="1097">
        <f t="shared" si="14"/>
        <v>0</v>
      </c>
      <c r="G63" s="1103" t="s">
        <v>2767</v>
      </c>
      <c r="H63" s="1098">
        <f>IF(G63="商业",项目基本情况!B37,IF(G63="办公",项目基本情况!C37,IF(G63="住宅",项目基本情况!D37,项目基本情况!E37)))</f>
        <v>0</v>
      </c>
      <c r="I63" s="1102">
        <f>SUMIF(修正!A45:A56,H63,修正!H45:H56)</f>
        <v>0</v>
      </c>
      <c r="J63" s="1106"/>
      <c r="K63" s="1138"/>
      <c r="L63" s="936"/>
      <c r="M63" s="936"/>
      <c r="N63" s="936"/>
      <c r="O63" s="936"/>
    </row>
    <row r="64" spans="1:15" s="689" customFormat="1" hidden="1">
      <c r="A64" s="690" t="s">
        <v>2768</v>
      </c>
      <c r="B64" s="259">
        <f t="shared" si="16"/>
        <v>0</v>
      </c>
      <c r="C64" s="197">
        <f t="shared" si="15"/>
        <v>0</v>
      </c>
      <c r="D64" s="1158">
        <v>0.25</v>
      </c>
      <c r="E64" s="258">
        <f>'数据-汇总表'!E14</f>
        <v>0</v>
      </c>
      <c r="F64" s="1097">
        <f t="shared" si="14"/>
        <v>0</v>
      </c>
      <c r="G64" s="2699" t="s">
        <v>2758</v>
      </c>
      <c r="H64" s="1098">
        <f>项目基本情况!B37</f>
        <v>0</v>
      </c>
      <c r="I64" s="1102">
        <f>SUMIF(修正!A45:A56,H64,修正!H45:H56)</f>
        <v>0</v>
      </c>
      <c r="J64" s="1106"/>
      <c r="K64" s="1139"/>
      <c r="L64" s="936"/>
      <c r="M64" s="936"/>
      <c r="N64" s="936"/>
      <c r="O64" s="936"/>
    </row>
    <row r="65" spans="1:17" s="689" customFormat="1" ht="15" hidden="1" thickBot="1">
      <c r="A65" s="690" t="s">
        <v>2769</v>
      </c>
      <c r="B65" s="259">
        <f t="shared" si="16"/>
        <v>0</v>
      </c>
      <c r="C65" s="197">
        <f t="shared" si="15"/>
        <v>0</v>
      </c>
      <c r="D65" s="1158">
        <v>0.25</v>
      </c>
      <c r="E65" s="258">
        <f>'数据-汇总表'!E15</f>
        <v>0</v>
      </c>
      <c r="F65" s="1097">
        <f t="shared" si="14"/>
        <v>0</v>
      </c>
      <c r="G65" s="2700" t="s">
        <v>2763</v>
      </c>
      <c r="H65" s="1108">
        <f>项目基本情况!C37</f>
        <v>0</v>
      </c>
      <c r="I65" s="1104">
        <f>SUMIF(修正!A45:A56,H65,修正!H45:H56)</f>
        <v>0</v>
      </c>
      <c r="J65" s="1107"/>
      <c r="K65" s="1138"/>
      <c r="L65" s="936"/>
      <c r="M65" s="936"/>
      <c r="N65" s="936"/>
      <c r="O65" s="936"/>
    </row>
    <row r="66" spans="1:17" s="689" customFormat="1" ht="13.5" hidden="1" thickBot="1">
      <c r="A66" s="692" t="s">
        <v>2770</v>
      </c>
      <c r="B66" s="693" t="s">
        <v>28</v>
      </c>
      <c r="C66" s="693" t="s">
        <v>29</v>
      </c>
      <c r="D66" s="693" t="s">
        <v>1026</v>
      </c>
      <c r="E66" s="693">
        <f>IF(B46="楼面地价",SUM(E56:E65),'数据-汇总表'!D3)</f>
        <v>611930.4</v>
      </c>
      <c r="F66" s="694">
        <f>IF(B46="楼面地价",SUM(F56:F65),ROUND(C48*E66/10000,0))</f>
        <v>395001</v>
      </c>
      <c r="G66" s="783"/>
      <c r="H66" s="783"/>
      <c r="I66" s="783"/>
      <c r="J66" s="783"/>
      <c r="K66" s="1152"/>
      <c r="L66" s="936"/>
      <c r="M66" s="936"/>
      <c r="N66" s="936"/>
      <c r="O66" s="936"/>
    </row>
    <row r="67" spans="1:17" hidden="1">
      <c r="A67" s="755"/>
      <c r="B67" s="757"/>
      <c r="C67" s="758"/>
      <c r="D67" s="755"/>
      <c r="E67" s="755"/>
      <c r="F67" s="755"/>
      <c r="G67" s="755"/>
      <c r="H67" s="755"/>
      <c r="I67" s="755"/>
      <c r="J67" s="1138"/>
      <c r="K67" s="1099"/>
      <c r="L67" s="1100"/>
      <c r="M67" s="1138"/>
      <c r="N67" s="1138"/>
      <c r="O67" s="1138"/>
    </row>
    <row r="68" spans="1:17" hidden="1">
      <c r="A68" s="755"/>
      <c r="B68" s="757"/>
      <c r="C68" s="757" t="str">
        <f>YEAR(C7)&amp;"-"&amp;MONTH(C7)&amp;"-1"</f>
        <v>2019-11-1</v>
      </c>
      <c r="D68" s="757">
        <f>EDATE(C68,-3)</f>
        <v>43678</v>
      </c>
      <c r="E68" s="757">
        <f>EDATE(D68,-3)</f>
        <v>43586</v>
      </c>
      <c r="F68" s="757">
        <f t="shared" ref="F68:O68" si="17">EDATE(E68,-3)</f>
        <v>43497</v>
      </c>
      <c r="G68" s="757">
        <f t="shared" si="17"/>
        <v>43405</v>
      </c>
      <c r="H68" s="757">
        <f t="shared" si="17"/>
        <v>43313</v>
      </c>
      <c r="I68" s="757">
        <f t="shared" si="17"/>
        <v>43221</v>
      </c>
      <c r="J68" s="757">
        <f t="shared" si="17"/>
        <v>43132</v>
      </c>
      <c r="K68" s="757">
        <f t="shared" si="17"/>
        <v>43040</v>
      </c>
      <c r="L68" s="757">
        <f t="shared" si="17"/>
        <v>42948</v>
      </c>
      <c r="M68" s="757">
        <f t="shared" si="17"/>
        <v>42856</v>
      </c>
      <c r="N68" s="757">
        <f t="shared" si="17"/>
        <v>42767</v>
      </c>
      <c r="O68" s="757">
        <f t="shared" si="17"/>
        <v>42675</v>
      </c>
    </row>
    <row r="69" spans="1:17" ht="21.75" hidden="1" thickBot="1">
      <c r="A69" s="759" t="s">
        <v>2663</v>
      </c>
      <c r="B69" s="755"/>
      <c r="C69" s="760"/>
      <c r="D69" s="760"/>
      <c r="E69" s="760"/>
      <c r="F69" s="761"/>
      <c r="G69" s="761"/>
      <c r="H69" s="760"/>
      <c r="I69" s="760"/>
      <c r="J69" s="1153"/>
      <c r="K69" s="1154"/>
      <c r="L69" s="1155"/>
      <c r="M69" s="1153"/>
      <c r="N69" s="1153"/>
      <c r="O69" s="1153"/>
      <c r="P69" s="500"/>
      <c r="Q69" s="501"/>
    </row>
    <row r="70" spans="1:17" s="505" customFormat="1" ht="15" hidden="1">
      <c r="A70" s="2701" t="s">
        <v>2771</v>
      </c>
      <c r="B70" s="1353"/>
      <c r="C70" s="1565" t="str">
        <f>YEAR(C68)&amp;"-"&amp;ROUNDUP(MONTH(C68)/3,0)</f>
        <v>2019-4</v>
      </c>
      <c r="D70" s="1565" t="str">
        <f>YEAR(D68)&amp;"-"&amp;ROUNDUP(MONTH(D68)/3,0)</f>
        <v>2019-3</v>
      </c>
      <c r="E70" s="1565" t="str">
        <f t="shared" ref="E70:O70" si="18">YEAR(E68)&amp;"-"&amp;ROUNDUP(MONTH(E68)/3,0)</f>
        <v>2019-2</v>
      </c>
      <c r="F70" s="1565" t="str">
        <f t="shared" si="18"/>
        <v>2019-1</v>
      </c>
      <c r="G70" s="1565" t="str">
        <f t="shared" si="18"/>
        <v>2018-4</v>
      </c>
      <c r="H70" s="1565" t="str">
        <f t="shared" si="18"/>
        <v>2018-3</v>
      </c>
      <c r="I70" s="1565" t="str">
        <f t="shared" si="18"/>
        <v>2018-2</v>
      </c>
      <c r="J70" s="1565" t="str">
        <f t="shared" si="18"/>
        <v>2018-1</v>
      </c>
      <c r="K70" s="1565" t="str">
        <f t="shared" si="18"/>
        <v>2017-4</v>
      </c>
      <c r="L70" s="1565" t="str">
        <f t="shared" si="18"/>
        <v>2017-3</v>
      </c>
      <c r="M70" s="1565" t="str">
        <f t="shared" si="18"/>
        <v>2017-2</v>
      </c>
      <c r="N70" s="1565" t="str">
        <f t="shared" si="18"/>
        <v>2017-1</v>
      </c>
      <c r="O70" s="1565" t="str">
        <f t="shared" si="18"/>
        <v>2016-4</v>
      </c>
      <c r="P70" s="504"/>
    </row>
    <row r="71" spans="1:17" s="116" customFormat="1" ht="30" hidden="1" customHeight="1">
      <c r="A71" s="2702" t="s">
        <v>2772</v>
      </c>
      <c r="B71" s="329" t="str">
        <f>"北京市平均增长率"&amp;TEXT(SUMIF(基准地价修正!N21:N25,A71,基准地价修正!P21:P25),"0.00%")</f>
        <v>北京市平均增长率2.16%</v>
      </c>
      <c r="C71" s="600">
        <v>100</v>
      </c>
      <c r="D71" s="592">
        <f>C71-$C$72</f>
        <v>99.5</v>
      </c>
      <c r="E71" s="592">
        <f t="shared" ref="E71:O71" si="19">D71-$C$72</f>
        <v>99</v>
      </c>
      <c r="F71" s="592">
        <f t="shared" si="19"/>
        <v>98.5</v>
      </c>
      <c r="G71" s="592">
        <f t="shared" si="19"/>
        <v>98</v>
      </c>
      <c r="H71" s="592">
        <f t="shared" si="19"/>
        <v>97.5</v>
      </c>
      <c r="I71" s="592">
        <f t="shared" si="19"/>
        <v>97</v>
      </c>
      <c r="J71" s="592">
        <f t="shared" si="19"/>
        <v>96.5</v>
      </c>
      <c r="K71" s="592">
        <f t="shared" si="19"/>
        <v>96</v>
      </c>
      <c r="L71" s="592">
        <f t="shared" si="19"/>
        <v>95.5</v>
      </c>
      <c r="M71" s="592">
        <f t="shared" si="19"/>
        <v>95</v>
      </c>
      <c r="N71" s="592">
        <f t="shared" si="19"/>
        <v>94.5</v>
      </c>
      <c r="O71" s="592">
        <f t="shared" si="19"/>
        <v>94</v>
      </c>
      <c r="P71" s="501"/>
    </row>
    <row r="72" spans="1:17" s="116" customFormat="1" ht="15.75" hidden="1" thickBot="1">
      <c r="A72" s="512" t="s">
        <v>2574</v>
      </c>
      <c r="B72" s="513"/>
      <c r="C72" s="514">
        <v>0.5</v>
      </c>
      <c r="D72" s="515"/>
      <c r="E72" s="515"/>
      <c r="F72" s="515"/>
      <c r="G72" s="515"/>
      <c r="H72" s="515"/>
      <c r="I72" s="515"/>
      <c r="J72" s="515"/>
      <c r="K72" s="515"/>
      <c r="L72" s="515"/>
      <c r="M72" s="516"/>
      <c r="N72" s="515"/>
      <c r="O72" s="1156"/>
      <c r="P72" s="501"/>
      <c r="Q72" s="501"/>
    </row>
    <row r="73" spans="1:17" s="116" customFormat="1" ht="15" hidden="1">
      <c r="A73" s="518" t="s">
        <v>2539</v>
      </c>
      <c r="B73" s="507"/>
      <c r="C73" s="519" t="s">
        <v>2641</v>
      </c>
      <c r="D73" s="520"/>
      <c r="E73" s="520"/>
      <c r="F73" s="520"/>
      <c r="G73" s="520"/>
      <c r="H73" s="520"/>
      <c r="I73" s="520"/>
      <c r="J73" s="520"/>
      <c r="K73" s="520"/>
      <c r="L73" s="521"/>
      <c r="M73" s="522"/>
      <c r="N73" s="1145"/>
      <c r="O73" s="1145"/>
      <c r="P73" s="523"/>
      <c r="Q73" s="501"/>
    </row>
    <row r="74" spans="1:17" s="116" customFormat="1" ht="15.75" hidden="1" thickBot="1">
      <c r="A74" s="518"/>
      <c r="B74" s="507"/>
      <c r="C74" s="636">
        <v>100</v>
      </c>
      <c r="D74" s="509"/>
      <c r="E74" s="509"/>
      <c r="F74" s="509"/>
      <c r="G74" s="509"/>
      <c r="H74" s="509"/>
      <c r="I74" s="509"/>
      <c r="J74" s="509"/>
      <c r="K74" s="509"/>
      <c r="L74" s="509"/>
      <c r="M74" s="511"/>
      <c r="N74" s="1145"/>
      <c r="O74" s="1145"/>
      <c r="P74" s="501"/>
      <c r="Q74" s="501"/>
    </row>
    <row r="75" spans="1:17" ht="57" hidden="1">
      <c r="A75" s="524" t="s">
        <v>2577</v>
      </c>
      <c r="B75" s="525" t="s">
        <v>2543</v>
      </c>
      <c r="C75" s="658" t="str">
        <f>项目基本情况!B16</f>
        <v>住宅、商业及地下车库</v>
      </c>
      <c r="D75" s="527" t="str">
        <f>土地案例!H26</f>
        <v>A-1地块为居住用地(含配套商业),A-2地块为服务设施用地</v>
      </c>
      <c r="E75" s="527" t="str">
        <f>土地案例!H77</f>
        <v>商住用地</v>
      </c>
      <c r="F75" s="527"/>
      <c r="G75" s="527"/>
      <c r="H75" s="527"/>
      <c r="I75" s="527"/>
      <c r="J75" s="527"/>
      <c r="K75" s="528"/>
      <c r="L75" s="529"/>
      <c r="M75" s="530"/>
      <c r="N75" s="1146"/>
      <c r="O75" s="1146"/>
      <c r="P75" s="45"/>
      <c r="Q75" s="501"/>
    </row>
    <row r="76" spans="1:17" ht="15.75" hidden="1" thickBot="1">
      <c r="A76" s="531"/>
      <c r="B76" s="532"/>
      <c r="C76" s="533">
        <v>100</v>
      </c>
      <c r="D76" s="533">
        <v>100</v>
      </c>
      <c r="E76" s="533">
        <v>100</v>
      </c>
      <c r="F76" s="533"/>
      <c r="G76" s="533"/>
      <c r="H76" s="533"/>
      <c r="I76" s="533"/>
      <c r="J76" s="533"/>
      <c r="K76" s="533"/>
      <c r="L76" s="533"/>
      <c r="M76" s="534"/>
      <c r="N76" s="1147"/>
      <c r="O76" s="1147"/>
      <c r="P76" s="45"/>
      <c r="Q76" s="501"/>
    </row>
    <row r="77" spans="1:17" ht="27.75" hidden="1" thickTop="1">
      <c r="A77" s="531"/>
      <c r="B77" s="535" t="s">
        <v>2546</v>
      </c>
      <c r="C77" s="536"/>
      <c r="D77" s="536"/>
      <c r="E77" s="536"/>
      <c r="F77" s="536"/>
      <c r="G77" s="536"/>
      <c r="H77" s="536"/>
      <c r="I77" s="536"/>
      <c r="J77" s="536"/>
      <c r="K77" s="537"/>
      <c r="L77" s="538"/>
      <c r="M77" s="539"/>
      <c r="N77" s="1146"/>
      <c r="O77" s="1146"/>
      <c r="P77" s="45"/>
      <c r="Q77" s="501"/>
    </row>
    <row r="78" spans="1:17" ht="15.75" hidden="1" thickBot="1">
      <c r="A78" s="531"/>
      <c r="B78" s="540"/>
      <c r="C78" s="541"/>
      <c r="D78" s="541"/>
      <c r="E78" s="541"/>
      <c r="F78" s="541"/>
      <c r="G78" s="541"/>
      <c r="H78" s="541"/>
      <c r="I78" s="541"/>
      <c r="J78" s="541"/>
      <c r="K78" s="541"/>
      <c r="L78" s="541"/>
      <c r="M78" s="542"/>
      <c r="N78" s="1147"/>
      <c r="O78" s="1147"/>
      <c r="P78" s="45"/>
      <c r="Q78" s="501"/>
    </row>
    <row r="79" spans="1:17" ht="15.75" hidden="1" thickTop="1">
      <c r="A79" s="531"/>
      <c r="B79" s="543" t="s">
        <v>2547</v>
      </c>
      <c r="C79" s="544" t="str">
        <f>C80&amp;"（含）"&amp;"-"&amp;D80</f>
        <v>1（含）-2</v>
      </c>
      <c r="D79" s="544" t="str">
        <f t="shared" ref="D79:L79" si="20">D80&amp;"（含）"&amp;"-"&amp;E80</f>
        <v>2（含）-3</v>
      </c>
      <c r="E79" s="544" t="str">
        <f t="shared" si="20"/>
        <v>3（含）-4</v>
      </c>
      <c r="F79" s="544" t="str">
        <f t="shared" si="20"/>
        <v>4（含）-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7"/>
      <c r="O79" s="1147"/>
      <c r="P79" s="45"/>
      <c r="Q79" s="501"/>
    </row>
    <row r="80" spans="1:17" ht="15" hidden="1">
      <c r="A80" s="531"/>
      <c r="B80" s="545"/>
      <c r="C80" s="546">
        <v>1</v>
      </c>
      <c r="D80" s="546">
        <v>2</v>
      </c>
      <c r="E80" s="546">
        <v>3</v>
      </c>
      <c r="F80" s="546">
        <v>4</v>
      </c>
      <c r="G80" s="546"/>
      <c r="H80" s="546"/>
      <c r="I80" s="546"/>
      <c r="J80" s="546"/>
      <c r="K80" s="547"/>
      <c r="L80" s="548"/>
      <c r="M80" s="549"/>
      <c r="N80" s="1146"/>
      <c r="O80" s="1146"/>
      <c r="P80" s="45"/>
      <c r="Q80" s="501"/>
    </row>
    <row r="81" spans="1:17" ht="15.75" hidden="1"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7"/>
      <c r="O81" s="1147"/>
      <c r="P81" s="45"/>
      <c r="Q81" s="501"/>
    </row>
    <row r="82" spans="1:17" s="468" customFormat="1" ht="15.75" hidden="1"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hidden="1" thickBot="1">
      <c r="A83" s="550"/>
      <c r="B83" s="540"/>
      <c r="C83" s="557"/>
      <c r="D83" s="533"/>
      <c r="E83" s="533"/>
      <c r="F83" s="533"/>
      <c r="G83" s="533"/>
      <c r="H83" s="533"/>
      <c r="I83" s="533"/>
      <c r="J83" s="533"/>
      <c r="K83" s="533"/>
      <c r="L83" s="533"/>
      <c r="M83" s="534"/>
      <c r="N83" s="1147"/>
      <c r="O83" s="1147"/>
      <c r="P83" s="555"/>
      <c r="Q83" s="556"/>
    </row>
    <row r="84" spans="1:17" s="468" customFormat="1" ht="15.75" hidden="1" thickTop="1">
      <c r="A84" s="550"/>
      <c r="B84" s="535">
        <f>B13</f>
        <v>0</v>
      </c>
      <c r="C84" s="551"/>
      <c r="D84" s="551"/>
      <c r="E84" s="551"/>
      <c r="F84" s="551"/>
      <c r="G84" s="551"/>
      <c r="H84" s="552"/>
      <c r="I84" s="552"/>
      <c r="J84" s="552"/>
      <c r="K84" s="552"/>
      <c r="L84" s="553"/>
      <c r="M84" s="554"/>
      <c r="N84" s="1148"/>
      <c r="O84" s="1148"/>
      <c r="P84" s="467"/>
      <c r="Q84" s="558"/>
    </row>
    <row r="85" spans="1:17" s="468" customFormat="1" ht="15.75" hidden="1" thickBot="1">
      <c r="A85" s="550"/>
      <c r="B85" s="540"/>
      <c r="C85" s="557"/>
      <c r="D85" s="557"/>
      <c r="E85" s="557"/>
      <c r="F85" s="557"/>
      <c r="G85" s="557"/>
      <c r="H85" s="559"/>
      <c r="I85" s="559"/>
      <c r="J85" s="559"/>
      <c r="K85" s="559"/>
      <c r="L85" s="559"/>
      <c r="M85" s="560"/>
      <c r="N85" s="1148"/>
      <c r="O85" s="1148"/>
      <c r="P85" s="555"/>
      <c r="Q85" s="556"/>
    </row>
    <row r="86" spans="1:17" s="468" customFormat="1" ht="15.75" hidden="1" thickTop="1">
      <c r="A86" s="550"/>
      <c r="B86" s="543">
        <f>B14</f>
        <v>0</v>
      </c>
      <c r="C86" s="520"/>
      <c r="D86" s="520"/>
      <c r="E86" s="520"/>
      <c r="F86" s="520"/>
      <c r="G86" s="520"/>
      <c r="H86" s="561"/>
      <c r="I86" s="561"/>
      <c r="J86" s="561"/>
      <c r="K86" s="561"/>
      <c r="L86" s="562"/>
      <c r="M86" s="563"/>
      <c r="N86" s="1148"/>
      <c r="O86" s="1148"/>
      <c r="P86" s="564"/>
      <c r="Q86" s="556"/>
    </row>
    <row r="87" spans="1:17" s="468" customFormat="1" ht="15.75" hidden="1" thickBot="1">
      <c r="A87" s="565"/>
      <c r="B87" s="566"/>
      <c r="C87" s="567"/>
      <c r="D87" s="567"/>
      <c r="E87" s="567"/>
      <c r="F87" s="567"/>
      <c r="G87" s="567"/>
      <c r="H87" s="568"/>
      <c r="I87" s="568"/>
      <c r="J87" s="568"/>
      <c r="K87" s="568"/>
      <c r="L87" s="568"/>
      <c r="M87" s="569"/>
      <c r="N87" s="1148"/>
      <c r="O87" s="1148"/>
      <c r="P87" s="555"/>
      <c r="Q87" s="556"/>
    </row>
    <row r="88" spans="1:17" hidden="1">
      <c r="A88" s="524" t="s">
        <v>2548</v>
      </c>
      <c r="B88" s="525" t="s">
        <v>2585</v>
      </c>
      <c r="C88" s="570" t="s">
        <v>2586</v>
      </c>
      <c r="D88" s="570" t="s">
        <v>2587</v>
      </c>
      <c r="E88" s="570" t="s">
        <v>2588</v>
      </c>
      <c r="F88" s="570" t="s">
        <v>2589</v>
      </c>
      <c r="G88" s="570" t="s">
        <v>2590</v>
      </c>
      <c r="H88" s="526"/>
      <c r="I88" s="526"/>
      <c r="J88" s="526"/>
      <c r="K88" s="571"/>
      <c r="L88" s="572"/>
      <c r="M88" s="573"/>
      <c r="N88" s="1146"/>
      <c r="O88" s="1146"/>
      <c r="P88" s="574"/>
      <c r="Q88" s="501"/>
    </row>
    <row r="89" spans="1:17" ht="15.75" hidden="1" thickBot="1">
      <c r="A89" s="531"/>
      <c r="B89" s="540"/>
      <c r="C89" s="541">
        <v>100</v>
      </c>
      <c r="D89" s="541">
        <f>C89-$K15</f>
        <v>96</v>
      </c>
      <c r="E89" s="541">
        <f>D89-$K15</f>
        <v>92</v>
      </c>
      <c r="F89" s="541">
        <f>E89-$K15</f>
        <v>88</v>
      </c>
      <c r="G89" s="541">
        <f>F89-$K15</f>
        <v>84</v>
      </c>
      <c r="H89" s="541"/>
      <c r="I89" s="541"/>
      <c r="J89" s="541"/>
      <c r="K89" s="541"/>
      <c r="L89" s="541"/>
      <c r="M89" s="542"/>
      <c r="N89" s="1147"/>
      <c r="O89" s="1147"/>
      <c r="P89" s="45"/>
      <c r="Q89" s="501"/>
    </row>
    <row r="90" spans="1:17" ht="15.75" hidden="1" thickTop="1">
      <c r="A90" s="531"/>
      <c r="B90" s="535" t="s">
        <v>2773</v>
      </c>
      <c r="C90" s="575" t="s">
        <v>2586</v>
      </c>
      <c r="D90" s="575" t="s">
        <v>2587</v>
      </c>
      <c r="E90" s="575" t="s">
        <v>2588</v>
      </c>
      <c r="F90" s="575" t="s">
        <v>2589</v>
      </c>
      <c r="G90" s="575" t="s">
        <v>2590</v>
      </c>
      <c r="H90" s="536"/>
      <c r="I90" s="536"/>
      <c r="J90" s="536"/>
      <c r="K90" s="537"/>
      <c r="L90" s="538"/>
      <c r="M90" s="539"/>
      <c r="N90" s="1146"/>
      <c r="O90" s="1146"/>
      <c r="P90" s="45"/>
      <c r="Q90" s="501"/>
    </row>
    <row r="91" spans="1:17" ht="15.75" hidden="1" thickBot="1">
      <c r="A91" s="531"/>
      <c r="B91" s="540"/>
      <c r="C91" s="541">
        <v>100</v>
      </c>
      <c r="D91" s="541">
        <f>C91-$K17</f>
        <v>97</v>
      </c>
      <c r="E91" s="541">
        <f>D91-$K17</f>
        <v>94</v>
      </c>
      <c r="F91" s="541">
        <f>E91-$K17</f>
        <v>91</v>
      </c>
      <c r="G91" s="541">
        <f>F91-$K17</f>
        <v>88</v>
      </c>
      <c r="H91" s="541"/>
      <c r="I91" s="541"/>
      <c r="J91" s="541"/>
      <c r="K91" s="541"/>
      <c r="L91" s="541"/>
      <c r="M91" s="542"/>
      <c r="N91" s="1147"/>
      <c r="O91" s="1147"/>
      <c r="P91" s="45"/>
      <c r="Q91" s="501"/>
    </row>
    <row r="92" spans="1:17" ht="15.75" hidden="1" thickTop="1">
      <c r="A92" s="531"/>
      <c r="B92" s="535" t="s">
        <v>2686</v>
      </c>
      <c r="C92" s="575" t="s">
        <v>2586</v>
      </c>
      <c r="D92" s="575" t="s">
        <v>2587</v>
      </c>
      <c r="E92" s="575" t="s">
        <v>2588</v>
      </c>
      <c r="F92" s="575" t="s">
        <v>2589</v>
      </c>
      <c r="G92" s="575" t="s">
        <v>2590</v>
      </c>
      <c r="H92" s="536"/>
      <c r="I92" s="536"/>
      <c r="J92" s="536"/>
      <c r="K92" s="537"/>
      <c r="L92" s="538"/>
      <c r="M92" s="539"/>
      <c r="N92" s="1146"/>
      <c r="O92" s="1146"/>
      <c r="P92" s="45"/>
      <c r="Q92" s="501"/>
    </row>
    <row r="93" spans="1:17" ht="15.75" hidden="1" thickBot="1">
      <c r="A93" s="531"/>
      <c r="B93" s="540"/>
      <c r="C93" s="541">
        <v>100</v>
      </c>
      <c r="D93" s="541">
        <f>C93-$K19</f>
        <v>100</v>
      </c>
      <c r="E93" s="541">
        <f>D93-$K19</f>
        <v>100</v>
      </c>
      <c r="F93" s="541">
        <f>E93-$K19</f>
        <v>100</v>
      </c>
      <c r="G93" s="541">
        <f>F93-$K19</f>
        <v>100</v>
      </c>
      <c r="H93" s="541"/>
      <c r="I93" s="541"/>
      <c r="J93" s="541"/>
      <c r="K93" s="541"/>
      <c r="L93" s="541"/>
      <c r="M93" s="542"/>
      <c r="N93" s="1147"/>
      <c r="O93" s="1147"/>
      <c r="P93" s="45"/>
      <c r="Q93" s="501"/>
    </row>
    <row r="94" spans="1:17" ht="15.75" hidden="1" thickTop="1">
      <c r="A94" s="531"/>
      <c r="B94" s="535" t="s">
        <v>2591</v>
      </c>
      <c r="C94" s="575" t="s">
        <v>2586</v>
      </c>
      <c r="D94" s="575" t="s">
        <v>2587</v>
      </c>
      <c r="E94" s="575" t="s">
        <v>2588</v>
      </c>
      <c r="F94" s="575" t="s">
        <v>2589</v>
      </c>
      <c r="G94" s="575" t="s">
        <v>2590</v>
      </c>
      <c r="H94" s="536"/>
      <c r="I94" s="536"/>
      <c r="J94" s="536"/>
      <c r="K94" s="537"/>
      <c r="L94" s="538"/>
      <c r="M94" s="539"/>
      <c r="N94" s="1146"/>
      <c r="O94" s="1146"/>
      <c r="P94" s="45"/>
      <c r="Q94" s="501"/>
    </row>
    <row r="95" spans="1:17" ht="15.75" hidden="1" thickBot="1">
      <c r="A95" s="531"/>
      <c r="B95" s="540"/>
      <c r="C95" s="541">
        <v>100</v>
      </c>
      <c r="D95" s="541">
        <f>C95-$K21</f>
        <v>97</v>
      </c>
      <c r="E95" s="541">
        <f>D95-$K21</f>
        <v>94</v>
      </c>
      <c r="F95" s="541">
        <f>E95-$K21</f>
        <v>91</v>
      </c>
      <c r="G95" s="541">
        <f>F95-$K21</f>
        <v>88</v>
      </c>
      <c r="H95" s="541"/>
      <c r="I95" s="541"/>
      <c r="J95" s="541"/>
      <c r="K95" s="541"/>
      <c r="L95" s="541"/>
      <c r="M95" s="542"/>
      <c r="N95" s="1147"/>
      <c r="O95" s="1147"/>
      <c r="P95" s="45"/>
      <c r="Q95" s="501"/>
    </row>
    <row r="96" spans="1:17" s="116" customFormat="1" ht="15.75" hidden="1" thickTop="1">
      <c r="A96" s="576"/>
      <c r="B96" s="535" t="s">
        <v>2774</v>
      </c>
      <c r="C96" s="575" t="s">
        <v>2586</v>
      </c>
      <c r="D96" s="575" t="s">
        <v>2587</v>
      </c>
      <c r="E96" s="575" t="s">
        <v>2588</v>
      </c>
      <c r="F96" s="575" t="s">
        <v>2589</v>
      </c>
      <c r="G96" s="575" t="s">
        <v>2590</v>
      </c>
      <c r="H96" s="575"/>
      <c r="I96" s="575"/>
      <c r="J96" s="575"/>
      <c r="K96" s="575"/>
      <c r="L96" s="695"/>
      <c r="M96" s="619"/>
      <c r="N96" s="1145"/>
      <c r="O96" s="1145"/>
      <c r="P96" s="45"/>
      <c r="Q96" s="501"/>
    </row>
    <row r="97" spans="1:17" s="116" customFormat="1" ht="15.75" hidden="1" thickBot="1">
      <c r="A97" s="576"/>
      <c r="B97" s="540"/>
      <c r="C97" s="579">
        <v>100</v>
      </c>
      <c r="D97" s="541">
        <f>C97-$K23</f>
        <v>95</v>
      </c>
      <c r="E97" s="541">
        <f>D97-$K23</f>
        <v>90</v>
      </c>
      <c r="F97" s="541">
        <f>E97-$K23</f>
        <v>85</v>
      </c>
      <c r="G97" s="541">
        <f>F97-$K23</f>
        <v>80</v>
      </c>
      <c r="H97" s="541"/>
      <c r="I97" s="541"/>
      <c r="J97" s="541"/>
      <c r="K97" s="541"/>
      <c r="L97" s="541"/>
      <c r="M97" s="542"/>
      <c r="N97" s="1147"/>
      <c r="O97" s="1147"/>
      <c r="P97" s="45"/>
      <c r="Q97" s="501"/>
    </row>
    <row r="98" spans="1:17" s="116" customFormat="1" ht="27.75" hidden="1" thickTop="1">
      <c r="A98" s="576"/>
      <c r="B98" s="535" t="s">
        <v>2775</v>
      </c>
      <c r="C98" s="570" t="s">
        <v>2586</v>
      </c>
      <c r="D98" s="570" t="s">
        <v>2587</v>
      </c>
      <c r="E98" s="570" t="s">
        <v>2588</v>
      </c>
      <c r="F98" s="570" t="s">
        <v>2589</v>
      </c>
      <c r="G98" s="570" t="s">
        <v>2590</v>
      </c>
      <c r="H98" s="575"/>
      <c r="I98" s="575"/>
      <c r="J98" s="575"/>
      <c r="K98" s="575"/>
      <c r="L98" s="575"/>
      <c r="M98" s="619"/>
      <c r="N98" s="1145"/>
      <c r="O98" s="1145"/>
      <c r="P98" s="45"/>
      <c r="Q98" s="501"/>
    </row>
    <row r="99" spans="1:17" s="116" customFormat="1" ht="15.75" hidden="1" thickBot="1">
      <c r="A99" s="576"/>
      <c r="B99" s="540"/>
      <c r="C99" s="541">
        <v>100</v>
      </c>
      <c r="D99" s="541">
        <f>C99-$K25</f>
        <v>97</v>
      </c>
      <c r="E99" s="541">
        <f>D99-$K25</f>
        <v>94</v>
      </c>
      <c r="F99" s="541">
        <f>E99-$K25</f>
        <v>91</v>
      </c>
      <c r="G99" s="541">
        <f>F99-$K25</f>
        <v>88</v>
      </c>
      <c r="H99" s="541"/>
      <c r="I99" s="541"/>
      <c r="J99" s="541"/>
      <c r="K99" s="541"/>
      <c r="L99" s="541"/>
      <c r="M99" s="542"/>
      <c r="N99" s="1147"/>
      <c r="O99" s="1147"/>
      <c r="P99" s="45"/>
      <c r="Q99" s="501"/>
    </row>
    <row r="100" spans="1:17" s="468" customFormat="1" ht="15.75" hidden="1" thickTop="1">
      <c r="A100" s="550"/>
      <c r="B100" s="535" t="s">
        <v>2643</v>
      </c>
      <c r="C100" s="570" t="s">
        <v>2586</v>
      </c>
      <c r="D100" s="570" t="s">
        <v>2587</v>
      </c>
      <c r="E100" s="570" t="s">
        <v>2588</v>
      </c>
      <c r="F100" s="570" t="s">
        <v>2589</v>
      </c>
      <c r="G100" s="570" t="s">
        <v>2590</v>
      </c>
      <c r="H100" s="597"/>
      <c r="I100" s="597"/>
      <c r="J100" s="597"/>
      <c r="K100" s="597"/>
      <c r="L100" s="598"/>
      <c r="M100" s="599"/>
      <c r="N100" s="1148"/>
      <c r="O100" s="1148"/>
      <c r="P100" s="555"/>
      <c r="Q100" s="556"/>
    </row>
    <row r="101" spans="1:17" s="468" customFormat="1" ht="15.75" hidden="1" thickBot="1">
      <c r="A101" s="550"/>
      <c r="B101" s="540"/>
      <c r="C101" s="541">
        <v>100</v>
      </c>
      <c r="D101" s="541">
        <f>C101-$K27</f>
        <v>95</v>
      </c>
      <c r="E101" s="541">
        <f>D101-$K27</f>
        <v>90</v>
      </c>
      <c r="F101" s="541">
        <f>E101-$K27</f>
        <v>85</v>
      </c>
      <c r="G101" s="541">
        <f>F101-$K27</f>
        <v>80</v>
      </c>
      <c r="H101" s="604"/>
      <c r="I101" s="604"/>
      <c r="J101" s="604"/>
      <c r="K101" s="604"/>
      <c r="L101" s="604"/>
      <c r="M101" s="605"/>
      <c r="N101" s="1148"/>
      <c r="O101" s="1148"/>
      <c r="P101" s="555"/>
      <c r="Q101" s="556"/>
    </row>
    <row r="102" spans="1:17" s="468" customFormat="1" ht="15.75" hidden="1" thickTop="1">
      <c r="A102" s="550"/>
      <c r="B102" s="543" t="s">
        <v>2644</v>
      </c>
      <c r="C102" s="657" t="s">
        <v>2664</v>
      </c>
      <c r="D102" s="657" t="s">
        <v>2665</v>
      </c>
      <c r="E102" s="657" t="s">
        <v>2666</v>
      </c>
      <c r="F102" s="657" t="s">
        <v>2667</v>
      </c>
      <c r="G102" s="657" t="s">
        <v>2668</v>
      </c>
      <c r="H102" s="597"/>
      <c r="I102" s="597"/>
      <c r="J102" s="597"/>
      <c r="K102" s="597"/>
      <c r="L102" s="597"/>
      <c r="M102" s="1379"/>
      <c r="N102" s="1148"/>
      <c r="O102" s="1148"/>
      <c r="P102" s="555"/>
      <c r="Q102" s="556"/>
    </row>
    <row r="103" spans="1:17" s="468" customFormat="1" ht="15.75" hidden="1" thickBot="1">
      <c r="A103" s="550"/>
      <c r="B103" s="543"/>
      <c r="C103" s="541">
        <v>100</v>
      </c>
      <c r="D103" s="541">
        <f>C103-$K29</f>
        <v>98</v>
      </c>
      <c r="E103" s="541">
        <f>D103-$K29</f>
        <v>96</v>
      </c>
      <c r="F103" s="541">
        <f>E103-$K29</f>
        <v>94</v>
      </c>
      <c r="G103" s="541">
        <f>F103-$K29</f>
        <v>92</v>
      </c>
      <c r="H103" s="545"/>
      <c r="I103" s="545"/>
      <c r="J103" s="545"/>
      <c r="K103" s="545"/>
      <c r="L103" s="545"/>
      <c r="M103" s="1379"/>
      <c r="N103" s="1148"/>
      <c r="O103" s="1148"/>
      <c r="P103" s="555"/>
      <c r="Q103" s="556"/>
    </row>
    <row r="104" spans="1:17" ht="15.75" hidden="1" thickTop="1">
      <c r="A104" s="531"/>
      <c r="B104" s="535" t="str">
        <f>B31</f>
        <v>临街状况</v>
      </c>
      <c r="C104" s="536" t="s">
        <v>2776</v>
      </c>
      <c r="D104" s="536" t="s">
        <v>2777</v>
      </c>
      <c r="E104" s="536" t="s">
        <v>2778</v>
      </c>
      <c r="F104" s="536" t="s">
        <v>2779</v>
      </c>
      <c r="G104" s="536"/>
      <c r="H104" s="536"/>
      <c r="I104" s="536"/>
      <c r="J104" s="536"/>
      <c r="K104" s="537"/>
      <c r="L104" s="538"/>
      <c r="M104" s="539"/>
      <c r="N104" s="1146"/>
      <c r="O104" s="1146"/>
      <c r="P104" s="45"/>
      <c r="Q104" s="501"/>
    </row>
    <row r="105" spans="1:17" ht="15.75" hidden="1"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47"/>
      <c r="O105" s="1147"/>
      <c r="P105" s="45"/>
      <c r="Q105" s="501"/>
    </row>
    <row r="106" spans="1:17" ht="27.75" hidden="1" thickTop="1">
      <c r="A106" s="531"/>
      <c r="B106" s="535" t="s">
        <v>2680</v>
      </c>
      <c r="C106" s="2968" t="s">
        <v>3650</v>
      </c>
      <c r="D106" s="2968" t="s">
        <v>3651</v>
      </c>
      <c r="E106" s="2968" t="s">
        <v>3652</v>
      </c>
      <c r="F106" s="2968" t="s">
        <v>3653</v>
      </c>
      <c r="G106" s="2968" t="s">
        <v>3654</v>
      </c>
      <c r="H106" s="580"/>
      <c r="I106" s="580"/>
      <c r="J106" s="580"/>
      <c r="K106" s="581"/>
      <c r="L106" s="582"/>
      <c r="M106" s="583"/>
      <c r="N106" s="1146"/>
      <c r="O106" s="1146"/>
      <c r="P106" s="45"/>
      <c r="Q106" s="501"/>
    </row>
    <row r="107" spans="1:17" ht="15.75" hidden="1"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7"/>
      <c r="O107" s="1147"/>
      <c r="P107" s="45"/>
      <c r="Q107" s="501"/>
    </row>
    <row r="108" spans="1:17" ht="15.75" hidden="1" thickTop="1">
      <c r="A108" s="531"/>
      <c r="B108" s="535" t="s">
        <v>2739</v>
      </c>
      <c r="C108" s="580"/>
      <c r="D108" s="580"/>
      <c r="E108" s="580"/>
      <c r="F108" s="580"/>
      <c r="G108" s="580"/>
      <c r="H108" s="580"/>
      <c r="I108" s="580"/>
      <c r="J108" s="580"/>
      <c r="K108" s="581"/>
      <c r="L108" s="582"/>
      <c r="M108" s="583"/>
      <c r="N108" s="1146"/>
      <c r="O108" s="1146"/>
      <c r="P108" s="45"/>
      <c r="Q108" s="501"/>
    </row>
    <row r="109" spans="1:17" ht="15.75" hidden="1"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7"/>
      <c r="O109" s="1147"/>
      <c r="P109" s="45"/>
      <c r="Q109" s="501"/>
    </row>
    <row r="110" spans="1:17" ht="15.75" hidden="1" thickTop="1">
      <c r="A110" s="531"/>
      <c r="B110" s="543">
        <f>B35</f>
        <v>0</v>
      </c>
      <c r="C110" s="551"/>
      <c r="D110" s="551"/>
      <c r="E110" s="551"/>
      <c r="F110" s="551"/>
      <c r="G110" s="584"/>
      <c r="H110" s="584"/>
      <c r="I110" s="584"/>
      <c r="J110" s="584"/>
      <c r="K110" s="585"/>
      <c r="L110" s="586"/>
      <c r="M110" s="587"/>
      <c r="N110" s="1146"/>
      <c r="O110" s="1146"/>
      <c r="P110" s="45"/>
      <c r="Q110" s="501"/>
    </row>
    <row r="111" spans="1:17" ht="15.75" hidden="1" thickBot="1">
      <c r="A111" s="531"/>
      <c r="B111" s="566"/>
      <c r="C111" s="557"/>
      <c r="D111" s="557"/>
      <c r="E111" s="557"/>
      <c r="F111" s="557"/>
      <c r="G111" s="588"/>
      <c r="H111" s="588"/>
      <c r="I111" s="588"/>
      <c r="J111" s="588"/>
      <c r="K111" s="588"/>
      <c r="L111" s="588"/>
      <c r="M111" s="589"/>
      <c r="N111" s="1147"/>
      <c r="O111" s="1147"/>
      <c r="P111" s="45"/>
      <c r="Q111" s="501"/>
    </row>
    <row r="112" spans="1:17" ht="15" hidden="1" thickTop="1">
      <c r="A112" s="672"/>
      <c r="B112" s="535">
        <f>B36</f>
        <v>0</v>
      </c>
      <c r="C112" s="520"/>
      <c r="D112" s="520"/>
      <c r="E112" s="520"/>
      <c r="F112" s="520"/>
      <c r="G112" s="580"/>
      <c r="H112" s="580"/>
      <c r="I112" s="580"/>
      <c r="J112" s="580"/>
      <c r="K112" s="581"/>
      <c r="L112" s="582"/>
      <c r="M112" s="583"/>
      <c r="N112" s="1146"/>
      <c r="O112" s="1146"/>
      <c r="P112" s="45"/>
      <c r="Q112" s="501"/>
    </row>
    <row r="113" spans="1:17" ht="15.75" hidden="1" thickBot="1">
      <c r="A113" s="531"/>
      <c r="B113" s="540"/>
      <c r="C113" s="567"/>
      <c r="D113" s="567"/>
      <c r="E113" s="567"/>
      <c r="F113" s="567"/>
      <c r="G113" s="533"/>
      <c r="H113" s="533"/>
      <c r="I113" s="533"/>
      <c r="J113" s="533"/>
      <c r="K113" s="533"/>
      <c r="L113" s="533"/>
      <c r="M113" s="534"/>
      <c r="N113" s="1147"/>
      <c r="O113" s="1147"/>
      <c r="P113" s="45"/>
      <c r="Q113" s="501"/>
    </row>
    <row r="114" spans="1:17" s="468" customFormat="1" ht="15" hidden="1" thickTop="1">
      <c r="A114" s="590"/>
      <c r="B114" s="591">
        <f>B37</f>
        <v>0</v>
      </c>
      <c r="C114" s="592"/>
      <c r="D114" s="592"/>
      <c r="E114" s="592"/>
      <c r="F114" s="592"/>
      <c r="G114" s="592"/>
      <c r="H114" s="592"/>
      <c r="I114" s="592"/>
      <c r="J114" s="593"/>
      <c r="K114" s="593"/>
      <c r="L114" s="594"/>
      <c r="M114" s="595"/>
      <c r="N114" s="1148"/>
      <c r="O114" s="1148"/>
      <c r="P114" s="555"/>
      <c r="Q114" s="556"/>
    </row>
    <row r="115" spans="1:17" s="468" customFormat="1" ht="15.75" hidden="1" thickBot="1">
      <c r="A115" s="550"/>
      <c r="B115" s="543"/>
      <c r="C115" s="509"/>
      <c r="D115" s="674"/>
      <c r="E115" s="674"/>
      <c r="F115" s="674"/>
      <c r="G115" s="674"/>
      <c r="H115" s="674"/>
      <c r="I115" s="674"/>
      <c r="J115" s="674"/>
      <c r="K115" s="674"/>
      <c r="L115" s="674"/>
      <c r="M115" s="696"/>
      <c r="N115" s="1147"/>
      <c r="O115" s="1147"/>
      <c r="P115" s="555"/>
      <c r="Q115" s="556"/>
    </row>
    <row r="116" spans="1:17" hidden="1">
      <c r="A116" s="524" t="s">
        <v>2552</v>
      </c>
      <c r="B116" s="525" t="s">
        <v>2780</v>
      </c>
      <c r="C116" s="526" t="str">
        <f>C117&amp;"(含)"&amp;"-"&amp;D117</f>
        <v>0(含)-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6"/>
      <c r="O116" s="1146"/>
      <c r="P116" s="45"/>
      <c r="Q116" s="501"/>
    </row>
    <row r="117" spans="1:17" ht="15" hidden="1">
      <c r="A117" s="531"/>
      <c r="B117" s="543"/>
      <c r="C117" s="592">
        <v>0</v>
      </c>
      <c r="D117" s="592"/>
      <c r="E117" s="592"/>
      <c r="F117" s="592"/>
      <c r="G117" s="592"/>
      <c r="H117" s="592"/>
      <c r="I117" s="592"/>
      <c r="J117" s="593"/>
      <c r="K117" s="593"/>
      <c r="L117" s="594"/>
      <c r="M117" s="595"/>
      <c r="N117" s="1146"/>
      <c r="O117" s="1146"/>
      <c r="P117" s="45"/>
      <c r="Q117" s="501"/>
    </row>
    <row r="118" spans="1:17" ht="15.75" hidden="1" thickBot="1">
      <c r="A118" s="531"/>
      <c r="B118" s="540"/>
      <c r="C118" s="567">
        <v>100</v>
      </c>
      <c r="D118" s="588"/>
      <c r="E118" s="588"/>
      <c r="F118" s="588"/>
      <c r="G118" s="588"/>
      <c r="H118" s="588"/>
      <c r="I118" s="588"/>
      <c r="J118" s="588"/>
      <c r="K118" s="588"/>
      <c r="L118" s="588"/>
      <c r="M118" s="589"/>
      <c r="N118" s="1147"/>
      <c r="O118" s="1147"/>
      <c r="P118" s="45"/>
      <c r="Q118" s="501"/>
    </row>
    <row r="119" spans="1:17" ht="15" hidden="1" thickTop="1">
      <c r="A119" s="596"/>
      <c r="B119" s="535" t="s">
        <v>2781</v>
      </c>
      <c r="C119" s="2969" t="s">
        <v>3641</v>
      </c>
      <c r="D119" s="2969" t="s">
        <v>3643</v>
      </c>
      <c r="E119" s="580"/>
      <c r="F119" s="580"/>
      <c r="G119" s="580"/>
      <c r="H119" s="580"/>
      <c r="I119" s="580"/>
      <c r="J119" s="580"/>
      <c r="K119" s="581"/>
      <c r="L119" s="582"/>
      <c r="M119" s="583"/>
      <c r="N119" s="1146"/>
      <c r="O119" s="1146"/>
      <c r="P119" s="45"/>
      <c r="Q119" s="501"/>
    </row>
    <row r="120" spans="1:17" ht="15.75" hidden="1" thickBot="1">
      <c r="A120" s="531"/>
      <c r="B120" s="540"/>
      <c r="C120" s="541">
        <v>100</v>
      </c>
      <c r="D120" s="541">
        <f t="shared" ref="D120:M120" si="26">C120-$K39</f>
        <v>98</v>
      </c>
      <c r="E120" s="541">
        <f t="shared" si="26"/>
        <v>96</v>
      </c>
      <c r="F120" s="541">
        <f t="shared" si="26"/>
        <v>94</v>
      </c>
      <c r="G120" s="541">
        <f t="shared" si="26"/>
        <v>92</v>
      </c>
      <c r="H120" s="541">
        <f t="shared" si="26"/>
        <v>90</v>
      </c>
      <c r="I120" s="541">
        <f t="shared" si="26"/>
        <v>88</v>
      </c>
      <c r="J120" s="541">
        <f t="shared" si="26"/>
        <v>86</v>
      </c>
      <c r="K120" s="541">
        <f t="shared" si="26"/>
        <v>84</v>
      </c>
      <c r="L120" s="541">
        <f t="shared" si="26"/>
        <v>82</v>
      </c>
      <c r="M120" s="542">
        <f t="shared" si="26"/>
        <v>80</v>
      </c>
      <c r="N120" s="1147"/>
      <c r="O120" s="1147"/>
      <c r="P120" s="45"/>
      <c r="Q120" s="501"/>
    </row>
    <row r="121" spans="1:17" ht="15" hidden="1" thickTop="1">
      <c r="A121" s="596"/>
      <c r="B121" s="535" t="s">
        <v>2782</v>
      </c>
      <c r="C121" s="551"/>
      <c r="D121" s="551"/>
      <c r="E121" s="551"/>
      <c r="F121" s="580"/>
      <c r="G121" s="580"/>
      <c r="H121" s="580"/>
      <c r="I121" s="580"/>
      <c r="J121" s="580"/>
      <c r="K121" s="581"/>
      <c r="L121" s="582"/>
      <c r="M121" s="583"/>
      <c r="N121" s="1146"/>
      <c r="O121" s="1146"/>
      <c r="P121" s="45"/>
      <c r="Q121" s="501"/>
    </row>
    <row r="122" spans="1:17" ht="15.75" hidden="1" thickBot="1">
      <c r="A122" s="531"/>
      <c r="B122" s="540"/>
      <c r="C122" s="541">
        <v>100</v>
      </c>
      <c r="D122" s="541">
        <f t="shared" ref="D122:M122" si="27">C122-$K40</f>
        <v>98</v>
      </c>
      <c r="E122" s="541">
        <f t="shared" si="27"/>
        <v>96</v>
      </c>
      <c r="F122" s="541">
        <f t="shared" si="27"/>
        <v>94</v>
      </c>
      <c r="G122" s="541">
        <f t="shared" si="27"/>
        <v>92</v>
      </c>
      <c r="H122" s="541">
        <f t="shared" si="27"/>
        <v>90</v>
      </c>
      <c r="I122" s="541">
        <f t="shared" si="27"/>
        <v>88</v>
      </c>
      <c r="J122" s="541">
        <f t="shared" si="27"/>
        <v>86</v>
      </c>
      <c r="K122" s="541">
        <f t="shared" si="27"/>
        <v>84</v>
      </c>
      <c r="L122" s="541">
        <f t="shared" si="27"/>
        <v>82</v>
      </c>
      <c r="M122" s="542">
        <f t="shared" si="27"/>
        <v>80</v>
      </c>
      <c r="N122" s="1147"/>
      <c r="O122" s="1147"/>
      <c r="P122" s="45"/>
      <c r="Q122" s="501"/>
    </row>
    <row r="123" spans="1:17" s="468" customFormat="1" ht="15" hidden="1" thickTop="1">
      <c r="A123" s="590"/>
      <c r="B123" s="535" t="s">
        <v>2783</v>
      </c>
      <c r="C123" s="2968" t="s">
        <v>3644</v>
      </c>
      <c r="D123" s="2968" t="s">
        <v>3645</v>
      </c>
      <c r="E123" s="2968" t="s">
        <v>3646</v>
      </c>
      <c r="F123" s="2968" t="s">
        <v>3648</v>
      </c>
      <c r="G123" s="551"/>
      <c r="H123" s="580"/>
      <c r="I123" s="580"/>
      <c r="J123" s="580"/>
      <c r="K123" s="581"/>
      <c r="L123" s="582"/>
      <c r="M123" s="583"/>
      <c r="N123" s="1148"/>
      <c r="O123" s="1148"/>
      <c r="P123" s="555"/>
      <c r="Q123" s="556"/>
    </row>
    <row r="124" spans="1:17" s="468" customFormat="1" ht="15.75" hidden="1" thickBot="1">
      <c r="A124" s="550"/>
      <c r="B124" s="540"/>
      <c r="C124" s="541">
        <v>100</v>
      </c>
      <c r="D124" s="541">
        <f>C124-$K41</f>
        <v>98</v>
      </c>
      <c r="E124" s="541">
        <f t="shared" ref="E124:M124" si="28">D124-$K41</f>
        <v>96</v>
      </c>
      <c r="F124" s="541">
        <f t="shared" si="28"/>
        <v>94</v>
      </c>
      <c r="G124" s="541">
        <f t="shared" si="28"/>
        <v>92</v>
      </c>
      <c r="H124" s="541">
        <f t="shared" si="28"/>
        <v>90</v>
      </c>
      <c r="I124" s="541">
        <f t="shared" si="28"/>
        <v>88</v>
      </c>
      <c r="J124" s="541">
        <f t="shared" si="28"/>
        <v>86</v>
      </c>
      <c r="K124" s="541">
        <f t="shared" si="28"/>
        <v>84</v>
      </c>
      <c r="L124" s="541">
        <f t="shared" si="28"/>
        <v>82</v>
      </c>
      <c r="M124" s="542">
        <f t="shared" si="28"/>
        <v>80</v>
      </c>
      <c r="N124" s="1148"/>
      <c r="O124" s="1148"/>
      <c r="P124" s="555"/>
      <c r="Q124" s="556"/>
    </row>
    <row r="125" spans="1:17" ht="15" hidden="1" thickTop="1">
      <c r="A125" s="596"/>
      <c r="B125" s="535" t="s">
        <v>2784</v>
      </c>
      <c r="C125" s="2968" t="s">
        <v>3649</v>
      </c>
      <c r="D125" s="551"/>
      <c r="E125" s="580"/>
      <c r="F125" s="580"/>
      <c r="G125" s="580"/>
      <c r="H125" s="580"/>
      <c r="I125" s="580"/>
      <c r="J125" s="580"/>
      <c r="K125" s="581"/>
      <c r="L125" s="582"/>
      <c r="M125" s="583"/>
      <c r="N125" s="1146"/>
      <c r="O125" s="1146"/>
      <c r="P125" s="45"/>
      <c r="Q125" s="501"/>
    </row>
    <row r="126" spans="1:17" ht="15.75" hidden="1" thickBot="1">
      <c r="A126" s="531"/>
      <c r="B126" s="540"/>
      <c r="C126" s="541">
        <v>100</v>
      </c>
      <c r="D126" s="541">
        <f t="shared" ref="D126:M126" si="29">C126-$K42</f>
        <v>98</v>
      </c>
      <c r="E126" s="541">
        <f t="shared" si="29"/>
        <v>96</v>
      </c>
      <c r="F126" s="541">
        <f t="shared" si="29"/>
        <v>94</v>
      </c>
      <c r="G126" s="541">
        <f t="shared" si="29"/>
        <v>92</v>
      </c>
      <c r="H126" s="541">
        <f t="shared" si="29"/>
        <v>90</v>
      </c>
      <c r="I126" s="541">
        <f t="shared" si="29"/>
        <v>88</v>
      </c>
      <c r="J126" s="541">
        <f t="shared" si="29"/>
        <v>86</v>
      </c>
      <c r="K126" s="541">
        <f t="shared" si="29"/>
        <v>84</v>
      </c>
      <c r="L126" s="541">
        <f t="shared" si="29"/>
        <v>82</v>
      </c>
      <c r="M126" s="542">
        <f t="shared" si="29"/>
        <v>80</v>
      </c>
      <c r="N126" s="1147"/>
      <c r="O126" s="1147"/>
      <c r="P126" s="45"/>
      <c r="Q126" s="501"/>
    </row>
    <row r="127" spans="1:17" ht="15" hidden="1" thickTop="1">
      <c r="A127" s="596"/>
      <c r="B127" s="535" t="str">
        <f>B43</f>
        <v>宗地面积</v>
      </c>
      <c r="C127" s="2968" t="s">
        <v>3682</v>
      </c>
      <c r="D127" s="551" t="s">
        <v>3683</v>
      </c>
      <c r="E127" s="551"/>
      <c r="F127" s="551"/>
      <c r="G127" s="551"/>
      <c r="H127" s="580"/>
      <c r="I127" s="580"/>
      <c r="J127" s="580"/>
      <c r="K127" s="581"/>
      <c r="L127" s="582"/>
      <c r="M127" s="583"/>
      <c r="N127" s="1146"/>
      <c r="O127" s="1146"/>
      <c r="P127" s="45"/>
      <c r="Q127" s="501"/>
    </row>
    <row r="128" spans="1:17" ht="15.75" hidden="1" thickBot="1">
      <c r="A128" s="531"/>
      <c r="B128" s="540"/>
      <c r="C128" s="557">
        <v>100</v>
      </c>
      <c r="D128" s="557">
        <v>98</v>
      </c>
      <c r="E128" s="557"/>
      <c r="F128" s="557"/>
      <c r="G128" s="533"/>
      <c r="H128" s="533"/>
      <c r="I128" s="533"/>
      <c r="J128" s="533"/>
      <c r="K128" s="533"/>
      <c r="L128" s="533"/>
      <c r="M128" s="534"/>
      <c r="N128" s="1147"/>
      <c r="O128" s="1147"/>
      <c r="P128" s="45"/>
      <c r="Q128" s="501"/>
    </row>
    <row r="129" spans="1:17" ht="15" hidden="1" thickTop="1">
      <c r="A129" s="596"/>
      <c r="B129" s="535">
        <f>B44</f>
        <v>0</v>
      </c>
      <c r="C129" s="520"/>
      <c r="D129" s="520"/>
      <c r="E129" s="520"/>
      <c r="F129" s="520"/>
      <c r="G129" s="580"/>
      <c r="H129" s="580"/>
      <c r="I129" s="580"/>
      <c r="J129" s="580"/>
      <c r="K129" s="581"/>
      <c r="L129" s="582"/>
      <c r="M129" s="583"/>
      <c r="N129" s="1146"/>
      <c r="O129" s="1146"/>
      <c r="P129" s="45"/>
      <c r="Q129" s="501"/>
    </row>
    <row r="130" spans="1:17" ht="15.75" hidden="1" thickBot="1">
      <c r="A130" s="531"/>
      <c r="B130" s="540"/>
      <c r="C130" s="567"/>
      <c r="D130" s="567"/>
      <c r="E130" s="567"/>
      <c r="F130" s="567"/>
      <c r="G130" s="533"/>
      <c r="H130" s="533"/>
      <c r="I130" s="533"/>
      <c r="J130" s="533"/>
      <c r="K130" s="533"/>
      <c r="L130" s="533"/>
      <c r="M130" s="534"/>
      <c r="N130" s="1147"/>
      <c r="O130" s="1147"/>
      <c r="P130" s="45"/>
      <c r="Q130" s="501"/>
    </row>
    <row r="131" spans="1:17" s="468" customFormat="1" ht="15" hidden="1" thickTop="1">
      <c r="A131" s="590"/>
      <c r="B131" s="535">
        <f>B45</f>
        <v>0</v>
      </c>
      <c r="C131" s="520"/>
      <c r="D131" s="520"/>
      <c r="E131" s="520"/>
      <c r="F131" s="520"/>
      <c r="G131" s="552"/>
      <c r="H131" s="552"/>
      <c r="I131" s="552"/>
      <c r="J131" s="552"/>
      <c r="K131" s="552"/>
      <c r="L131" s="553"/>
      <c r="M131" s="554"/>
      <c r="N131" s="1148"/>
      <c r="O131" s="1148"/>
      <c r="P131" s="555"/>
      <c r="Q131" s="556"/>
    </row>
    <row r="132" spans="1:17" s="468" customFormat="1" ht="15.75" hidden="1" thickBot="1">
      <c r="A132" s="565"/>
      <c r="B132" s="697"/>
      <c r="C132" s="567"/>
      <c r="D132" s="567"/>
      <c r="E132" s="567"/>
      <c r="F132" s="567"/>
      <c r="G132" s="588"/>
      <c r="H132" s="588"/>
      <c r="I132" s="588"/>
      <c r="J132" s="588"/>
      <c r="K132" s="588"/>
      <c r="L132" s="588"/>
      <c r="M132" s="589"/>
      <c r="N132" s="1148"/>
      <c r="O132" s="1148"/>
      <c r="P132" s="555"/>
      <c r="Q132" s="556"/>
    </row>
    <row r="133" spans="1:17" hidden="1"/>
    <row r="134" spans="1:17" hidden="1"/>
    <row r="135" spans="1:17" hidden="1"/>
    <row r="136" spans="1:17" hidden="1"/>
    <row r="137" spans="1:17" hidden="1"/>
    <row r="138" spans="1:17" hidden="1"/>
    <row r="139" spans="1:17" hidden="1"/>
    <row r="140" spans="1:17" hidden="1"/>
    <row r="141" spans="1:17" hidden="1"/>
    <row r="142" spans="1:17" hidden="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topLeftCell="A45" workbookViewId="0">
      <selection activeCell="E62" sqref="E62"/>
    </sheetView>
  </sheetViews>
  <sheetFormatPr defaultColWidth="9" defaultRowHeight="13.5"/>
  <cols>
    <col min="1" max="1" width="41.625" style="2965" customWidth="1"/>
    <col min="2" max="4" width="13.625" style="2965" hidden="1" customWidth="1"/>
    <col min="5" max="5" width="24.625" style="2965" customWidth="1"/>
    <col min="6" max="6" width="0" style="2965" hidden="1" customWidth="1"/>
    <col min="7" max="7" width="22" style="2965" customWidth="1"/>
    <col min="8" max="8" width="28.125" style="2965" customWidth="1"/>
    <col min="9" max="10" width="16.625" style="2965" customWidth="1"/>
    <col min="11" max="11" width="29.875" style="2965" customWidth="1"/>
    <col min="12" max="12" width="12.5" style="2965" customWidth="1"/>
    <col min="13" max="13" width="0" style="2965" hidden="1" customWidth="1"/>
    <col min="14" max="14" width="39.125" style="2965" customWidth="1"/>
    <col min="15" max="17" width="17.125" style="2965" customWidth="1"/>
    <col min="18" max="18" width="11" style="2965" customWidth="1"/>
    <col min="19" max="19" width="17" style="2965" customWidth="1"/>
    <col min="20" max="16384" width="9" style="2965"/>
  </cols>
  <sheetData>
    <row r="1" spans="1:20">
      <c r="A1" s="2970" t="s">
        <v>3117</v>
      </c>
      <c r="B1" s="2970" t="s">
        <v>3118</v>
      </c>
      <c r="C1" s="2970" t="s">
        <v>3119</v>
      </c>
      <c r="D1" s="2970" t="s">
        <v>3120</v>
      </c>
      <c r="E1" s="2970" t="s">
        <v>3121</v>
      </c>
      <c r="F1" s="2970" t="s">
        <v>3122</v>
      </c>
      <c r="G1" s="2970" t="s">
        <v>3123</v>
      </c>
      <c r="H1" s="2970" t="s">
        <v>3124</v>
      </c>
      <c r="I1" s="2970" t="s">
        <v>3125</v>
      </c>
      <c r="J1" s="2970" t="s">
        <v>3126</v>
      </c>
      <c r="K1" s="2970" t="s">
        <v>3127</v>
      </c>
      <c r="L1" s="2970" t="s">
        <v>3128</v>
      </c>
      <c r="M1" s="2970" t="s">
        <v>3129</v>
      </c>
      <c r="N1" s="2970" t="s">
        <v>3130</v>
      </c>
      <c r="O1" s="2970" t="s">
        <v>3131</v>
      </c>
      <c r="P1" s="2970" t="s">
        <v>3132</v>
      </c>
      <c r="Q1" s="2970" t="s">
        <v>3133</v>
      </c>
      <c r="R1" s="2970" t="s">
        <v>3134</v>
      </c>
      <c r="S1" s="2970" t="s">
        <v>3135</v>
      </c>
      <c r="T1" s="2970" t="s">
        <v>3136</v>
      </c>
    </row>
    <row r="2" spans="1:20">
      <c r="A2" s="2970" t="s">
        <v>3137</v>
      </c>
      <c r="B2" s="2970" t="s">
        <v>3138</v>
      </c>
      <c r="C2" s="2970" t="s">
        <v>3139</v>
      </c>
      <c r="D2" s="2970" t="s">
        <v>1327</v>
      </c>
      <c r="E2" s="2970" t="s">
        <v>3140</v>
      </c>
      <c r="F2" s="2970" t="s">
        <v>3141</v>
      </c>
      <c r="G2" s="2970" t="s">
        <v>3142</v>
      </c>
      <c r="H2" s="2970" t="s">
        <v>3143</v>
      </c>
      <c r="I2" s="2970">
        <v>106532</v>
      </c>
      <c r="J2" s="2970">
        <v>170451</v>
      </c>
      <c r="K2" s="2970" t="s">
        <v>3144</v>
      </c>
      <c r="L2" s="2970" t="s">
        <v>3145</v>
      </c>
      <c r="M2" s="2970" t="s">
        <v>3146</v>
      </c>
      <c r="N2" s="2970" t="s">
        <v>3147</v>
      </c>
      <c r="O2" s="2970">
        <v>204541</v>
      </c>
      <c r="P2" s="2970">
        <v>1280</v>
      </c>
      <c r="Q2" s="2970">
        <v>11999.98</v>
      </c>
      <c r="R2" s="2970">
        <v>0</v>
      </c>
      <c r="S2" s="2970" t="s">
        <v>3148</v>
      </c>
      <c r="T2" s="2970" t="s">
        <v>3149</v>
      </c>
    </row>
    <row r="3" spans="1:20">
      <c r="A3" s="2970" t="s">
        <v>3150</v>
      </c>
      <c r="B3" s="2970" t="s">
        <v>3138</v>
      </c>
      <c r="C3" s="2970" t="s">
        <v>3151</v>
      </c>
      <c r="D3" s="2970" t="s">
        <v>1327</v>
      </c>
      <c r="E3" s="2970" t="s">
        <v>3152</v>
      </c>
      <c r="F3" s="2970" t="s">
        <v>3141</v>
      </c>
      <c r="G3" s="2970" t="s">
        <v>3153</v>
      </c>
      <c r="H3" s="2970" t="s">
        <v>3154</v>
      </c>
      <c r="I3" s="2970">
        <v>45932</v>
      </c>
      <c r="J3" s="2970">
        <v>137796</v>
      </c>
      <c r="K3" s="2970" t="s">
        <v>3155</v>
      </c>
      <c r="L3" s="2970" t="s">
        <v>3156</v>
      </c>
      <c r="M3" s="2970" t="s">
        <v>3157</v>
      </c>
      <c r="N3" s="2970" t="s">
        <v>3158</v>
      </c>
      <c r="O3" s="2970">
        <v>415246</v>
      </c>
      <c r="P3" s="2970">
        <v>6026.97</v>
      </c>
      <c r="Q3" s="2970">
        <v>30134.84</v>
      </c>
      <c r="R3" s="2970">
        <v>19.579999999999998</v>
      </c>
      <c r="S3" s="2970">
        <v>70</v>
      </c>
      <c r="T3" s="2970" t="s">
        <v>3149</v>
      </c>
    </row>
    <row r="4" spans="1:20">
      <c r="A4" s="2970" t="s">
        <v>3159</v>
      </c>
      <c r="B4" s="2970" t="s">
        <v>3138</v>
      </c>
      <c r="C4" s="2970" t="s">
        <v>3151</v>
      </c>
      <c r="D4" s="2970" t="s">
        <v>1327</v>
      </c>
      <c r="E4" s="2970" t="s">
        <v>3160</v>
      </c>
      <c r="F4" s="2970" t="s">
        <v>3141</v>
      </c>
      <c r="G4" s="2970" t="s">
        <v>3161</v>
      </c>
      <c r="H4" s="2970" t="s">
        <v>3162</v>
      </c>
      <c r="I4" s="2970">
        <v>33580</v>
      </c>
      <c r="J4" s="2970">
        <v>83950</v>
      </c>
      <c r="K4" s="2970" t="s">
        <v>3163</v>
      </c>
      <c r="L4" s="2970" t="s">
        <v>3164</v>
      </c>
      <c r="M4" s="2970" t="s">
        <v>3165</v>
      </c>
      <c r="N4" s="2970" t="s">
        <v>3166</v>
      </c>
      <c r="O4" s="2970">
        <v>205900</v>
      </c>
      <c r="P4" s="2970">
        <v>4087.75</v>
      </c>
      <c r="Q4" s="2970">
        <v>24526.5</v>
      </c>
      <c r="R4" s="2970">
        <v>22.63</v>
      </c>
      <c r="S4" s="2970" t="s">
        <v>3167</v>
      </c>
      <c r="T4" s="2970" t="s">
        <v>3149</v>
      </c>
    </row>
    <row r="5" spans="1:20">
      <c r="A5" s="2970" t="s">
        <v>3168</v>
      </c>
      <c r="B5" s="2970" t="s">
        <v>3138</v>
      </c>
      <c r="C5" s="2970" t="s">
        <v>3151</v>
      </c>
      <c r="D5" s="2970" t="s">
        <v>1327</v>
      </c>
      <c r="E5" s="2970" t="s">
        <v>3169</v>
      </c>
      <c r="F5" s="2970" t="s">
        <v>3141</v>
      </c>
      <c r="G5" s="2970" t="s">
        <v>3170</v>
      </c>
      <c r="H5" s="2970" t="s">
        <v>3171</v>
      </c>
      <c r="I5" s="2970">
        <v>60767</v>
      </c>
      <c r="J5" s="2970">
        <v>151917</v>
      </c>
      <c r="K5" s="2970" t="s">
        <v>3163</v>
      </c>
      <c r="L5" s="2970" t="s">
        <v>3172</v>
      </c>
      <c r="M5" s="2970" t="s">
        <v>3173</v>
      </c>
      <c r="N5" s="2970" t="s">
        <v>3174</v>
      </c>
      <c r="O5" s="2970">
        <v>365834</v>
      </c>
      <c r="P5" s="2970">
        <v>4013.52</v>
      </c>
      <c r="Q5" s="2970">
        <v>24081.18</v>
      </c>
      <c r="R5" s="2970">
        <v>20.41</v>
      </c>
      <c r="S5" s="2970" t="s">
        <v>3167</v>
      </c>
      <c r="T5" s="2970" t="s">
        <v>3149</v>
      </c>
    </row>
    <row r="6" spans="1:20">
      <c r="A6" s="2970" t="s">
        <v>3175</v>
      </c>
      <c r="B6" s="2970" t="s">
        <v>3138</v>
      </c>
      <c r="C6" s="2970" t="s">
        <v>3151</v>
      </c>
      <c r="D6" s="2970" t="s">
        <v>1327</v>
      </c>
      <c r="E6" s="2970" t="s">
        <v>3176</v>
      </c>
      <c r="F6" s="2970" t="s">
        <v>3141</v>
      </c>
      <c r="G6" s="2970" t="s">
        <v>3175</v>
      </c>
      <c r="H6" s="2970" t="s">
        <v>3177</v>
      </c>
      <c r="I6" s="2970">
        <v>89246</v>
      </c>
      <c r="J6" s="2970">
        <v>232039</v>
      </c>
      <c r="K6" s="2970" t="s">
        <v>3178</v>
      </c>
      <c r="L6" s="2970" t="s">
        <v>3179</v>
      </c>
      <c r="M6" s="2970" t="s">
        <v>3180</v>
      </c>
      <c r="N6" s="2970" t="s">
        <v>3181</v>
      </c>
      <c r="O6" s="2970">
        <v>331243</v>
      </c>
      <c r="P6" s="2970">
        <v>2474.38</v>
      </c>
      <c r="Q6" s="2970">
        <v>14275.31</v>
      </c>
      <c r="R6" s="2970">
        <v>29.78</v>
      </c>
      <c r="S6" s="2970" t="s">
        <v>3182</v>
      </c>
      <c r="T6" s="2970" t="s">
        <v>3183</v>
      </c>
    </row>
    <row r="7" spans="1:20">
      <c r="A7" s="2970" t="s">
        <v>3184</v>
      </c>
      <c r="B7" s="2970" t="s">
        <v>3138</v>
      </c>
      <c r="C7" s="2970" t="s">
        <v>3139</v>
      </c>
      <c r="D7" s="2970" t="s">
        <v>1327</v>
      </c>
      <c r="E7" s="2970" t="s">
        <v>3185</v>
      </c>
      <c r="F7" s="2970" t="s">
        <v>3141</v>
      </c>
      <c r="G7" s="2970" t="s">
        <v>3184</v>
      </c>
      <c r="H7" s="2970" t="s">
        <v>3186</v>
      </c>
      <c r="I7" s="2970">
        <v>24384</v>
      </c>
      <c r="J7" s="2970">
        <v>73152</v>
      </c>
      <c r="K7" s="2970" t="s">
        <v>3187</v>
      </c>
      <c r="L7" s="2970" t="s">
        <v>3188</v>
      </c>
      <c r="M7" s="2970" t="s">
        <v>3189</v>
      </c>
      <c r="N7" s="2970" t="s">
        <v>3190</v>
      </c>
      <c r="O7" s="2970">
        <v>37761</v>
      </c>
      <c r="P7" s="2970">
        <v>1032.4000000000001</v>
      </c>
      <c r="Q7" s="2970">
        <v>5161.9799999999996</v>
      </c>
      <c r="R7" s="2970">
        <v>29.05</v>
      </c>
      <c r="S7" s="2970" t="s">
        <v>3191</v>
      </c>
      <c r="T7" s="2970" t="s">
        <v>3192</v>
      </c>
    </row>
    <row r="8" spans="1:20">
      <c r="A8" s="2970" t="s">
        <v>3193</v>
      </c>
      <c r="B8" s="2970" t="s">
        <v>3138</v>
      </c>
      <c r="C8" s="2970" t="s">
        <v>3151</v>
      </c>
      <c r="D8" s="2970" t="s">
        <v>1327</v>
      </c>
      <c r="E8" s="2970" t="s">
        <v>3194</v>
      </c>
      <c r="F8" s="2970" t="s">
        <v>3141</v>
      </c>
      <c r="G8" s="2970" t="s">
        <v>3193</v>
      </c>
      <c r="H8" s="2970" t="s">
        <v>3195</v>
      </c>
      <c r="I8" s="2970">
        <v>35231</v>
      </c>
      <c r="J8" s="2970">
        <v>77508</v>
      </c>
      <c r="K8" s="2970" t="s">
        <v>3196</v>
      </c>
      <c r="L8" s="2970" t="s">
        <v>3188</v>
      </c>
      <c r="M8" s="2970" t="s">
        <v>3189</v>
      </c>
      <c r="N8" s="2970" t="s">
        <v>3197</v>
      </c>
      <c r="O8" s="2970">
        <v>153964</v>
      </c>
      <c r="P8" s="2970">
        <v>2913.42</v>
      </c>
      <c r="Q8" s="2970">
        <v>19864.27</v>
      </c>
      <c r="R8" s="2970">
        <v>11.6</v>
      </c>
      <c r="S8" s="2970" t="s">
        <v>3198</v>
      </c>
      <c r="T8" s="2970" t="s">
        <v>3149</v>
      </c>
    </row>
    <row r="9" spans="1:20">
      <c r="A9" s="2970" t="s">
        <v>3199</v>
      </c>
      <c r="B9" s="2970" t="s">
        <v>3138</v>
      </c>
      <c r="C9" s="2970" t="s">
        <v>3151</v>
      </c>
      <c r="D9" s="2970" t="s">
        <v>1327</v>
      </c>
      <c r="E9" s="2970" t="s">
        <v>3200</v>
      </c>
      <c r="F9" s="2970" t="s">
        <v>3141</v>
      </c>
      <c r="G9" s="2970" t="s">
        <v>3199</v>
      </c>
      <c r="H9" s="2970" t="s">
        <v>3201</v>
      </c>
      <c r="I9" s="2970">
        <v>19871</v>
      </c>
      <c r="J9" s="2970">
        <v>43716</v>
      </c>
      <c r="K9" s="2970" t="s">
        <v>3196</v>
      </c>
      <c r="L9" s="2970" t="s">
        <v>3188</v>
      </c>
      <c r="M9" s="2970" t="s">
        <v>3189</v>
      </c>
      <c r="N9" s="2970" t="s">
        <v>3202</v>
      </c>
      <c r="O9" s="2970">
        <v>13115</v>
      </c>
      <c r="P9" s="2970">
        <v>440</v>
      </c>
      <c r="Q9" s="2970">
        <v>3000.05</v>
      </c>
      <c r="R9" s="2970">
        <v>0</v>
      </c>
      <c r="S9" s="2970" t="s">
        <v>3198</v>
      </c>
      <c r="T9" s="2970" t="s">
        <v>3149</v>
      </c>
    </row>
    <row r="10" spans="1:20">
      <c r="A10" s="2970" t="s">
        <v>3203</v>
      </c>
      <c r="B10" s="2970" t="s">
        <v>3138</v>
      </c>
      <c r="C10" s="2970" t="s">
        <v>3151</v>
      </c>
      <c r="D10" s="2970" t="s">
        <v>1327</v>
      </c>
      <c r="E10" s="2970" t="s">
        <v>3204</v>
      </c>
      <c r="F10" s="2970" t="s">
        <v>3141</v>
      </c>
      <c r="G10" s="2970" t="s">
        <v>3203</v>
      </c>
      <c r="H10" s="2970" t="s">
        <v>3205</v>
      </c>
      <c r="I10" s="2970">
        <v>50176</v>
      </c>
      <c r="J10" s="2970">
        <v>130457</v>
      </c>
      <c r="K10" s="2970" t="s">
        <v>3206</v>
      </c>
      <c r="L10" s="2970" t="s">
        <v>3188</v>
      </c>
      <c r="M10" s="2970" t="s">
        <v>3189</v>
      </c>
      <c r="N10" s="2970" t="s">
        <v>3207</v>
      </c>
      <c r="O10" s="2970">
        <v>191812</v>
      </c>
      <c r="P10" s="2970">
        <v>2548.52</v>
      </c>
      <c r="Q10" s="2970">
        <v>14703.07</v>
      </c>
      <c r="R10" s="2970">
        <v>9.7200000000000006</v>
      </c>
      <c r="S10" s="2970" t="s">
        <v>3191</v>
      </c>
      <c r="T10" s="2970" t="s">
        <v>3183</v>
      </c>
    </row>
    <row r="11" spans="1:20">
      <c r="A11" s="2970" t="s">
        <v>3208</v>
      </c>
      <c r="B11" s="2970" t="s">
        <v>3138</v>
      </c>
      <c r="C11" s="2970" t="s">
        <v>3139</v>
      </c>
      <c r="D11" s="2970" t="s">
        <v>1327</v>
      </c>
      <c r="E11" s="2970" t="s">
        <v>3209</v>
      </c>
      <c r="F11" s="2970" t="s">
        <v>3141</v>
      </c>
      <c r="G11" s="2970" t="s">
        <v>3210</v>
      </c>
      <c r="H11" s="2970" t="s">
        <v>3211</v>
      </c>
      <c r="I11" s="2970">
        <v>25603</v>
      </c>
      <c r="J11" s="2970">
        <v>61447</v>
      </c>
      <c r="K11" s="2970" t="s">
        <v>3212</v>
      </c>
      <c r="L11" s="2970" t="s">
        <v>3213</v>
      </c>
      <c r="M11" s="2970" t="s">
        <v>3214</v>
      </c>
      <c r="N11" s="2970" t="s">
        <v>3215</v>
      </c>
      <c r="O11" s="2970">
        <v>157394</v>
      </c>
      <c r="P11" s="2970">
        <v>4098.32</v>
      </c>
      <c r="Q11" s="2970">
        <v>25614.59</v>
      </c>
      <c r="R11" s="2970">
        <v>28.07</v>
      </c>
      <c r="S11" s="2970" t="s">
        <v>3216</v>
      </c>
      <c r="T11" s="2970" t="s">
        <v>3149</v>
      </c>
    </row>
    <row r="12" spans="1:20">
      <c r="A12" s="2970" t="s">
        <v>3217</v>
      </c>
      <c r="B12" s="2970" t="s">
        <v>3138</v>
      </c>
      <c r="C12" s="2970" t="s">
        <v>3151</v>
      </c>
      <c r="D12" s="2970" t="s">
        <v>1327</v>
      </c>
      <c r="E12" s="2970" t="s">
        <v>3218</v>
      </c>
      <c r="F12" s="2970" t="s">
        <v>3141</v>
      </c>
      <c r="G12" s="2970" t="s">
        <v>3219</v>
      </c>
      <c r="H12" s="2970" t="s">
        <v>3220</v>
      </c>
      <c r="I12" s="2970">
        <v>20840</v>
      </c>
      <c r="J12" s="2970">
        <v>54184</v>
      </c>
      <c r="K12" s="2970" t="s">
        <v>3206</v>
      </c>
      <c r="L12" s="2970" t="s">
        <v>3213</v>
      </c>
      <c r="M12" s="2970" t="s">
        <v>3214</v>
      </c>
      <c r="N12" s="2970" t="s">
        <v>3221</v>
      </c>
      <c r="O12" s="2970">
        <v>56275</v>
      </c>
      <c r="P12" s="2970">
        <v>1800.22</v>
      </c>
      <c r="Q12" s="2970">
        <v>10385.9</v>
      </c>
      <c r="R12" s="2970">
        <v>9.32</v>
      </c>
      <c r="S12" s="2970" t="s">
        <v>3216</v>
      </c>
      <c r="T12" s="2970" t="s">
        <v>3149</v>
      </c>
    </row>
    <row r="13" spans="1:20">
      <c r="A13" s="2970" t="s">
        <v>3222</v>
      </c>
      <c r="B13" s="2970" t="s">
        <v>3138</v>
      </c>
      <c r="C13" s="2970" t="s">
        <v>3151</v>
      </c>
      <c r="D13" s="2970" t="s">
        <v>1327</v>
      </c>
      <c r="E13" s="2970" t="s">
        <v>3223</v>
      </c>
      <c r="F13" s="2970" t="s">
        <v>3141</v>
      </c>
      <c r="G13" s="2970" t="s">
        <v>3224</v>
      </c>
      <c r="H13" s="2970" t="s">
        <v>3225</v>
      </c>
      <c r="I13" s="2970">
        <v>49746</v>
      </c>
      <c r="J13" s="2970">
        <v>138484</v>
      </c>
      <c r="K13" s="2970" t="s">
        <v>3187</v>
      </c>
      <c r="L13" s="2970" t="s">
        <v>3213</v>
      </c>
      <c r="M13" s="2970" t="s">
        <v>3214</v>
      </c>
      <c r="N13" s="2970" t="s">
        <v>3226</v>
      </c>
      <c r="O13" s="2970">
        <v>432980</v>
      </c>
      <c r="P13" s="2970">
        <v>5802.54</v>
      </c>
      <c r="Q13" s="2970">
        <v>31265.7</v>
      </c>
      <c r="R13" s="2970">
        <v>24.07</v>
      </c>
      <c r="S13" s="2970" t="s">
        <v>3227</v>
      </c>
      <c r="T13" s="2970" t="s">
        <v>3149</v>
      </c>
    </row>
    <row r="14" spans="1:20">
      <c r="A14" s="2970" t="s">
        <v>3228</v>
      </c>
      <c r="B14" s="2970" t="s">
        <v>3138</v>
      </c>
      <c r="C14" s="2970" t="s">
        <v>3151</v>
      </c>
      <c r="D14" s="2970" t="s">
        <v>1327</v>
      </c>
      <c r="E14" s="2970" t="s">
        <v>3229</v>
      </c>
      <c r="F14" s="2970" t="s">
        <v>3141</v>
      </c>
      <c r="G14" s="2970" t="s">
        <v>3230</v>
      </c>
      <c r="H14" s="2970" t="s">
        <v>3231</v>
      </c>
      <c r="I14" s="2970">
        <v>44603</v>
      </c>
      <c r="J14" s="2970">
        <v>93666</v>
      </c>
      <c r="K14" s="2970" t="s">
        <v>3232</v>
      </c>
      <c r="L14" s="2970" t="s">
        <v>3213</v>
      </c>
      <c r="M14" s="2970" t="s">
        <v>3214</v>
      </c>
      <c r="N14" s="2970" t="s">
        <v>3233</v>
      </c>
      <c r="O14" s="2970">
        <v>74156</v>
      </c>
      <c r="P14" s="2970">
        <v>1108.3900000000001</v>
      </c>
      <c r="Q14" s="2970">
        <v>7917.06</v>
      </c>
      <c r="R14" s="2970">
        <v>18.170000000000002</v>
      </c>
      <c r="S14" s="2970" t="s">
        <v>3216</v>
      </c>
      <c r="T14" s="2970" t="s">
        <v>3234</v>
      </c>
    </row>
    <row r="15" spans="1:20">
      <c r="A15" s="2970" t="s">
        <v>3235</v>
      </c>
      <c r="B15" s="2970" t="s">
        <v>3138</v>
      </c>
      <c r="C15" s="2970" t="s">
        <v>3139</v>
      </c>
      <c r="D15" s="2970" t="s">
        <v>1327</v>
      </c>
      <c r="E15" s="2970" t="s">
        <v>3236</v>
      </c>
      <c r="F15" s="2970" t="s">
        <v>3141</v>
      </c>
      <c r="G15" s="2970" t="s">
        <v>3237</v>
      </c>
      <c r="H15" s="2970" t="s">
        <v>3238</v>
      </c>
      <c r="I15" s="2970">
        <v>60149</v>
      </c>
      <c r="J15" s="2970">
        <v>146496.6</v>
      </c>
      <c r="K15" s="2970" t="s">
        <v>3212</v>
      </c>
      <c r="L15" s="2970" t="s">
        <v>3213</v>
      </c>
      <c r="M15" s="2970" t="s">
        <v>3239</v>
      </c>
      <c r="N15" s="2970" t="s">
        <v>3240</v>
      </c>
      <c r="O15" s="2970">
        <v>87818</v>
      </c>
      <c r="P15" s="2970">
        <v>973.34</v>
      </c>
      <c r="Q15" s="2970">
        <v>5994.53</v>
      </c>
      <c r="R15" s="2970">
        <v>22.96</v>
      </c>
      <c r="S15" s="2970" t="s">
        <v>3216</v>
      </c>
      <c r="T15" s="2970" t="s">
        <v>3192</v>
      </c>
    </row>
    <row r="16" spans="1:20">
      <c r="A16" s="2970" t="s">
        <v>3241</v>
      </c>
      <c r="B16" s="2970" t="s">
        <v>3138</v>
      </c>
      <c r="C16" s="2970" t="s">
        <v>3151</v>
      </c>
      <c r="D16" s="2970" t="s">
        <v>1327</v>
      </c>
      <c r="E16" s="2970" t="s">
        <v>3242</v>
      </c>
      <c r="F16" s="2970" t="s">
        <v>3141</v>
      </c>
      <c r="G16" s="2970" t="s">
        <v>3243</v>
      </c>
      <c r="H16" s="2970" t="s">
        <v>3244</v>
      </c>
      <c r="I16" s="2970">
        <v>44329</v>
      </c>
      <c r="J16" s="2970">
        <v>119688</v>
      </c>
      <c r="K16" s="2970" t="s">
        <v>3245</v>
      </c>
      <c r="L16" s="2970" t="s">
        <v>3246</v>
      </c>
      <c r="M16" s="2970" t="s">
        <v>3247</v>
      </c>
      <c r="N16" s="2970" t="s">
        <v>3248</v>
      </c>
      <c r="O16" s="2970">
        <v>183882</v>
      </c>
      <c r="P16" s="2970">
        <v>2765.41</v>
      </c>
      <c r="Q16" s="2970">
        <v>15363.44</v>
      </c>
      <c r="R16" s="2970">
        <v>14.65</v>
      </c>
      <c r="S16" s="2970" t="s">
        <v>3167</v>
      </c>
      <c r="T16" s="2970" t="s">
        <v>3149</v>
      </c>
    </row>
    <row r="17" spans="1:20">
      <c r="A17" s="2970" t="s">
        <v>3249</v>
      </c>
      <c r="B17" s="2970" t="s">
        <v>3138</v>
      </c>
      <c r="C17" s="2970" t="s">
        <v>3139</v>
      </c>
      <c r="D17" s="2970" t="s">
        <v>1327</v>
      </c>
      <c r="E17" s="2970" t="s">
        <v>3250</v>
      </c>
      <c r="F17" s="2970" t="s">
        <v>3141</v>
      </c>
      <c r="G17" s="2970" t="s">
        <v>3251</v>
      </c>
      <c r="H17" s="2970" t="s">
        <v>3211</v>
      </c>
      <c r="I17" s="2970">
        <v>32802</v>
      </c>
      <c r="J17" s="2970">
        <v>56649</v>
      </c>
      <c r="K17" s="2970" t="s">
        <v>3252</v>
      </c>
      <c r="L17" s="2970" t="s">
        <v>3246</v>
      </c>
      <c r="M17" s="2970" t="s">
        <v>3247</v>
      </c>
      <c r="N17" s="2970" t="s">
        <v>3253</v>
      </c>
      <c r="O17" s="2970">
        <v>125468</v>
      </c>
      <c r="P17" s="2970">
        <v>2550.0100000000002</v>
      </c>
      <c r="Q17" s="2970">
        <v>22148.31</v>
      </c>
      <c r="R17" s="2970">
        <v>23.05</v>
      </c>
      <c r="S17" s="2970" t="s">
        <v>3182</v>
      </c>
      <c r="T17" s="2970" t="s">
        <v>3149</v>
      </c>
    </row>
    <row r="18" spans="1:20">
      <c r="A18" s="2970" t="s">
        <v>3254</v>
      </c>
      <c r="B18" s="2970" t="s">
        <v>3138</v>
      </c>
      <c r="C18" s="2970" t="s">
        <v>3139</v>
      </c>
      <c r="D18" s="2970" t="s">
        <v>1327</v>
      </c>
      <c r="E18" s="2970" t="s">
        <v>3255</v>
      </c>
      <c r="F18" s="2970" t="s">
        <v>3141</v>
      </c>
      <c r="G18" s="2970" t="s">
        <v>3256</v>
      </c>
      <c r="H18" s="2970" t="s">
        <v>3211</v>
      </c>
      <c r="I18" s="2970">
        <v>45333</v>
      </c>
      <c r="J18" s="2970">
        <v>99732</v>
      </c>
      <c r="K18" s="2970" t="s">
        <v>3196</v>
      </c>
      <c r="L18" s="2970" t="s">
        <v>3246</v>
      </c>
      <c r="M18" s="2970" t="s">
        <v>3247</v>
      </c>
      <c r="N18" s="2970" t="s">
        <v>3257</v>
      </c>
      <c r="O18" s="2970">
        <v>164160</v>
      </c>
      <c r="P18" s="2970">
        <v>2414.14</v>
      </c>
      <c r="Q18" s="2970">
        <v>16460.11</v>
      </c>
      <c r="R18" s="2970">
        <v>29.61</v>
      </c>
      <c r="S18" s="2970" t="s">
        <v>3182</v>
      </c>
      <c r="T18" s="2970" t="s">
        <v>3149</v>
      </c>
    </row>
    <row r="19" spans="1:20">
      <c r="A19" s="2970" t="s">
        <v>3258</v>
      </c>
      <c r="B19" s="2970" t="s">
        <v>3138</v>
      </c>
      <c r="C19" s="2970" t="s">
        <v>3151</v>
      </c>
      <c r="D19" s="2970" t="s">
        <v>1327</v>
      </c>
      <c r="E19" s="2970" t="s">
        <v>3259</v>
      </c>
      <c r="F19" s="2970" t="s">
        <v>3141</v>
      </c>
      <c r="G19" s="2970" t="s">
        <v>3260</v>
      </c>
      <c r="H19" s="2970" t="s">
        <v>3211</v>
      </c>
      <c r="I19" s="2970">
        <v>51822</v>
      </c>
      <c r="J19" s="2970">
        <v>129555</v>
      </c>
      <c r="K19" s="2970" t="s">
        <v>3261</v>
      </c>
      <c r="L19" s="2970" t="s">
        <v>3246</v>
      </c>
      <c r="M19" s="2970" t="s">
        <v>3247</v>
      </c>
      <c r="N19" s="2970" t="s">
        <v>3262</v>
      </c>
      <c r="O19" s="2970">
        <v>269243</v>
      </c>
      <c r="P19" s="2970">
        <v>3463.69</v>
      </c>
      <c r="Q19" s="2970">
        <v>20782.13</v>
      </c>
      <c r="R19" s="2970">
        <v>22.25</v>
      </c>
      <c r="S19" s="2970" t="s">
        <v>3167</v>
      </c>
      <c r="T19" s="2970" t="s">
        <v>3149</v>
      </c>
    </row>
    <row r="20" spans="1:20">
      <c r="A20" s="2970" t="s">
        <v>3263</v>
      </c>
      <c r="B20" s="2970" t="s">
        <v>3138</v>
      </c>
      <c r="C20" s="2970" t="s">
        <v>3139</v>
      </c>
      <c r="D20" s="2970" t="s">
        <v>1327</v>
      </c>
      <c r="E20" s="2970" t="s">
        <v>3264</v>
      </c>
      <c r="F20" s="2970" t="s">
        <v>3141</v>
      </c>
      <c r="G20" s="2970" t="s">
        <v>3265</v>
      </c>
      <c r="H20" s="2970" t="s">
        <v>3211</v>
      </c>
      <c r="I20" s="2970">
        <v>27782</v>
      </c>
      <c r="J20" s="2970">
        <v>61120</v>
      </c>
      <c r="K20" s="2970" t="s">
        <v>3196</v>
      </c>
      <c r="L20" s="2970" t="s">
        <v>3246</v>
      </c>
      <c r="M20" s="2970" t="s">
        <v>3247</v>
      </c>
      <c r="N20" s="2970" t="s">
        <v>3266</v>
      </c>
      <c r="O20" s="2970">
        <v>100822</v>
      </c>
      <c r="P20" s="2970">
        <v>2419.36</v>
      </c>
      <c r="Q20" s="2970">
        <v>16495.75</v>
      </c>
      <c r="R20" s="2970">
        <v>29.89</v>
      </c>
      <c r="S20" s="2970" t="s">
        <v>3182</v>
      </c>
      <c r="T20" s="2970" t="s">
        <v>3149</v>
      </c>
    </row>
    <row r="21" spans="1:20">
      <c r="A21" s="2970" t="s">
        <v>3267</v>
      </c>
      <c r="B21" s="2970" t="s">
        <v>3138</v>
      </c>
      <c r="C21" s="2970" t="s">
        <v>3151</v>
      </c>
      <c r="D21" s="2970" t="s">
        <v>1327</v>
      </c>
      <c r="E21" s="2970" t="s">
        <v>3268</v>
      </c>
      <c r="F21" s="2970" t="s">
        <v>3141</v>
      </c>
      <c r="G21" s="2970" t="s">
        <v>3269</v>
      </c>
      <c r="H21" s="2970" t="s">
        <v>3270</v>
      </c>
      <c r="I21" s="2970">
        <v>88422</v>
      </c>
      <c r="J21" s="2970">
        <v>212212</v>
      </c>
      <c r="K21" s="2970" t="s">
        <v>3271</v>
      </c>
      <c r="L21" s="2970" t="s">
        <v>3272</v>
      </c>
      <c r="M21" s="2970" t="s">
        <v>3273</v>
      </c>
      <c r="N21" s="2970" t="s">
        <v>3174</v>
      </c>
      <c r="O21" s="2970">
        <v>386097</v>
      </c>
      <c r="P21" s="2970">
        <v>2911.02</v>
      </c>
      <c r="Q21" s="2970">
        <v>18193.93</v>
      </c>
      <c r="R21" s="2970">
        <v>29.96</v>
      </c>
      <c r="S21" s="2970" t="s">
        <v>3167</v>
      </c>
      <c r="T21" s="2970" t="s">
        <v>3183</v>
      </c>
    </row>
    <row r="22" spans="1:20">
      <c r="A22" s="2970" t="s">
        <v>3274</v>
      </c>
      <c r="B22" s="2970" t="s">
        <v>3138</v>
      </c>
      <c r="C22" s="2970" t="s">
        <v>3139</v>
      </c>
      <c r="D22" s="2970" t="s">
        <v>1327</v>
      </c>
      <c r="E22" s="2970" t="s">
        <v>3275</v>
      </c>
      <c r="F22" s="2970" t="s">
        <v>3141</v>
      </c>
      <c r="G22" s="2970" t="s">
        <v>3276</v>
      </c>
      <c r="H22" s="2970" t="s">
        <v>3277</v>
      </c>
      <c r="I22" s="2970">
        <v>112877</v>
      </c>
      <c r="J22" s="2970">
        <v>338631</v>
      </c>
      <c r="K22" s="2970" t="s">
        <v>3187</v>
      </c>
      <c r="L22" s="2970" t="s">
        <v>3278</v>
      </c>
      <c r="M22" s="2970" t="s">
        <v>3279</v>
      </c>
      <c r="N22" s="2970" t="s">
        <v>3280</v>
      </c>
      <c r="O22" s="2970">
        <v>357154</v>
      </c>
      <c r="P22" s="2970">
        <v>2109.4</v>
      </c>
      <c r="Q22" s="2970">
        <v>10547</v>
      </c>
      <c r="R22" s="2970">
        <v>15.9</v>
      </c>
      <c r="S22" s="2970" t="s">
        <v>3281</v>
      </c>
      <c r="T22" s="2970" t="s">
        <v>3149</v>
      </c>
    </row>
    <row r="23" spans="1:20">
      <c r="A23" s="2970" t="s">
        <v>3282</v>
      </c>
      <c r="B23" s="2970" t="s">
        <v>3138</v>
      </c>
      <c r="C23" s="2970" t="s">
        <v>3139</v>
      </c>
      <c r="D23" s="2970" t="s">
        <v>1327</v>
      </c>
      <c r="E23" s="2970" t="s">
        <v>3283</v>
      </c>
      <c r="F23" s="2970" t="s">
        <v>3141</v>
      </c>
      <c r="G23" s="2970" t="s">
        <v>3284</v>
      </c>
      <c r="H23" s="2970" t="s">
        <v>3220</v>
      </c>
      <c r="I23" s="2970">
        <v>25811</v>
      </c>
      <c r="J23" s="2970">
        <v>69689</v>
      </c>
      <c r="K23" s="2970" t="s">
        <v>3285</v>
      </c>
      <c r="L23" s="2970" t="s">
        <v>3286</v>
      </c>
      <c r="M23" s="2970" t="s">
        <v>3287</v>
      </c>
      <c r="N23" s="2970" t="s">
        <v>3288</v>
      </c>
      <c r="O23" s="2970">
        <v>135427</v>
      </c>
      <c r="P23" s="2970">
        <v>3497.91</v>
      </c>
      <c r="Q23" s="2970">
        <v>19433.04</v>
      </c>
      <c r="R23" s="2970">
        <v>27.85</v>
      </c>
      <c r="S23" s="2970" t="s">
        <v>3182</v>
      </c>
      <c r="T23" s="2970" t="s">
        <v>3149</v>
      </c>
    </row>
    <row r="24" spans="1:20">
      <c r="A24" s="2970" t="s">
        <v>3289</v>
      </c>
      <c r="B24" s="2970" t="s">
        <v>3138</v>
      </c>
      <c r="C24" s="2970" t="s">
        <v>3139</v>
      </c>
      <c r="D24" s="2970" t="s">
        <v>1327</v>
      </c>
      <c r="E24" s="2970" t="s">
        <v>3290</v>
      </c>
      <c r="F24" s="2970" t="s">
        <v>3141</v>
      </c>
      <c r="G24" s="2970" t="s">
        <v>3291</v>
      </c>
      <c r="H24" s="2970" t="s">
        <v>3205</v>
      </c>
      <c r="I24" s="2970">
        <v>30580</v>
      </c>
      <c r="J24" s="2970">
        <v>76450</v>
      </c>
      <c r="K24" s="2970" t="s">
        <v>3292</v>
      </c>
      <c r="L24" s="2970" t="s">
        <v>3293</v>
      </c>
      <c r="M24" s="2970" t="s">
        <v>3294</v>
      </c>
      <c r="N24" s="2970" t="s">
        <v>3295</v>
      </c>
      <c r="O24" s="2970">
        <v>196994</v>
      </c>
      <c r="P24" s="2970">
        <v>4294.62</v>
      </c>
      <c r="Q24" s="2970">
        <v>25767.68</v>
      </c>
      <c r="R24" s="2970">
        <v>49.81</v>
      </c>
      <c r="S24" s="2970" t="s">
        <v>3182</v>
      </c>
      <c r="T24" s="2970" t="s">
        <v>3149</v>
      </c>
    </row>
    <row r="25" spans="1:20">
      <c r="A25" s="2970" t="s">
        <v>3296</v>
      </c>
      <c r="B25" s="2970" t="s">
        <v>3138</v>
      </c>
      <c r="C25" s="2970" t="s">
        <v>3151</v>
      </c>
      <c r="D25" s="2970" t="s">
        <v>1327</v>
      </c>
      <c r="E25" s="2970" t="s">
        <v>3297</v>
      </c>
      <c r="F25" s="2970" t="s">
        <v>3141</v>
      </c>
      <c r="G25" s="2970" t="s">
        <v>3298</v>
      </c>
      <c r="H25" s="2970" t="s">
        <v>3299</v>
      </c>
      <c r="I25" s="2970">
        <v>20242</v>
      </c>
      <c r="J25" s="2970">
        <v>22266</v>
      </c>
      <c r="K25" s="2970" t="s">
        <v>3300</v>
      </c>
      <c r="L25" s="2970" t="s">
        <v>3293</v>
      </c>
      <c r="M25" s="2970" t="s">
        <v>3294</v>
      </c>
      <c r="N25" s="2970" t="s">
        <v>3301</v>
      </c>
      <c r="O25" s="2970">
        <v>14759</v>
      </c>
      <c r="P25" s="2970">
        <v>486.09</v>
      </c>
      <c r="Q25" s="2970">
        <v>6628.48</v>
      </c>
      <c r="R25" s="2970">
        <v>10.48</v>
      </c>
      <c r="S25" s="2970" t="s">
        <v>3167</v>
      </c>
      <c r="T25" s="2970" t="s">
        <v>3192</v>
      </c>
    </row>
    <row r="26" spans="1:20" s="2972" customFormat="1">
      <c r="A26" s="2971" t="s">
        <v>3302</v>
      </c>
      <c r="B26" s="2971" t="s">
        <v>3138</v>
      </c>
      <c r="C26" s="2971" t="s">
        <v>3139</v>
      </c>
      <c r="D26" s="2971" t="s">
        <v>1327</v>
      </c>
      <c r="E26" s="2971" t="s">
        <v>3303</v>
      </c>
      <c r="F26" s="2971" t="s">
        <v>3141</v>
      </c>
      <c r="G26" s="2971" t="s">
        <v>3304</v>
      </c>
      <c r="H26" s="2971" t="s">
        <v>3305</v>
      </c>
      <c r="I26" s="2971">
        <v>86055</v>
      </c>
      <c r="J26" s="2971">
        <v>154899</v>
      </c>
      <c r="K26" s="2971" t="s">
        <v>3306</v>
      </c>
      <c r="L26" s="2971" t="s">
        <v>3293</v>
      </c>
      <c r="M26" s="2971" t="s">
        <v>3294</v>
      </c>
      <c r="N26" s="2971" t="s">
        <v>3307</v>
      </c>
      <c r="O26" s="2971">
        <v>124194</v>
      </c>
      <c r="P26" s="2971">
        <v>962.13</v>
      </c>
      <c r="Q26" s="2971">
        <v>8017.73</v>
      </c>
      <c r="R26" s="2971">
        <v>45.78</v>
      </c>
      <c r="S26" s="2971" t="s">
        <v>3182</v>
      </c>
      <c r="T26" s="2971" t="s">
        <v>3308</v>
      </c>
    </row>
    <row r="27" spans="1:20">
      <c r="A27" s="2970" t="s">
        <v>3309</v>
      </c>
      <c r="B27" s="2970" t="s">
        <v>3138</v>
      </c>
      <c r="C27" s="2970" t="s">
        <v>3139</v>
      </c>
      <c r="D27" s="2970" t="s">
        <v>1327</v>
      </c>
      <c r="E27" s="2970" t="s">
        <v>3310</v>
      </c>
      <c r="F27" s="2970" t="s">
        <v>3141</v>
      </c>
      <c r="G27" s="2970" t="s">
        <v>3311</v>
      </c>
      <c r="H27" s="2970" t="s">
        <v>3312</v>
      </c>
      <c r="I27" s="2970">
        <v>166123</v>
      </c>
      <c r="J27" s="2970">
        <v>396753.6</v>
      </c>
      <c r="K27" s="2970" t="s">
        <v>3313</v>
      </c>
      <c r="L27" s="2970" t="s">
        <v>3314</v>
      </c>
      <c r="M27" s="2970" t="s">
        <v>3311</v>
      </c>
      <c r="N27" s="2970" t="s">
        <v>3315</v>
      </c>
      <c r="O27" s="2970">
        <v>346458</v>
      </c>
      <c r="P27" s="2970">
        <v>1390.37</v>
      </c>
      <c r="Q27" s="2970">
        <v>8732.31</v>
      </c>
      <c r="R27" s="2970">
        <v>32.31</v>
      </c>
      <c r="S27" s="2970" t="s">
        <v>3316</v>
      </c>
      <c r="T27" s="2970" t="s">
        <v>3183</v>
      </c>
    </row>
    <row r="28" spans="1:20">
      <c r="A28" s="2970" t="s">
        <v>3317</v>
      </c>
      <c r="B28" s="2970" t="s">
        <v>3138</v>
      </c>
      <c r="C28" s="2970" t="s">
        <v>3151</v>
      </c>
      <c r="D28" s="2970" t="s">
        <v>1327</v>
      </c>
      <c r="E28" s="2970" t="s">
        <v>3318</v>
      </c>
      <c r="F28" s="2970" t="s">
        <v>3141</v>
      </c>
      <c r="G28" s="2970" t="s">
        <v>3319</v>
      </c>
      <c r="H28" s="2970" t="s">
        <v>3320</v>
      </c>
      <c r="I28" s="2970">
        <v>97494</v>
      </c>
      <c r="J28" s="2970">
        <v>253484.4</v>
      </c>
      <c r="K28" s="2970" t="s">
        <v>3321</v>
      </c>
      <c r="L28" s="2970" t="s">
        <v>3322</v>
      </c>
      <c r="M28" s="2970" t="s">
        <v>3323</v>
      </c>
      <c r="N28" s="2970" t="s">
        <v>3324</v>
      </c>
      <c r="O28" s="2970">
        <v>359669</v>
      </c>
      <c r="P28" s="2970">
        <v>2459.4299999999998</v>
      </c>
      <c r="Q28" s="2970">
        <v>14189</v>
      </c>
      <c r="R28" s="2970">
        <v>5.89</v>
      </c>
      <c r="S28" s="2970" t="s">
        <v>3198</v>
      </c>
      <c r="T28" s="2970" t="s">
        <v>3149</v>
      </c>
    </row>
    <row r="29" spans="1:20">
      <c r="A29" s="2970" t="s">
        <v>3325</v>
      </c>
      <c r="B29" s="2970" t="s">
        <v>3138</v>
      </c>
      <c r="C29" s="2970" t="s">
        <v>3151</v>
      </c>
      <c r="D29" s="2970" t="s">
        <v>1327</v>
      </c>
      <c r="E29" s="2970" t="s">
        <v>3326</v>
      </c>
      <c r="F29" s="2970" t="s">
        <v>3141</v>
      </c>
      <c r="G29" s="2970" t="s">
        <v>3327</v>
      </c>
      <c r="H29" s="2970" t="s">
        <v>3211</v>
      </c>
      <c r="I29" s="2970">
        <v>98261</v>
      </c>
      <c r="J29" s="2970">
        <v>275130.8</v>
      </c>
      <c r="K29" s="2970" t="s">
        <v>3328</v>
      </c>
      <c r="L29" s="2970" t="s">
        <v>3329</v>
      </c>
      <c r="M29" s="2970" t="s">
        <v>3330</v>
      </c>
      <c r="N29" s="2970" t="s">
        <v>3331</v>
      </c>
      <c r="O29" s="2970">
        <v>370675</v>
      </c>
      <c r="P29" s="2970">
        <v>2514.9</v>
      </c>
      <c r="Q29" s="2970">
        <v>13472.68</v>
      </c>
      <c r="R29" s="2970">
        <v>0.54</v>
      </c>
      <c r="S29" s="2970" t="s">
        <v>3167</v>
      </c>
      <c r="T29" s="2970" t="s">
        <v>3149</v>
      </c>
    </row>
    <row r="30" spans="1:20">
      <c r="A30" s="2970" t="s">
        <v>3332</v>
      </c>
      <c r="B30" s="2970" t="s">
        <v>3138</v>
      </c>
      <c r="C30" s="2970" t="s">
        <v>3139</v>
      </c>
      <c r="D30" s="2970" t="s">
        <v>1327</v>
      </c>
      <c r="E30" s="2970" t="s">
        <v>3333</v>
      </c>
      <c r="F30" s="2970" t="s">
        <v>3141</v>
      </c>
      <c r="G30" s="2970" t="s">
        <v>3334</v>
      </c>
      <c r="H30" s="2970" t="s">
        <v>3205</v>
      </c>
      <c r="I30" s="2970">
        <v>25121</v>
      </c>
      <c r="J30" s="2970">
        <v>62803</v>
      </c>
      <c r="K30" s="2970" t="s">
        <v>3335</v>
      </c>
      <c r="L30" s="2970" t="s">
        <v>3336</v>
      </c>
      <c r="M30" s="2970" t="s">
        <v>3337</v>
      </c>
      <c r="N30" s="2970" t="s">
        <v>3338</v>
      </c>
      <c r="O30" s="2970">
        <v>115555</v>
      </c>
      <c r="P30" s="2970">
        <v>3066.62</v>
      </c>
      <c r="Q30" s="2970">
        <v>18399.59</v>
      </c>
      <c r="R30" s="2970">
        <v>37.31</v>
      </c>
      <c r="S30" s="2970" t="s">
        <v>3191</v>
      </c>
      <c r="T30" s="2970" t="s">
        <v>3183</v>
      </c>
    </row>
    <row r="31" spans="1:20">
      <c r="A31" s="2970" t="s">
        <v>3339</v>
      </c>
      <c r="B31" s="2970" t="s">
        <v>3138</v>
      </c>
      <c r="C31" s="2970" t="s">
        <v>3139</v>
      </c>
      <c r="D31" s="2970" t="s">
        <v>1327</v>
      </c>
      <c r="E31" s="2970" t="s">
        <v>3340</v>
      </c>
      <c r="F31" s="2970" t="s">
        <v>3141</v>
      </c>
      <c r="G31" s="2970" t="s">
        <v>3341</v>
      </c>
      <c r="H31" s="2970" t="s">
        <v>3342</v>
      </c>
      <c r="I31" s="2970">
        <v>55422</v>
      </c>
      <c r="J31" s="2970">
        <v>144097</v>
      </c>
      <c r="K31" s="2970" t="s">
        <v>3343</v>
      </c>
      <c r="L31" s="2970" t="s">
        <v>3336</v>
      </c>
      <c r="M31" s="2970" t="s">
        <v>3337</v>
      </c>
      <c r="N31" s="2970" t="s">
        <v>3344</v>
      </c>
      <c r="O31" s="2970">
        <v>64844</v>
      </c>
      <c r="P31" s="2970">
        <v>780</v>
      </c>
      <c r="Q31" s="2970">
        <v>4500.0200000000004</v>
      </c>
      <c r="R31" s="2970">
        <v>0</v>
      </c>
      <c r="S31" s="2970" t="s">
        <v>3191</v>
      </c>
      <c r="T31" s="2970" t="s">
        <v>3308</v>
      </c>
    </row>
    <row r="32" spans="1:20">
      <c r="A32" s="2970" t="s">
        <v>3345</v>
      </c>
      <c r="B32" s="2970" t="s">
        <v>3138</v>
      </c>
      <c r="C32" s="2970" t="s">
        <v>3151</v>
      </c>
      <c r="D32" s="2970" t="s">
        <v>1327</v>
      </c>
      <c r="E32" s="2970" t="s">
        <v>3346</v>
      </c>
      <c r="F32" s="2970" t="s">
        <v>3141</v>
      </c>
      <c r="G32" s="2970" t="s">
        <v>3347</v>
      </c>
      <c r="H32" s="2970" t="s">
        <v>3195</v>
      </c>
      <c r="I32" s="2970">
        <v>24153</v>
      </c>
      <c r="J32" s="2970">
        <v>60382.5</v>
      </c>
      <c r="K32" s="2970" t="s">
        <v>3335</v>
      </c>
      <c r="L32" s="2970" t="s">
        <v>3336</v>
      </c>
      <c r="M32" s="2970" t="s">
        <v>3337</v>
      </c>
      <c r="N32" s="2970" t="s">
        <v>3348</v>
      </c>
      <c r="O32" s="2970">
        <v>139358</v>
      </c>
      <c r="P32" s="2970">
        <v>3846.53</v>
      </c>
      <c r="Q32" s="2970">
        <v>23079.200000000001</v>
      </c>
      <c r="R32" s="2970">
        <v>34.18</v>
      </c>
      <c r="S32" s="2970" t="s">
        <v>3198</v>
      </c>
      <c r="T32" s="2970" t="s">
        <v>3149</v>
      </c>
    </row>
    <row r="33" spans="1:20">
      <c r="A33" s="2970" t="s">
        <v>3349</v>
      </c>
      <c r="B33" s="2970" t="s">
        <v>3138</v>
      </c>
      <c r="C33" s="2970" t="s">
        <v>3139</v>
      </c>
      <c r="D33" s="2970" t="s">
        <v>1327</v>
      </c>
      <c r="E33" s="2970" t="s">
        <v>3350</v>
      </c>
      <c r="F33" s="2970" t="s">
        <v>3141</v>
      </c>
      <c r="G33" s="2970" t="s">
        <v>3351</v>
      </c>
      <c r="H33" s="2970" t="s">
        <v>3231</v>
      </c>
      <c r="I33" s="2970">
        <v>73434</v>
      </c>
      <c r="J33" s="2970">
        <v>154211</v>
      </c>
      <c r="K33" s="2970" t="s">
        <v>3352</v>
      </c>
      <c r="L33" s="2970" t="s">
        <v>3353</v>
      </c>
      <c r="M33" s="2970" t="s">
        <v>3354</v>
      </c>
      <c r="N33" s="2970" t="s">
        <v>3355</v>
      </c>
      <c r="O33" s="2970">
        <v>131369</v>
      </c>
      <c r="P33" s="2970">
        <v>1192.6300000000001</v>
      </c>
      <c r="Q33" s="2970">
        <v>8518.7800000000007</v>
      </c>
      <c r="R33" s="2970">
        <v>6.48</v>
      </c>
      <c r="S33" s="2970" t="s">
        <v>3191</v>
      </c>
      <c r="T33" s="2970" t="s">
        <v>3234</v>
      </c>
    </row>
    <row r="34" spans="1:20">
      <c r="A34" s="2970" t="s">
        <v>3356</v>
      </c>
      <c r="B34" s="2970" t="s">
        <v>3138</v>
      </c>
      <c r="C34" s="2970" t="s">
        <v>3151</v>
      </c>
      <c r="D34" s="2970" t="s">
        <v>1327</v>
      </c>
      <c r="E34" s="2970" t="s">
        <v>3357</v>
      </c>
      <c r="F34" s="2970" t="s">
        <v>3141</v>
      </c>
      <c r="G34" s="2970" t="s">
        <v>3358</v>
      </c>
      <c r="H34" s="2970" t="s">
        <v>3195</v>
      </c>
      <c r="I34" s="2970">
        <v>45064</v>
      </c>
      <c r="J34" s="2970">
        <v>112662.5</v>
      </c>
      <c r="K34" s="2970" t="s">
        <v>3359</v>
      </c>
      <c r="L34" s="2970" t="s">
        <v>3360</v>
      </c>
      <c r="M34" s="2970" t="s">
        <v>3361</v>
      </c>
      <c r="N34" s="2970" t="s">
        <v>3362</v>
      </c>
      <c r="O34" s="2970">
        <v>274780</v>
      </c>
      <c r="P34" s="2970">
        <v>4065.03</v>
      </c>
      <c r="Q34" s="2970">
        <v>24389.65</v>
      </c>
      <c r="R34" s="2970">
        <v>41.8</v>
      </c>
      <c r="S34" s="2970" t="s">
        <v>3167</v>
      </c>
      <c r="T34" s="2970" t="s">
        <v>3149</v>
      </c>
    </row>
    <row r="35" spans="1:20">
      <c r="A35" s="2970" t="s">
        <v>3363</v>
      </c>
      <c r="B35" s="2970" t="s">
        <v>3138</v>
      </c>
      <c r="C35" s="2970" t="s">
        <v>3139</v>
      </c>
      <c r="D35" s="2970" t="s">
        <v>1327</v>
      </c>
      <c r="E35" s="2970" t="s">
        <v>3364</v>
      </c>
      <c r="F35" s="2970" t="s">
        <v>3141</v>
      </c>
      <c r="G35" s="2970" t="s">
        <v>3365</v>
      </c>
      <c r="H35" s="2970" t="s">
        <v>3366</v>
      </c>
      <c r="I35" s="2970">
        <v>30217</v>
      </c>
      <c r="J35" s="2970">
        <v>75542.5</v>
      </c>
      <c r="K35" s="2970" t="s">
        <v>3163</v>
      </c>
      <c r="L35" s="2970" t="s">
        <v>3367</v>
      </c>
      <c r="M35" s="2970" t="s">
        <v>3368</v>
      </c>
      <c r="N35" s="2970" t="s">
        <v>3369</v>
      </c>
      <c r="O35" s="2970">
        <v>98589</v>
      </c>
      <c r="P35" s="2970">
        <v>2175.13</v>
      </c>
      <c r="Q35" s="2970">
        <v>13050.79</v>
      </c>
      <c r="R35" s="2970">
        <v>45.01</v>
      </c>
      <c r="S35" s="2970" t="s">
        <v>3182</v>
      </c>
      <c r="T35" s="2970" t="s">
        <v>3234</v>
      </c>
    </row>
    <row r="36" spans="1:20">
      <c r="A36" s="2970" t="s">
        <v>3370</v>
      </c>
      <c r="B36" s="2970" t="s">
        <v>3138</v>
      </c>
      <c r="C36" s="2970" t="s">
        <v>3139</v>
      </c>
      <c r="D36" s="2970" t="s">
        <v>1327</v>
      </c>
      <c r="E36" s="2970" t="s">
        <v>3371</v>
      </c>
      <c r="F36" s="2970" t="s">
        <v>3141</v>
      </c>
      <c r="G36" s="2970" t="s">
        <v>3372</v>
      </c>
      <c r="H36" s="2970" t="s">
        <v>3373</v>
      </c>
      <c r="I36" s="2970">
        <v>34304</v>
      </c>
      <c r="J36" s="2970">
        <v>85760</v>
      </c>
      <c r="K36" s="2970" t="s">
        <v>3359</v>
      </c>
      <c r="L36" s="2970" t="s">
        <v>3374</v>
      </c>
      <c r="M36" s="2970" t="s">
        <v>3375</v>
      </c>
      <c r="N36" s="2970" t="s">
        <v>3376</v>
      </c>
      <c r="O36" s="2970">
        <v>11149</v>
      </c>
      <c r="P36" s="2970">
        <v>216.67</v>
      </c>
      <c r="Q36" s="2970">
        <v>1300.01</v>
      </c>
      <c r="R36" s="2970">
        <v>0</v>
      </c>
      <c r="S36" s="2970" t="s">
        <v>3316</v>
      </c>
      <c r="T36" s="2970" t="s">
        <v>3308</v>
      </c>
    </row>
    <row r="37" spans="1:20">
      <c r="A37" s="2970" t="s">
        <v>3377</v>
      </c>
      <c r="B37" s="2970" t="s">
        <v>3138</v>
      </c>
      <c r="C37" s="2970" t="s">
        <v>3151</v>
      </c>
      <c r="D37" s="2970" t="s">
        <v>1327</v>
      </c>
      <c r="E37" s="2970" t="s">
        <v>3378</v>
      </c>
      <c r="F37" s="2970" t="s">
        <v>3141</v>
      </c>
      <c r="G37" s="2970" t="s">
        <v>3379</v>
      </c>
      <c r="H37" s="2970" t="s">
        <v>3380</v>
      </c>
      <c r="I37" s="2970">
        <v>78107</v>
      </c>
      <c r="J37" s="2970">
        <v>218699.6</v>
      </c>
      <c r="K37" s="2970" t="s">
        <v>3328</v>
      </c>
      <c r="L37" s="2970" t="s">
        <v>3381</v>
      </c>
      <c r="M37" s="2970" t="s">
        <v>3382</v>
      </c>
      <c r="N37" s="2970" t="s">
        <v>3383</v>
      </c>
      <c r="O37" s="2970">
        <v>564163</v>
      </c>
      <c r="P37" s="2970">
        <v>4815.3</v>
      </c>
      <c r="Q37" s="2970">
        <v>25796.25</v>
      </c>
      <c r="R37" s="2970">
        <v>49.98</v>
      </c>
      <c r="S37" s="2970" t="s">
        <v>3167</v>
      </c>
      <c r="T37" s="2970" t="s">
        <v>3149</v>
      </c>
    </row>
    <row r="38" spans="1:20">
      <c r="A38" s="2970" t="s">
        <v>3384</v>
      </c>
      <c r="B38" s="2970" t="s">
        <v>3138</v>
      </c>
      <c r="C38" s="2970" t="s">
        <v>3139</v>
      </c>
      <c r="D38" s="2970" t="s">
        <v>1327</v>
      </c>
      <c r="E38" s="2970" t="s">
        <v>3385</v>
      </c>
      <c r="F38" s="2970" t="s">
        <v>3141</v>
      </c>
      <c r="G38" s="2970" t="s">
        <v>3386</v>
      </c>
      <c r="H38" s="2970" t="s">
        <v>3151</v>
      </c>
      <c r="I38" s="2970">
        <v>37774</v>
      </c>
      <c r="J38" s="2970">
        <v>101990</v>
      </c>
      <c r="K38" s="2970" t="s">
        <v>3387</v>
      </c>
      <c r="L38" s="2970" t="s">
        <v>3388</v>
      </c>
      <c r="M38" s="2970" t="s">
        <v>3389</v>
      </c>
      <c r="N38" s="2970" t="s">
        <v>3390</v>
      </c>
      <c r="O38" s="2970">
        <v>194228</v>
      </c>
      <c r="P38" s="2970">
        <v>3427.9</v>
      </c>
      <c r="Q38" s="2970">
        <v>19043.830000000002</v>
      </c>
      <c r="R38" s="2970">
        <v>49.95</v>
      </c>
      <c r="S38" s="2970" t="s">
        <v>3191</v>
      </c>
      <c r="T38" s="2970" t="s">
        <v>3183</v>
      </c>
    </row>
    <row r="39" spans="1:20">
      <c r="A39" s="2970" t="s">
        <v>3391</v>
      </c>
      <c r="B39" s="2970" t="s">
        <v>3138</v>
      </c>
      <c r="C39" s="2970" t="s">
        <v>3139</v>
      </c>
      <c r="D39" s="2970" t="s">
        <v>1327</v>
      </c>
      <c r="E39" s="2970" t="s">
        <v>3392</v>
      </c>
      <c r="F39" s="2970" t="s">
        <v>3141</v>
      </c>
      <c r="G39" s="2970" t="s">
        <v>3393</v>
      </c>
      <c r="H39" s="2970" t="s">
        <v>3205</v>
      </c>
      <c r="I39" s="2970">
        <v>107887</v>
      </c>
      <c r="J39" s="2970">
        <v>312872</v>
      </c>
      <c r="K39" s="2970" t="s">
        <v>3394</v>
      </c>
      <c r="L39" s="2970" t="s">
        <v>3388</v>
      </c>
      <c r="M39" s="2970" t="s">
        <v>3389</v>
      </c>
      <c r="N39" s="2970" t="s">
        <v>3174</v>
      </c>
      <c r="O39" s="2970">
        <v>1009861</v>
      </c>
      <c r="P39" s="2970">
        <v>6240.24</v>
      </c>
      <c r="Q39" s="2970">
        <v>32277.13</v>
      </c>
      <c r="R39" s="2970">
        <v>47.61</v>
      </c>
      <c r="S39" s="2970" t="s">
        <v>3191</v>
      </c>
      <c r="T39" s="2970" t="s">
        <v>3149</v>
      </c>
    </row>
    <row r="40" spans="1:20">
      <c r="A40" s="2970" t="s">
        <v>3395</v>
      </c>
      <c r="B40" s="2970" t="s">
        <v>3138</v>
      </c>
      <c r="C40" s="2970" t="s">
        <v>3151</v>
      </c>
      <c r="D40" s="2970" t="s">
        <v>1327</v>
      </c>
      <c r="E40" s="2970" t="s">
        <v>3396</v>
      </c>
      <c r="F40" s="2970" t="s">
        <v>3141</v>
      </c>
      <c r="G40" s="2970" t="s">
        <v>3397</v>
      </c>
      <c r="H40" s="2970" t="s">
        <v>3398</v>
      </c>
      <c r="I40" s="2970">
        <v>93039</v>
      </c>
      <c r="J40" s="2970">
        <v>251205</v>
      </c>
      <c r="K40" s="2970" t="s">
        <v>3387</v>
      </c>
      <c r="L40" s="2970" t="s">
        <v>3388</v>
      </c>
      <c r="M40" s="2970" t="s">
        <v>3389</v>
      </c>
      <c r="N40" s="2970" t="s">
        <v>3399</v>
      </c>
      <c r="O40" s="2970">
        <v>430415</v>
      </c>
      <c r="P40" s="2970">
        <v>3084.12</v>
      </c>
      <c r="Q40" s="2970">
        <v>17134</v>
      </c>
      <c r="R40" s="2970">
        <v>27.87</v>
      </c>
      <c r="S40" s="2970" t="s">
        <v>3198</v>
      </c>
      <c r="T40" s="2970" t="s">
        <v>3183</v>
      </c>
    </row>
    <row r="41" spans="1:20">
      <c r="A41" s="2970" t="s">
        <v>3400</v>
      </c>
      <c r="B41" s="2970" t="s">
        <v>3138</v>
      </c>
      <c r="C41" s="2970" t="s">
        <v>3139</v>
      </c>
      <c r="D41" s="2970" t="s">
        <v>1327</v>
      </c>
      <c r="E41" s="2970" t="s">
        <v>3401</v>
      </c>
      <c r="F41" s="2970" t="s">
        <v>3141</v>
      </c>
      <c r="G41" s="2970" t="s">
        <v>3402</v>
      </c>
      <c r="H41" s="2970" t="s">
        <v>3211</v>
      </c>
      <c r="I41" s="2970">
        <v>46839</v>
      </c>
      <c r="J41" s="2970">
        <v>117097.5</v>
      </c>
      <c r="K41" s="2970">
        <v>2.5</v>
      </c>
      <c r="L41" s="2970" t="s">
        <v>3403</v>
      </c>
      <c r="M41" s="2970" t="s">
        <v>3404</v>
      </c>
      <c r="N41" s="2970" t="s">
        <v>3405</v>
      </c>
      <c r="O41" s="2970">
        <v>251100</v>
      </c>
      <c r="P41" s="2970">
        <v>3573.94</v>
      </c>
      <c r="Q41" s="2970">
        <v>21443.66</v>
      </c>
      <c r="R41" s="2970">
        <v>40.119999999999997</v>
      </c>
      <c r="S41" s="2970" t="s">
        <v>3191</v>
      </c>
      <c r="T41" s="2970" t="s">
        <v>3149</v>
      </c>
    </row>
    <row r="42" spans="1:20">
      <c r="A42" s="2970" t="s">
        <v>3406</v>
      </c>
      <c r="B42" s="2970" t="s">
        <v>3138</v>
      </c>
      <c r="C42" s="2970" t="s">
        <v>3151</v>
      </c>
      <c r="D42" s="2970" t="s">
        <v>1327</v>
      </c>
      <c r="E42" s="2970" t="s">
        <v>3407</v>
      </c>
      <c r="F42" s="2970" t="s">
        <v>3141</v>
      </c>
      <c r="G42" s="2970" t="s">
        <v>3408</v>
      </c>
      <c r="H42" s="2970" t="s">
        <v>3211</v>
      </c>
      <c r="I42" s="2970">
        <v>57802</v>
      </c>
      <c r="J42" s="2970">
        <v>161845.6</v>
      </c>
      <c r="K42" s="2970">
        <v>2.8</v>
      </c>
      <c r="L42" s="2970" t="s">
        <v>3403</v>
      </c>
      <c r="M42" s="2970" t="s">
        <v>3404</v>
      </c>
      <c r="N42" s="2970" t="s">
        <v>3409</v>
      </c>
      <c r="O42" s="2970">
        <v>272900</v>
      </c>
      <c r="P42" s="2970">
        <v>3147.53</v>
      </c>
      <c r="Q42" s="2970">
        <v>16861.75</v>
      </c>
      <c r="R42" s="2970">
        <v>25.82</v>
      </c>
      <c r="S42" s="2970" t="s">
        <v>3198</v>
      </c>
      <c r="T42" s="2970" t="s">
        <v>3183</v>
      </c>
    </row>
    <row r="43" spans="1:20">
      <c r="A43" s="2970" t="s">
        <v>3410</v>
      </c>
      <c r="B43" s="2970" t="s">
        <v>3138</v>
      </c>
      <c r="C43" s="2970" t="s">
        <v>3139</v>
      </c>
      <c r="D43" s="2970" t="s">
        <v>1327</v>
      </c>
      <c r="E43" s="2970" t="s">
        <v>3411</v>
      </c>
      <c r="F43" s="2970" t="s">
        <v>3141</v>
      </c>
      <c r="G43" s="2970" t="s">
        <v>3412</v>
      </c>
      <c r="H43" s="2970" t="s">
        <v>3211</v>
      </c>
      <c r="I43" s="2970">
        <v>28060</v>
      </c>
      <c r="J43" s="2970">
        <v>61732</v>
      </c>
      <c r="K43" s="2970">
        <v>2.2000000000000002</v>
      </c>
      <c r="L43" s="2970" t="s">
        <v>3403</v>
      </c>
      <c r="M43" s="2970" t="s">
        <v>3404</v>
      </c>
      <c r="N43" s="2970" t="s">
        <v>3413</v>
      </c>
      <c r="O43" s="2970">
        <v>141650</v>
      </c>
      <c r="P43" s="2970">
        <v>3365.41</v>
      </c>
      <c r="Q43" s="2970">
        <v>22945.95</v>
      </c>
      <c r="R43" s="2970">
        <v>49.97</v>
      </c>
      <c r="S43" s="2970" t="s">
        <v>3191</v>
      </c>
      <c r="T43" s="2970" t="s">
        <v>3149</v>
      </c>
    </row>
    <row r="44" spans="1:20">
      <c r="A44" s="2970" t="s">
        <v>3414</v>
      </c>
      <c r="B44" s="2970" t="s">
        <v>3138</v>
      </c>
      <c r="C44" s="2970" t="s">
        <v>3139</v>
      </c>
      <c r="D44" s="2970" t="s">
        <v>1327</v>
      </c>
      <c r="E44" s="2970" t="s">
        <v>3415</v>
      </c>
      <c r="F44" s="2970" t="s">
        <v>3141</v>
      </c>
      <c r="G44" s="2970" t="s">
        <v>3416</v>
      </c>
      <c r="H44" s="2970" t="s">
        <v>3417</v>
      </c>
      <c r="I44" s="2970">
        <v>19940</v>
      </c>
      <c r="J44" s="2970">
        <v>55832</v>
      </c>
      <c r="K44" s="2970">
        <v>2.8</v>
      </c>
      <c r="L44" s="2970" t="s">
        <v>3418</v>
      </c>
      <c r="M44" s="2970" t="s">
        <v>3419</v>
      </c>
      <c r="N44" s="2970" t="s">
        <v>3420</v>
      </c>
      <c r="O44" s="2970">
        <v>11950</v>
      </c>
      <c r="P44" s="2970">
        <v>399.53</v>
      </c>
      <c r="Q44" s="2970">
        <v>2140.34</v>
      </c>
      <c r="R44" s="2970">
        <v>6.22</v>
      </c>
      <c r="S44" s="2970" t="s">
        <v>3191</v>
      </c>
      <c r="T44" s="2970" t="s">
        <v>3308</v>
      </c>
    </row>
    <row r="45" spans="1:20">
      <c r="A45" s="2970" t="s">
        <v>3421</v>
      </c>
      <c r="B45" s="2970" t="s">
        <v>3138</v>
      </c>
      <c r="C45" s="2970" t="s">
        <v>3139</v>
      </c>
      <c r="D45" s="2970" t="s">
        <v>1327</v>
      </c>
      <c r="E45" s="2970" t="s">
        <v>3422</v>
      </c>
      <c r="F45" s="2970" t="s">
        <v>3141</v>
      </c>
      <c r="G45" s="2970" t="s">
        <v>3423</v>
      </c>
      <c r="H45" s="2970" t="s">
        <v>3424</v>
      </c>
      <c r="I45" s="2970">
        <v>20253</v>
      </c>
      <c r="J45" s="2970">
        <v>56708.4</v>
      </c>
      <c r="K45" s="2970">
        <v>2.8</v>
      </c>
      <c r="L45" s="2970" t="s">
        <v>3418</v>
      </c>
      <c r="M45" s="2970" t="s">
        <v>3419</v>
      </c>
      <c r="N45" s="2970" t="s">
        <v>3425</v>
      </c>
      <c r="O45" s="2970">
        <v>27000</v>
      </c>
      <c r="P45" s="2970">
        <v>888.76</v>
      </c>
      <c r="Q45" s="2970">
        <v>4761.1899999999996</v>
      </c>
      <c r="R45" s="2970">
        <v>50</v>
      </c>
      <c r="S45" s="2970" t="s">
        <v>3191</v>
      </c>
      <c r="T45" s="2970" t="s">
        <v>3308</v>
      </c>
    </row>
    <row r="46" spans="1:20">
      <c r="A46" s="2970" t="s">
        <v>3426</v>
      </c>
      <c r="B46" s="2970" t="s">
        <v>3138</v>
      </c>
      <c r="C46" s="2970" t="s">
        <v>3139</v>
      </c>
      <c r="D46" s="2970" t="s">
        <v>1327</v>
      </c>
      <c r="E46" s="2970" t="s">
        <v>3427</v>
      </c>
      <c r="F46" s="2970" t="s">
        <v>3141</v>
      </c>
      <c r="G46" s="2970" t="s">
        <v>3428</v>
      </c>
      <c r="H46" s="2970" t="s">
        <v>3429</v>
      </c>
      <c r="I46" s="2970">
        <v>133203</v>
      </c>
      <c r="J46" s="2970">
        <v>134535</v>
      </c>
      <c r="K46" s="2970" t="s">
        <v>3430</v>
      </c>
      <c r="L46" s="2970" t="s">
        <v>3431</v>
      </c>
      <c r="M46" s="2970" t="s">
        <v>3432</v>
      </c>
      <c r="N46" s="2970" t="s">
        <v>3433</v>
      </c>
      <c r="O46" s="2970">
        <v>401200</v>
      </c>
      <c r="P46" s="2970">
        <v>2007.96</v>
      </c>
      <c r="Q46" s="2970">
        <v>29821.24</v>
      </c>
      <c r="R46" s="2970">
        <v>70</v>
      </c>
      <c r="S46" s="2970" t="s">
        <v>3191</v>
      </c>
      <c r="T46" s="2970" t="s">
        <v>3192</v>
      </c>
    </row>
    <row r="47" spans="1:20">
      <c r="A47" s="2970" t="s">
        <v>3434</v>
      </c>
      <c r="B47" s="2970" t="s">
        <v>3138</v>
      </c>
      <c r="C47" s="2970" t="s">
        <v>3139</v>
      </c>
      <c r="D47" s="2970" t="s">
        <v>1327</v>
      </c>
      <c r="E47" s="2970" t="s">
        <v>3435</v>
      </c>
      <c r="F47" s="2970" t="s">
        <v>3141</v>
      </c>
      <c r="G47" s="2970" t="s">
        <v>3436</v>
      </c>
      <c r="H47" s="2970" t="s">
        <v>3366</v>
      </c>
      <c r="I47" s="2970">
        <v>88404</v>
      </c>
      <c r="J47" s="2970">
        <v>194488.8</v>
      </c>
      <c r="K47" s="2970" t="s">
        <v>3437</v>
      </c>
      <c r="L47" s="2970" t="s">
        <v>3438</v>
      </c>
      <c r="M47" s="2970" t="s">
        <v>3439</v>
      </c>
      <c r="N47" s="2970" t="s">
        <v>3440</v>
      </c>
      <c r="O47" s="2970">
        <v>198186</v>
      </c>
      <c r="P47" s="2970">
        <v>1494.55</v>
      </c>
      <c r="Q47" s="2970">
        <v>10190.1</v>
      </c>
      <c r="R47" s="2970">
        <v>68.400000000000006</v>
      </c>
      <c r="S47" s="2970" t="s">
        <v>3441</v>
      </c>
      <c r="T47" s="2970" t="s">
        <v>3192</v>
      </c>
    </row>
    <row r="48" spans="1:20">
      <c r="A48" s="2970" t="s">
        <v>3442</v>
      </c>
      <c r="B48" s="2970" t="s">
        <v>3138</v>
      </c>
      <c r="C48" s="2970" t="s">
        <v>3139</v>
      </c>
      <c r="D48" s="2970" t="s">
        <v>1327</v>
      </c>
      <c r="E48" s="2970" t="s">
        <v>3443</v>
      </c>
      <c r="F48" s="2970" t="s">
        <v>3141</v>
      </c>
      <c r="G48" s="2970" t="s">
        <v>3444</v>
      </c>
      <c r="H48" s="2970" t="s">
        <v>3231</v>
      </c>
      <c r="I48" s="2970">
        <v>25318</v>
      </c>
      <c r="J48" s="2970">
        <v>63295</v>
      </c>
      <c r="K48" s="2970">
        <v>2.5</v>
      </c>
      <c r="L48" s="2970" t="s">
        <v>3438</v>
      </c>
      <c r="M48" s="2970" t="s">
        <v>3445</v>
      </c>
      <c r="N48" s="2970" t="s">
        <v>3446</v>
      </c>
      <c r="O48" s="2970">
        <v>111390</v>
      </c>
      <c r="P48" s="2970">
        <v>2933.09</v>
      </c>
      <c r="Q48" s="2970">
        <v>17598.54</v>
      </c>
      <c r="R48" s="2970">
        <v>49.14</v>
      </c>
      <c r="S48" s="2970" t="s">
        <v>3191</v>
      </c>
      <c r="T48" s="2970" t="s">
        <v>3149</v>
      </c>
    </row>
    <row r="49" spans="1:20">
      <c r="A49" s="2970" t="s">
        <v>3434</v>
      </c>
      <c r="B49" s="2970" t="s">
        <v>3138</v>
      </c>
      <c r="C49" s="2970" t="s">
        <v>3139</v>
      </c>
      <c r="D49" s="2970" t="s">
        <v>1327</v>
      </c>
      <c r="E49" s="2970" t="s">
        <v>3447</v>
      </c>
      <c r="F49" s="2970" t="s">
        <v>3141</v>
      </c>
      <c r="G49" s="2970" t="s">
        <v>3448</v>
      </c>
      <c r="H49" s="2970" t="s">
        <v>3449</v>
      </c>
      <c r="I49" s="2970">
        <v>4349</v>
      </c>
      <c r="J49" s="2970">
        <v>12177.2</v>
      </c>
      <c r="K49" s="2970" t="s">
        <v>3450</v>
      </c>
      <c r="L49" s="2970" t="s">
        <v>3438</v>
      </c>
      <c r="M49" s="2970" t="s">
        <v>3439</v>
      </c>
      <c r="N49" s="2970" t="s">
        <v>3446</v>
      </c>
      <c r="O49" s="2970">
        <v>10693</v>
      </c>
      <c r="P49" s="2970">
        <v>1639.15</v>
      </c>
      <c r="Q49" s="2970">
        <v>8781.15</v>
      </c>
      <c r="R49" s="2970">
        <v>44.64</v>
      </c>
      <c r="S49" s="2970" t="s">
        <v>3441</v>
      </c>
      <c r="T49" s="2970" t="s">
        <v>3234</v>
      </c>
    </row>
    <row r="50" spans="1:20" s="2974" customFormat="1">
      <c r="A50" s="2973" t="s">
        <v>3451</v>
      </c>
      <c r="B50" s="2973" t="s">
        <v>3138</v>
      </c>
      <c r="C50" s="2973" t="s">
        <v>3139</v>
      </c>
      <c r="D50" s="2973" t="s">
        <v>1327</v>
      </c>
      <c r="E50" s="2973" t="s">
        <v>3452</v>
      </c>
      <c r="F50" s="2973" t="s">
        <v>3141</v>
      </c>
      <c r="G50" s="2973" t="s">
        <v>3453</v>
      </c>
      <c r="H50" s="2973" t="s">
        <v>3195</v>
      </c>
      <c r="I50" s="2973">
        <v>57353</v>
      </c>
      <c r="J50" s="2973">
        <v>143382.5</v>
      </c>
      <c r="K50" s="2973">
        <v>2.5</v>
      </c>
      <c r="L50" s="2973" t="s">
        <v>3438</v>
      </c>
      <c r="M50" s="2973" t="s">
        <v>3445</v>
      </c>
      <c r="N50" s="2973" t="s">
        <v>3454</v>
      </c>
      <c r="O50" s="2973">
        <v>153870</v>
      </c>
      <c r="P50" s="2973">
        <v>1788.57</v>
      </c>
      <c r="Q50" s="2973">
        <v>10731.44</v>
      </c>
      <c r="R50" s="2973">
        <v>53.3</v>
      </c>
      <c r="S50" s="2973" t="s">
        <v>3191</v>
      </c>
      <c r="T50" s="2973" t="s">
        <v>3192</v>
      </c>
    </row>
    <row r="51" spans="1:20">
      <c r="A51" s="2970" t="s">
        <v>3455</v>
      </c>
      <c r="B51" s="2970" t="s">
        <v>3138</v>
      </c>
      <c r="C51" s="2970" t="s">
        <v>3139</v>
      </c>
      <c r="D51" s="2970" t="s">
        <v>1327</v>
      </c>
      <c r="E51" s="2970" t="s">
        <v>3456</v>
      </c>
      <c r="F51" s="2970" t="s">
        <v>3141</v>
      </c>
      <c r="G51" s="2970" t="s">
        <v>3457</v>
      </c>
      <c r="H51" s="2970" t="s">
        <v>3220</v>
      </c>
      <c r="I51" s="2970">
        <v>30739</v>
      </c>
      <c r="J51" s="2970">
        <v>92217</v>
      </c>
      <c r="K51" s="2970">
        <v>3</v>
      </c>
      <c r="L51" s="2970" t="s">
        <v>3438</v>
      </c>
      <c r="M51" s="2970" t="s">
        <v>3445</v>
      </c>
      <c r="N51" s="2970" t="s">
        <v>3458</v>
      </c>
      <c r="O51" s="2970">
        <v>164420</v>
      </c>
      <c r="P51" s="2970">
        <v>3565.94</v>
      </c>
      <c r="Q51" s="2970">
        <v>17829.68</v>
      </c>
      <c r="R51" s="2970">
        <v>51.09</v>
      </c>
      <c r="S51" s="2970" t="s">
        <v>3191</v>
      </c>
      <c r="T51" s="2970" t="s">
        <v>3183</v>
      </c>
    </row>
    <row r="52" spans="1:20">
      <c r="A52" s="2970" t="s">
        <v>3434</v>
      </c>
      <c r="B52" s="2970" t="s">
        <v>3138</v>
      </c>
      <c r="C52" s="2970" t="s">
        <v>3139</v>
      </c>
      <c r="D52" s="2970" t="s">
        <v>1327</v>
      </c>
      <c r="E52" s="2970" t="s">
        <v>3459</v>
      </c>
      <c r="F52" s="2970" t="s">
        <v>3141</v>
      </c>
      <c r="G52" s="2970" t="s">
        <v>3460</v>
      </c>
      <c r="H52" s="2970" t="s">
        <v>3366</v>
      </c>
      <c r="I52" s="2970">
        <v>29341</v>
      </c>
      <c r="J52" s="2970">
        <v>35209.199999999997</v>
      </c>
      <c r="K52" s="2970" t="s">
        <v>3461</v>
      </c>
      <c r="L52" s="2970" t="s">
        <v>3438</v>
      </c>
      <c r="M52" s="2970" t="s">
        <v>3439</v>
      </c>
      <c r="N52" s="2970" t="s">
        <v>3462</v>
      </c>
      <c r="O52" s="2970">
        <v>36255</v>
      </c>
      <c r="P52" s="2970">
        <v>823.76</v>
      </c>
      <c r="Q52" s="2970">
        <v>10297.02</v>
      </c>
      <c r="R52" s="2970">
        <v>69.77</v>
      </c>
      <c r="S52" s="2970" t="s">
        <v>3441</v>
      </c>
      <c r="T52" s="2970" t="s">
        <v>3192</v>
      </c>
    </row>
    <row r="53" spans="1:20">
      <c r="A53" s="2970" t="s">
        <v>3463</v>
      </c>
      <c r="B53" s="2970" t="s">
        <v>3138</v>
      </c>
      <c r="C53" s="2970" t="s">
        <v>3139</v>
      </c>
      <c r="D53" s="2970" t="s">
        <v>1327</v>
      </c>
      <c r="E53" s="2970" t="s">
        <v>3464</v>
      </c>
      <c r="F53" s="2970" t="s">
        <v>3141</v>
      </c>
      <c r="G53" s="2970" t="s">
        <v>3465</v>
      </c>
      <c r="H53" s="2970" t="s">
        <v>3466</v>
      </c>
      <c r="I53" s="2970">
        <v>88503</v>
      </c>
      <c r="J53" s="2970">
        <v>141605</v>
      </c>
      <c r="K53" s="2970" t="s">
        <v>3467</v>
      </c>
      <c r="L53" s="2970" t="s">
        <v>3468</v>
      </c>
      <c r="M53" s="2970" t="s">
        <v>3469</v>
      </c>
      <c r="N53" s="2970" t="s">
        <v>3470</v>
      </c>
      <c r="O53" s="2970">
        <v>197300</v>
      </c>
      <c r="P53" s="2970">
        <v>1486.2</v>
      </c>
      <c r="Q53" s="2970">
        <v>13933.12</v>
      </c>
      <c r="R53" s="2970">
        <v>3.19</v>
      </c>
      <c r="S53" s="2970" t="s">
        <v>3471</v>
      </c>
      <c r="T53" s="2970" t="s">
        <v>3192</v>
      </c>
    </row>
    <row r="54" spans="1:20">
      <c r="A54" s="2970" t="s">
        <v>3472</v>
      </c>
      <c r="B54" s="2970" t="s">
        <v>3138</v>
      </c>
      <c r="C54" s="2970" t="s">
        <v>3151</v>
      </c>
      <c r="D54" s="2970" t="s">
        <v>1327</v>
      </c>
      <c r="E54" s="2970" t="s">
        <v>3473</v>
      </c>
      <c r="F54" s="2970" t="s">
        <v>3141</v>
      </c>
      <c r="G54" s="2970" t="s">
        <v>3474</v>
      </c>
      <c r="H54" s="2970" t="s">
        <v>3211</v>
      </c>
      <c r="I54" s="2970">
        <v>70129</v>
      </c>
      <c r="J54" s="2970">
        <v>196361.2</v>
      </c>
      <c r="K54" s="2970" t="s">
        <v>3475</v>
      </c>
      <c r="L54" s="2970" t="s">
        <v>3476</v>
      </c>
      <c r="M54" s="2970" t="s">
        <v>3477</v>
      </c>
      <c r="N54" s="2970" t="s">
        <v>3478</v>
      </c>
      <c r="O54" s="2970">
        <v>393890</v>
      </c>
      <c r="P54" s="2970">
        <v>3744.43</v>
      </c>
      <c r="Q54" s="2970">
        <v>20059.45</v>
      </c>
      <c r="R54" s="2970">
        <v>70</v>
      </c>
      <c r="S54" s="2970" t="s">
        <v>3167</v>
      </c>
      <c r="T54" s="2970" t="s">
        <v>3149</v>
      </c>
    </row>
    <row r="55" spans="1:20">
      <c r="A55" s="2970" t="s">
        <v>3479</v>
      </c>
      <c r="B55" s="2970" t="s">
        <v>3138</v>
      </c>
      <c r="C55" s="2970" t="s">
        <v>3139</v>
      </c>
      <c r="D55" s="2970" t="s">
        <v>1327</v>
      </c>
      <c r="E55" s="2970" t="s">
        <v>3480</v>
      </c>
      <c r="F55" s="2970" t="s">
        <v>3141</v>
      </c>
      <c r="G55" s="2970" t="s">
        <v>3481</v>
      </c>
      <c r="H55" s="2970" t="s">
        <v>3482</v>
      </c>
      <c r="I55" s="2970">
        <v>143152</v>
      </c>
      <c r="J55" s="2970">
        <v>348216.2</v>
      </c>
      <c r="K55" s="2970" t="s">
        <v>3483</v>
      </c>
      <c r="L55" s="2970" t="s">
        <v>3484</v>
      </c>
      <c r="M55" s="2970" t="s">
        <v>3485</v>
      </c>
      <c r="N55" s="2970" t="s">
        <v>3486</v>
      </c>
      <c r="O55" s="2970">
        <v>282300</v>
      </c>
      <c r="P55" s="2970">
        <v>1314.69</v>
      </c>
      <c r="Q55" s="2970">
        <v>8107.02</v>
      </c>
      <c r="R55" s="2970">
        <v>62.3</v>
      </c>
      <c r="S55" s="2970" t="s">
        <v>3182</v>
      </c>
      <c r="T55" s="2970" t="s">
        <v>3234</v>
      </c>
    </row>
    <row r="56" spans="1:20">
      <c r="A56" s="2970" t="s">
        <v>3487</v>
      </c>
      <c r="B56" s="2970" t="s">
        <v>3138</v>
      </c>
      <c r="C56" s="2970" t="s">
        <v>3151</v>
      </c>
      <c r="D56" s="2970" t="s">
        <v>1327</v>
      </c>
      <c r="E56" s="2970" t="s">
        <v>3488</v>
      </c>
      <c r="F56" s="2970" t="s">
        <v>3141</v>
      </c>
      <c r="G56" s="2970" t="s">
        <v>3489</v>
      </c>
      <c r="H56" s="2970" t="s">
        <v>3151</v>
      </c>
      <c r="I56" s="2970">
        <v>38232</v>
      </c>
      <c r="J56" s="2970">
        <v>61171.199999999997</v>
      </c>
      <c r="K56" s="2970" t="s">
        <v>3467</v>
      </c>
      <c r="L56" s="2970" t="s">
        <v>3484</v>
      </c>
      <c r="M56" s="2970" t="s">
        <v>3485</v>
      </c>
      <c r="N56" s="2970" t="s">
        <v>3490</v>
      </c>
      <c r="O56" s="2970">
        <v>51965</v>
      </c>
      <c r="P56" s="2970">
        <v>906.13</v>
      </c>
      <c r="Q56" s="2970">
        <v>8495.01</v>
      </c>
      <c r="R56" s="2970">
        <v>70</v>
      </c>
      <c r="S56" s="2970" t="s">
        <v>3167</v>
      </c>
      <c r="T56" s="2970" t="s">
        <v>3234</v>
      </c>
    </row>
    <row r="57" spans="1:20">
      <c r="A57" s="2970" t="s">
        <v>3491</v>
      </c>
      <c r="B57" s="2970" t="s">
        <v>3138</v>
      </c>
      <c r="C57" s="2970" t="s">
        <v>3139</v>
      </c>
      <c r="D57" s="2970" t="s">
        <v>1327</v>
      </c>
      <c r="E57" s="2970" t="s">
        <v>3492</v>
      </c>
      <c r="F57" s="2970" t="s">
        <v>3141</v>
      </c>
      <c r="G57" s="2970" t="s">
        <v>3493</v>
      </c>
      <c r="H57" s="2970" t="s">
        <v>3494</v>
      </c>
      <c r="I57" s="2970">
        <v>106872</v>
      </c>
      <c r="J57" s="2970">
        <v>277867.2</v>
      </c>
      <c r="K57" s="2970" t="s">
        <v>3495</v>
      </c>
      <c r="L57" s="2970" t="s">
        <v>3496</v>
      </c>
      <c r="M57" s="2970" t="s">
        <v>3497</v>
      </c>
      <c r="N57" s="2970" t="s">
        <v>3498</v>
      </c>
      <c r="O57" s="2970">
        <v>637704</v>
      </c>
      <c r="P57" s="2970">
        <v>3977.99</v>
      </c>
      <c r="Q57" s="2970">
        <v>22949.95</v>
      </c>
      <c r="R57" s="2970">
        <v>70</v>
      </c>
      <c r="S57" s="2970" t="s">
        <v>3471</v>
      </c>
      <c r="T57" s="2970" t="s">
        <v>3183</v>
      </c>
    </row>
    <row r="58" spans="1:20">
      <c r="A58" s="2970" t="s">
        <v>3499</v>
      </c>
      <c r="B58" s="2970" t="s">
        <v>3138</v>
      </c>
      <c r="C58" s="2970" t="s">
        <v>3139</v>
      </c>
      <c r="D58" s="2970" t="s">
        <v>1327</v>
      </c>
      <c r="E58" s="2970" t="s">
        <v>3500</v>
      </c>
      <c r="F58" s="2970" t="s">
        <v>3141</v>
      </c>
      <c r="G58" s="2970" t="s">
        <v>3501</v>
      </c>
      <c r="H58" s="2970" t="s">
        <v>3205</v>
      </c>
      <c r="I58" s="2970">
        <v>46353</v>
      </c>
      <c r="J58" s="2970">
        <v>115882.5</v>
      </c>
      <c r="K58" s="2970" t="s">
        <v>3163</v>
      </c>
      <c r="L58" s="2970" t="s">
        <v>3496</v>
      </c>
      <c r="M58" s="2970" t="s">
        <v>3502</v>
      </c>
      <c r="N58" s="2970" t="s">
        <v>3440</v>
      </c>
      <c r="O58" s="2970">
        <v>229500</v>
      </c>
      <c r="P58" s="2970">
        <v>3300.76</v>
      </c>
      <c r="Q58" s="2970">
        <v>19804.54</v>
      </c>
      <c r="R58" s="2970">
        <v>70</v>
      </c>
      <c r="S58" s="2970" t="s">
        <v>3471</v>
      </c>
      <c r="T58" s="2970" t="s">
        <v>3149</v>
      </c>
    </row>
    <row r="59" spans="1:20">
      <c r="A59" s="2970" t="s">
        <v>3349</v>
      </c>
      <c r="B59" s="2970" t="s">
        <v>3138</v>
      </c>
      <c r="C59" s="2970" t="s">
        <v>3139</v>
      </c>
      <c r="D59" s="2970" t="s">
        <v>1327</v>
      </c>
      <c r="E59" s="2970" t="s">
        <v>3503</v>
      </c>
      <c r="F59" s="2970" t="s">
        <v>3141</v>
      </c>
      <c r="G59" s="2970" t="s">
        <v>3504</v>
      </c>
      <c r="H59" s="2970" t="s">
        <v>3231</v>
      </c>
      <c r="I59" s="2970">
        <v>74357</v>
      </c>
      <c r="J59" s="2970">
        <v>163585.4</v>
      </c>
      <c r="K59" s="2970" t="s">
        <v>3505</v>
      </c>
      <c r="L59" s="2970" t="s">
        <v>3496</v>
      </c>
      <c r="M59" s="2970" t="s">
        <v>3506</v>
      </c>
      <c r="N59" s="2970" t="s">
        <v>3507</v>
      </c>
      <c r="O59" s="2970">
        <v>141831</v>
      </c>
      <c r="P59" s="2970">
        <v>1271.6199999999999</v>
      </c>
      <c r="Q59" s="2970">
        <v>8670.14</v>
      </c>
      <c r="R59" s="2970">
        <v>70</v>
      </c>
      <c r="S59" s="2970" t="s">
        <v>3471</v>
      </c>
      <c r="T59" s="2970" t="s">
        <v>3234</v>
      </c>
    </row>
    <row r="60" spans="1:20">
      <c r="A60" s="2970" t="s">
        <v>3508</v>
      </c>
      <c r="B60" s="2970" t="s">
        <v>3138</v>
      </c>
      <c r="C60" s="2970" t="s">
        <v>3139</v>
      </c>
      <c r="D60" s="2970" t="s">
        <v>1327</v>
      </c>
      <c r="E60" s="2970" t="s">
        <v>3509</v>
      </c>
      <c r="F60" s="2970" t="s">
        <v>3141</v>
      </c>
      <c r="G60" s="2970" t="s">
        <v>3510</v>
      </c>
      <c r="H60" s="2970" t="s">
        <v>3211</v>
      </c>
      <c r="I60" s="2970">
        <v>45394</v>
      </c>
      <c r="J60" s="2970">
        <v>113485</v>
      </c>
      <c r="K60" s="2970" t="s">
        <v>3511</v>
      </c>
      <c r="L60" s="2970" t="s">
        <v>3512</v>
      </c>
      <c r="M60" s="2970" t="s">
        <v>3513</v>
      </c>
      <c r="N60" s="2970" t="s">
        <v>3514</v>
      </c>
      <c r="O60" s="2970">
        <v>178200</v>
      </c>
      <c r="P60" s="2970">
        <v>2617.09</v>
      </c>
      <c r="Q60" s="2970">
        <v>15702.52</v>
      </c>
      <c r="R60" s="2970">
        <v>22.45</v>
      </c>
      <c r="S60" s="2970" t="s">
        <v>3471</v>
      </c>
      <c r="T60" s="2970" t="s">
        <v>3149</v>
      </c>
    </row>
    <row r="61" spans="1:20">
      <c r="A61" s="2970" t="s">
        <v>3515</v>
      </c>
      <c r="B61" s="2970" t="s">
        <v>3138</v>
      </c>
      <c r="C61" s="2970" t="s">
        <v>3139</v>
      </c>
      <c r="D61" s="2970" t="s">
        <v>1327</v>
      </c>
      <c r="E61" s="2970" t="s">
        <v>3516</v>
      </c>
      <c r="F61" s="2970" t="s">
        <v>3141</v>
      </c>
      <c r="G61" s="2970" t="s">
        <v>3517</v>
      </c>
      <c r="H61" s="2970" t="s">
        <v>3211</v>
      </c>
      <c r="I61" s="2970">
        <v>22186</v>
      </c>
      <c r="J61" s="2970">
        <v>59902.2</v>
      </c>
      <c r="K61" s="2970" t="s">
        <v>3518</v>
      </c>
      <c r="L61" s="2970" t="s">
        <v>3512</v>
      </c>
      <c r="M61" s="2970" t="s">
        <v>3519</v>
      </c>
      <c r="N61" s="2970" t="s">
        <v>3520</v>
      </c>
      <c r="O61" s="2970">
        <v>149702</v>
      </c>
      <c r="P61" s="2970">
        <v>4498.3900000000003</v>
      </c>
      <c r="Q61" s="2970">
        <v>24991.06</v>
      </c>
      <c r="R61" s="2970">
        <v>70</v>
      </c>
      <c r="S61" s="2970" t="s">
        <v>3471</v>
      </c>
      <c r="T61" s="2970" t="s">
        <v>3149</v>
      </c>
    </row>
    <row r="62" spans="1:20">
      <c r="A62" s="2970" t="s">
        <v>3521</v>
      </c>
      <c r="B62" s="2970" t="s">
        <v>3138</v>
      </c>
      <c r="C62" s="2970" t="s">
        <v>3139</v>
      </c>
      <c r="D62" s="2970" t="s">
        <v>1327</v>
      </c>
      <c r="E62" s="2970" t="s">
        <v>3522</v>
      </c>
      <c r="F62" s="2970" t="s">
        <v>3141</v>
      </c>
      <c r="G62" s="2970" t="s">
        <v>3523</v>
      </c>
      <c r="H62" s="2970" t="s">
        <v>3211</v>
      </c>
      <c r="I62" s="2970">
        <v>28608</v>
      </c>
      <c r="J62" s="2970">
        <v>62937.599999999999</v>
      </c>
      <c r="K62" s="2970" t="s">
        <v>3505</v>
      </c>
      <c r="L62" s="2970" t="s">
        <v>3512</v>
      </c>
      <c r="M62" s="2970" t="s">
        <v>3524</v>
      </c>
      <c r="N62" s="2970" t="s">
        <v>3525</v>
      </c>
      <c r="O62" s="2970">
        <v>137190</v>
      </c>
      <c r="P62" s="2970">
        <v>3197.01</v>
      </c>
      <c r="Q62" s="2970">
        <v>21797.77</v>
      </c>
      <c r="R62" s="2970">
        <v>70</v>
      </c>
      <c r="S62" s="2970" t="s">
        <v>3191</v>
      </c>
      <c r="T62" s="2970" t="s">
        <v>3149</v>
      </c>
    </row>
    <row r="63" spans="1:20" s="2982" customFormat="1">
      <c r="A63" s="2981" t="s">
        <v>3526</v>
      </c>
      <c r="B63" s="2981" t="s">
        <v>3138</v>
      </c>
      <c r="C63" s="2981" t="s">
        <v>3139</v>
      </c>
      <c r="D63" s="2981" t="s">
        <v>1327</v>
      </c>
      <c r="E63" s="2981" t="s">
        <v>3527</v>
      </c>
      <c r="F63" s="2981" t="s">
        <v>3141</v>
      </c>
      <c r="G63" s="2981" t="s">
        <v>3528</v>
      </c>
      <c r="H63" s="2981" t="s">
        <v>3220</v>
      </c>
      <c r="I63" s="2981">
        <v>14432</v>
      </c>
      <c r="J63" s="2981">
        <v>43296</v>
      </c>
      <c r="K63" s="2981" t="s">
        <v>3529</v>
      </c>
      <c r="L63" s="2981" t="s">
        <v>3530</v>
      </c>
      <c r="M63" s="2981" t="s">
        <v>3531</v>
      </c>
      <c r="N63" s="2981" t="s">
        <v>3532</v>
      </c>
      <c r="O63" s="2981">
        <v>44163</v>
      </c>
      <c r="P63" s="2981">
        <v>2040.05</v>
      </c>
      <c r="Q63" s="2981">
        <v>10200.25</v>
      </c>
      <c r="R63" s="2981">
        <v>70</v>
      </c>
      <c r="S63" s="2981" t="s">
        <v>3191</v>
      </c>
      <c r="T63" s="2981" t="s">
        <v>3234</v>
      </c>
    </row>
    <row r="64" spans="1:20">
      <c r="A64" s="2970" t="s">
        <v>3533</v>
      </c>
      <c r="B64" s="2970" t="s">
        <v>3138</v>
      </c>
      <c r="C64" s="2970" t="s">
        <v>3139</v>
      </c>
      <c r="D64" s="2970" t="s">
        <v>1327</v>
      </c>
      <c r="E64" s="2970" t="s">
        <v>3534</v>
      </c>
      <c r="F64" s="2970" t="s">
        <v>3141</v>
      </c>
      <c r="G64" s="2970" t="s">
        <v>3535</v>
      </c>
      <c r="H64" s="2970" t="s">
        <v>3536</v>
      </c>
      <c r="I64" s="2970">
        <v>27018</v>
      </c>
      <c r="J64" s="2970">
        <v>64843.199999999997</v>
      </c>
      <c r="K64" s="2970" t="s">
        <v>3537</v>
      </c>
      <c r="L64" s="2970" t="s">
        <v>3530</v>
      </c>
      <c r="M64" s="2970" t="s">
        <v>3538</v>
      </c>
      <c r="N64" s="2970" t="s">
        <v>3440</v>
      </c>
      <c r="O64" s="2970">
        <v>108000</v>
      </c>
      <c r="P64" s="2970">
        <v>2664.89</v>
      </c>
      <c r="Q64" s="2970">
        <v>16655.560000000001</v>
      </c>
      <c r="R64" s="2970">
        <v>41.18</v>
      </c>
      <c r="S64" s="2970" t="s">
        <v>3191</v>
      </c>
      <c r="T64" s="2970" t="s">
        <v>3183</v>
      </c>
    </row>
    <row r="65" spans="1:20">
      <c r="A65" s="2970" t="s">
        <v>3539</v>
      </c>
      <c r="B65" s="2970" t="s">
        <v>3138</v>
      </c>
      <c r="C65" s="2970" t="s">
        <v>3139</v>
      </c>
      <c r="D65" s="2970" t="s">
        <v>1327</v>
      </c>
      <c r="E65" s="2970" t="s">
        <v>3540</v>
      </c>
      <c r="F65" s="2970" t="s">
        <v>3141</v>
      </c>
      <c r="G65" s="2970" t="s">
        <v>3541</v>
      </c>
      <c r="H65" s="2970" t="s">
        <v>3542</v>
      </c>
      <c r="I65" s="2970">
        <v>63742</v>
      </c>
      <c r="J65" s="2970">
        <v>140232.4</v>
      </c>
      <c r="K65" s="2970" t="s">
        <v>3505</v>
      </c>
      <c r="L65" s="2970" t="s">
        <v>3530</v>
      </c>
      <c r="M65" s="2970" t="s">
        <v>3543</v>
      </c>
      <c r="N65" s="2970" t="s">
        <v>3544</v>
      </c>
      <c r="O65" s="2970">
        <v>232500</v>
      </c>
      <c r="P65" s="2970">
        <v>2431.6799999999998</v>
      </c>
      <c r="Q65" s="2970">
        <v>16579.61</v>
      </c>
      <c r="R65" s="2970">
        <v>40.479999999999997</v>
      </c>
      <c r="S65" s="2970" t="s">
        <v>3191</v>
      </c>
      <c r="T65" s="2970" t="s">
        <v>3183</v>
      </c>
    </row>
    <row r="66" spans="1:20">
      <c r="A66" s="2970" t="s">
        <v>3545</v>
      </c>
      <c r="B66" s="2970" t="s">
        <v>3138</v>
      </c>
      <c r="C66" s="2970" t="s">
        <v>3151</v>
      </c>
      <c r="D66" s="2970" t="s">
        <v>1327</v>
      </c>
      <c r="E66" s="2970" t="s">
        <v>3546</v>
      </c>
      <c r="F66" s="2970" t="s">
        <v>3141</v>
      </c>
      <c r="G66" s="2970" t="s">
        <v>3547</v>
      </c>
      <c r="H66" s="2970" t="s">
        <v>3211</v>
      </c>
      <c r="I66" s="2970">
        <v>50515</v>
      </c>
      <c r="J66" s="2970">
        <v>85875.5</v>
      </c>
      <c r="K66" s="2970" t="s">
        <v>3548</v>
      </c>
      <c r="L66" s="2970" t="s">
        <v>3530</v>
      </c>
      <c r="M66" s="2970" t="s">
        <v>3549</v>
      </c>
      <c r="N66" s="2970" t="s">
        <v>3440</v>
      </c>
      <c r="O66" s="2970">
        <v>214608</v>
      </c>
      <c r="P66" s="2970">
        <v>2832.27</v>
      </c>
      <c r="Q66" s="2970">
        <v>24990.59</v>
      </c>
      <c r="R66" s="2970">
        <v>70</v>
      </c>
      <c r="S66" s="2970" t="s">
        <v>3167</v>
      </c>
      <c r="T66" s="2970" t="s">
        <v>3149</v>
      </c>
    </row>
    <row r="67" spans="1:20">
      <c r="A67" s="2970" t="s">
        <v>3550</v>
      </c>
      <c r="B67" s="2970" t="s">
        <v>3138</v>
      </c>
      <c r="C67" s="2970" t="s">
        <v>3139</v>
      </c>
      <c r="D67" s="2970" t="s">
        <v>1327</v>
      </c>
      <c r="E67" s="2970" t="s">
        <v>3551</v>
      </c>
      <c r="F67" s="2970" t="s">
        <v>3141</v>
      </c>
      <c r="G67" s="2970" t="s">
        <v>3552</v>
      </c>
      <c r="H67" s="2970" t="s">
        <v>3220</v>
      </c>
      <c r="I67" s="2970">
        <v>11417</v>
      </c>
      <c r="J67" s="2970">
        <v>37676.1</v>
      </c>
      <c r="K67" s="2970" t="s">
        <v>3553</v>
      </c>
      <c r="L67" s="2970" t="s">
        <v>3554</v>
      </c>
      <c r="M67" s="2970" t="s">
        <v>3555</v>
      </c>
      <c r="N67" s="2970" t="s">
        <v>3556</v>
      </c>
      <c r="O67" s="2970">
        <v>72338</v>
      </c>
      <c r="P67" s="2970">
        <v>4223.99</v>
      </c>
      <c r="Q67" s="2970">
        <v>19199.97</v>
      </c>
      <c r="R67" s="2970">
        <v>50</v>
      </c>
      <c r="S67" s="2970" t="s">
        <v>3167</v>
      </c>
      <c r="T67" s="2970" t="s">
        <v>3149</v>
      </c>
    </row>
    <row r="68" spans="1:20">
      <c r="A68" s="2970" t="s">
        <v>3557</v>
      </c>
      <c r="B68" s="2970" t="s">
        <v>3138</v>
      </c>
      <c r="C68" s="2970" t="s">
        <v>3139</v>
      </c>
      <c r="D68" s="2970" t="s">
        <v>1327</v>
      </c>
      <c r="E68" s="2970" t="s">
        <v>3558</v>
      </c>
      <c r="F68" s="2970" t="s">
        <v>3141</v>
      </c>
      <c r="G68" s="2970" t="s">
        <v>3559</v>
      </c>
      <c r="H68" s="2970" t="s">
        <v>3424</v>
      </c>
      <c r="I68" s="2970">
        <v>16741</v>
      </c>
      <c r="J68" s="2970">
        <v>30133.8</v>
      </c>
      <c r="K68" s="2970" t="s">
        <v>3560</v>
      </c>
      <c r="L68" s="2970" t="s">
        <v>3554</v>
      </c>
      <c r="M68" s="2970" t="s">
        <v>3561</v>
      </c>
      <c r="N68" s="2970" t="s">
        <v>3562</v>
      </c>
      <c r="O68" s="2970">
        <v>8235</v>
      </c>
      <c r="P68" s="2970">
        <v>327.94</v>
      </c>
      <c r="Q68" s="2970">
        <v>2732.8</v>
      </c>
      <c r="R68" s="2970">
        <v>51.83</v>
      </c>
      <c r="S68" s="2970" t="s">
        <v>3167</v>
      </c>
      <c r="T68" s="2970" t="s">
        <v>3308</v>
      </c>
    </row>
    <row r="69" spans="1:20">
      <c r="A69" s="2970" t="s">
        <v>3563</v>
      </c>
      <c r="B69" s="2970" t="s">
        <v>3138</v>
      </c>
      <c r="C69" s="2970" t="s">
        <v>3151</v>
      </c>
      <c r="D69" s="2970" t="s">
        <v>1327</v>
      </c>
      <c r="E69" s="2970" t="s">
        <v>3564</v>
      </c>
      <c r="F69" s="2970" t="s">
        <v>3141</v>
      </c>
      <c r="G69" s="2970" t="s">
        <v>3565</v>
      </c>
      <c r="H69" s="2970" t="s">
        <v>3211</v>
      </c>
      <c r="I69" s="2970">
        <v>26601.5</v>
      </c>
      <c r="J69" s="2970">
        <v>71824.05</v>
      </c>
      <c r="K69" s="2970">
        <v>2.7</v>
      </c>
      <c r="L69" s="2970" t="s">
        <v>3554</v>
      </c>
      <c r="M69" s="2970" t="s">
        <v>3565</v>
      </c>
      <c r="N69" s="2970" t="s">
        <v>3566</v>
      </c>
      <c r="O69" s="2970">
        <v>127129</v>
      </c>
      <c r="P69" s="2970">
        <v>3186.01</v>
      </c>
      <c r="Q69" s="2970">
        <v>17700.060000000001</v>
      </c>
      <c r="R69" s="2970">
        <v>50</v>
      </c>
      <c r="S69" s="2970" t="s">
        <v>3167</v>
      </c>
      <c r="T69" s="2970" t="s">
        <v>3149</v>
      </c>
    </row>
    <row r="70" spans="1:20">
      <c r="A70" s="2970" t="s">
        <v>3567</v>
      </c>
      <c r="B70" s="2970" t="s">
        <v>3138</v>
      </c>
      <c r="C70" s="2970" t="s">
        <v>3151</v>
      </c>
      <c r="D70" s="2970" t="s">
        <v>1327</v>
      </c>
      <c r="E70" s="2970" t="s">
        <v>3551</v>
      </c>
      <c r="F70" s="2970" t="s">
        <v>3141</v>
      </c>
      <c r="G70" s="2970" t="s">
        <v>3568</v>
      </c>
      <c r="H70" s="2970" t="s">
        <v>3211</v>
      </c>
      <c r="I70" s="2970">
        <v>31600</v>
      </c>
      <c r="J70" s="2970">
        <v>79000</v>
      </c>
      <c r="K70" s="2970" t="s">
        <v>3163</v>
      </c>
      <c r="L70" s="2970" t="s">
        <v>3554</v>
      </c>
      <c r="M70" s="2970" t="s">
        <v>3569</v>
      </c>
      <c r="N70" s="2970" t="s">
        <v>3440</v>
      </c>
      <c r="O70" s="2970">
        <v>142199</v>
      </c>
      <c r="P70" s="2970">
        <v>2999.98</v>
      </c>
      <c r="Q70" s="2970">
        <v>17999.86</v>
      </c>
      <c r="R70" s="2970">
        <v>50</v>
      </c>
      <c r="S70" s="2970" t="s">
        <v>3167</v>
      </c>
      <c r="T70" s="2970" t="s">
        <v>3149</v>
      </c>
    </row>
    <row r="71" spans="1:20">
      <c r="A71" s="2970" t="s">
        <v>3570</v>
      </c>
      <c r="B71" s="2970" t="s">
        <v>3138</v>
      </c>
      <c r="C71" s="2970" t="s">
        <v>3151</v>
      </c>
      <c r="D71" s="2970" t="s">
        <v>1327</v>
      </c>
      <c r="E71" s="2970" t="s">
        <v>3571</v>
      </c>
      <c r="F71" s="2970" t="s">
        <v>3141</v>
      </c>
      <c r="G71" s="2970" t="s">
        <v>3572</v>
      </c>
      <c r="H71" s="2970" t="s">
        <v>3366</v>
      </c>
      <c r="I71" s="2970">
        <v>84897</v>
      </c>
      <c r="J71" s="2970">
        <v>195263.1</v>
      </c>
      <c r="K71" s="2970" t="s">
        <v>3573</v>
      </c>
      <c r="L71" s="2970" t="s">
        <v>3574</v>
      </c>
      <c r="M71" s="2970" t="s">
        <v>3575</v>
      </c>
      <c r="N71" s="2970" t="s">
        <v>3576</v>
      </c>
      <c r="O71" s="2970">
        <v>100779</v>
      </c>
      <c r="P71" s="2970">
        <v>791.38</v>
      </c>
      <c r="Q71" s="2970">
        <v>5161.18</v>
      </c>
      <c r="R71" s="2970">
        <v>70</v>
      </c>
      <c r="S71" s="2970" t="s">
        <v>3167</v>
      </c>
      <c r="T71" s="2970" t="s">
        <v>3308</v>
      </c>
    </row>
    <row r="72" spans="1:20">
      <c r="A72" s="2970" t="s">
        <v>3577</v>
      </c>
      <c r="B72" s="2970" t="s">
        <v>3138</v>
      </c>
      <c r="C72" s="2970" t="s">
        <v>3139</v>
      </c>
      <c r="D72" s="2970" t="s">
        <v>1327</v>
      </c>
      <c r="E72" s="2970" t="s">
        <v>3578</v>
      </c>
      <c r="F72" s="2970" t="s">
        <v>3141</v>
      </c>
      <c r="G72" s="2970" t="s">
        <v>3579</v>
      </c>
      <c r="H72" s="2970" t="s">
        <v>3449</v>
      </c>
      <c r="I72" s="2970">
        <v>8395</v>
      </c>
      <c r="J72" s="2970">
        <v>10074</v>
      </c>
      <c r="K72" s="2970" t="s">
        <v>3461</v>
      </c>
      <c r="L72" s="2970" t="s">
        <v>3574</v>
      </c>
      <c r="M72" s="2970" t="s">
        <v>3575</v>
      </c>
      <c r="N72" s="2970" t="s">
        <v>3580</v>
      </c>
      <c r="O72" s="2970">
        <v>4800</v>
      </c>
      <c r="P72" s="2970">
        <v>381.18</v>
      </c>
      <c r="Q72" s="2970">
        <v>4764.7299999999996</v>
      </c>
      <c r="R72" s="2970">
        <v>69.97</v>
      </c>
      <c r="S72" s="2970" t="s">
        <v>3167</v>
      </c>
      <c r="T72" s="2970" t="s">
        <v>3192</v>
      </c>
    </row>
    <row r="73" spans="1:20">
      <c r="A73" s="2970" t="s">
        <v>3581</v>
      </c>
      <c r="B73" s="2970" t="s">
        <v>3138</v>
      </c>
      <c r="C73" s="2970" t="s">
        <v>3139</v>
      </c>
      <c r="D73" s="2970" t="s">
        <v>1327</v>
      </c>
      <c r="E73" s="2970" t="s">
        <v>3582</v>
      </c>
      <c r="F73" s="2970" t="s">
        <v>3141</v>
      </c>
      <c r="G73" s="2970" t="s">
        <v>3583</v>
      </c>
      <c r="H73" s="2970" t="s">
        <v>3424</v>
      </c>
      <c r="I73" s="2970">
        <v>48543</v>
      </c>
      <c r="J73" s="2970">
        <v>97086</v>
      </c>
      <c r="K73" s="2970" t="s">
        <v>3584</v>
      </c>
      <c r="L73" s="2970" t="s">
        <v>3585</v>
      </c>
      <c r="M73" s="2970" t="s">
        <v>3586</v>
      </c>
      <c r="N73" s="2970" t="s">
        <v>3587</v>
      </c>
      <c r="O73" s="2970">
        <v>49521</v>
      </c>
      <c r="P73" s="2970">
        <v>680.1</v>
      </c>
      <c r="Q73" s="2970">
        <v>5100.7299999999996</v>
      </c>
      <c r="R73" s="2970">
        <v>70</v>
      </c>
      <c r="S73" s="2970" t="s">
        <v>3588</v>
      </c>
      <c r="T73" s="2970" t="s">
        <v>3234</v>
      </c>
    </row>
    <row r="74" spans="1:20">
      <c r="A74" s="2970" t="s">
        <v>3589</v>
      </c>
      <c r="B74" s="2970" t="s">
        <v>3138</v>
      </c>
      <c r="C74" s="2970" t="s">
        <v>3151</v>
      </c>
      <c r="D74" s="2970" t="s">
        <v>1327</v>
      </c>
      <c r="E74" s="2970" t="s">
        <v>3590</v>
      </c>
      <c r="F74" s="2970" t="s">
        <v>3141</v>
      </c>
      <c r="G74" s="2970" t="s">
        <v>3591</v>
      </c>
      <c r="H74" s="2970" t="s">
        <v>3592</v>
      </c>
      <c r="I74" s="2970">
        <v>53489</v>
      </c>
      <c r="J74" s="2970">
        <v>149769.20000000001</v>
      </c>
      <c r="K74" s="2970" t="s">
        <v>3475</v>
      </c>
      <c r="L74" s="2970" t="s">
        <v>3585</v>
      </c>
      <c r="M74" s="2970" t="s">
        <v>3593</v>
      </c>
      <c r="N74" s="2970" t="s">
        <v>3594</v>
      </c>
      <c r="O74" s="2970">
        <v>300437</v>
      </c>
      <c r="P74" s="2970">
        <v>3744.53</v>
      </c>
      <c r="Q74" s="2970">
        <v>20060</v>
      </c>
      <c r="R74" s="2970">
        <v>70</v>
      </c>
      <c r="S74" s="2970" t="s">
        <v>3167</v>
      </c>
      <c r="T74" s="2970" t="s">
        <v>3149</v>
      </c>
    </row>
    <row r="75" spans="1:20">
      <c r="A75" s="2970" t="s">
        <v>3400</v>
      </c>
      <c r="B75" s="2970" t="s">
        <v>3138</v>
      </c>
      <c r="C75" s="2970" t="s">
        <v>3151</v>
      </c>
      <c r="D75" s="2970" t="s">
        <v>1327</v>
      </c>
      <c r="E75" s="2970" t="s">
        <v>3400</v>
      </c>
      <c r="F75" s="2970" t="s">
        <v>3141</v>
      </c>
      <c r="G75" s="2970" t="s">
        <v>3595</v>
      </c>
      <c r="H75" s="2970" t="s">
        <v>3211</v>
      </c>
      <c r="I75" s="2970">
        <v>47652</v>
      </c>
      <c r="J75" s="2970">
        <v>119130</v>
      </c>
      <c r="K75" s="2970">
        <v>2.5</v>
      </c>
      <c r="L75" s="2970" t="s">
        <v>3596</v>
      </c>
      <c r="M75" s="2970" t="s">
        <v>3595</v>
      </c>
      <c r="N75" s="2970" t="s">
        <v>3597</v>
      </c>
      <c r="O75" s="2970">
        <v>362005</v>
      </c>
      <c r="P75" s="2970">
        <v>5064.57</v>
      </c>
      <c r="Q75" s="2970">
        <v>30387.38</v>
      </c>
      <c r="R75" s="2970">
        <v>78.739999999999995</v>
      </c>
      <c r="S75" s="2970" t="s">
        <v>3167</v>
      </c>
      <c r="T75" s="2970" t="s">
        <v>3149</v>
      </c>
    </row>
    <row r="76" spans="1:20" s="2974" customFormat="1">
      <c r="A76" s="2973" t="s">
        <v>3400</v>
      </c>
      <c r="B76" s="2973" t="s">
        <v>3138</v>
      </c>
      <c r="C76" s="2973" t="s">
        <v>3151</v>
      </c>
      <c r="D76" s="2973" t="s">
        <v>1327</v>
      </c>
      <c r="E76" s="2973" t="s">
        <v>3400</v>
      </c>
      <c r="F76" s="2973" t="s">
        <v>3141</v>
      </c>
      <c r="G76" s="2973" t="s">
        <v>3598</v>
      </c>
      <c r="H76" s="2973" t="s">
        <v>3211</v>
      </c>
      <c r="I76" s="2973">
        <v>47326</v>
      </c>
      <c r="J76" s="2973">
        <v>118315</v>
      </c>
      <c r="K76" s="2973">
        <v>2.5</v>
      </c>
      <c r="L76" s="2973" t="s">
        <v>3596</v>
      </c>
      <c r="M76" s="2973" t="s">
        <v>3598</v>
      </c>
      <c r="N76" s="2973" t="s">
        <v>3599</v>
      </c>
      <c r="O76" s="2973">
        <v>364600</v>
      </c>
      <c r="P76" s="2973">
        <v>5136.01</v>
      </c>
      <c r="Q76" s="2973">
        <v>30816.04</v>
      </c>
      <c r="R76" s="2973">
        <v>81.260000000000005</v>
      </c>
      <c r="S76" s="2973" t="s">
        <v>3167</v>
      </c>
      <c r="T76" s="2973" t="s">
        <v>3149</v>
      </c>
    </row>
    <row r="77" spans="1:20" s="2972" customFormat="1">
      <c r="A77" s="2971" t="s">
        <v>3600</v>
      </c>
      <c r="B77" s="2971" t="s">
        <v>3138</v>
      </c>
      <c r="C77" s="2971" t="s">
        <v>3139</v>
      </c>
      <c r="D77" s="2971" t="s">
        <v>1327</v>
      </c>
      <c r="E77" s="2971" t="s">
        <v>3600</v>
      </c>
      <c r="F77" s="2971" t="s">
        <v>3141</v>
      </c>
      <c r="G77" s="2971" t="s">
        <v>3601</v>
      </c>
      <c r="H77" s="2971" t="s">
        <v>3220</v>
      </c>
      <c r="I77" s="2971">
        <v>48320</v>
      </c>
      <c r="J77" s="2971">
        <v>120800</v>
      </c>
      <c r="K77" s="2971">
        <v>2.5</v>
      </c>
      <c r="L77" s="2971" t="s">
        <v>3602</v>
      </c>
      <c r="M77" s="2971" t="s">
        <v>3601</v>
      </c>
      <c r="N77" s="2971" t="s">
        <v>3603</v>
      </c>
      <c r="O77" s="2971">
        <v>88200</v>
      </c>
      <c r="P77" s="2971">
        <v>1216.8900000000001</v>
      </c>
      <c r="Q77" s="2971">
        <v>7301.31</v>
      </c>
      <c r="R77" s="2971">
        <v>82.53</v>
      </c>
      <c r="S77" s="2971" t="s">
        <v>3471</v>
      </c>
      <c r="T77" s="2971" t="s">
        <v>3234</v>
      </c>
    </row>
    <row r="78" spans="1:20" s="2974" customFormat="1">
      <c r="A78" s="2973" t="s">
        <v>3604</v>
      </c>
      <c r="B78" s="2973" t="s">
        <v>3138</v>
      </c>
      <c r="C78" s="2973" t="s">
        <v>3151</v>
      </c>
      <c r="D78" s="2973" t="s">
        <v>1327</v>
      </c>
      <c r="E78" s="2973" t="s">
        <v>3604</v>
      </c>
      <c r="F78" s="2973" t="s">
        <v>3141</v>
      </c>
      <c r="G78" s="2973" t="s">
        <v>3605</v>
      </c>
      <c r="H78" s="2973" t="s">
        <v>3211</v>
      </c>
      <c r="I78" s="2973">
        <v>24306</v>
      </c>
      <c r="J78" s="2973">
        <v>63195.6</v>
      </c>
      <c r="K78" s="2973">
        <v>2.6</v>
      </c>
      <c r="L78" s="2973" t="s">
        <v>3602</v>
      </c>
      <c r="M78" s="2973" t="s">
        <v>3605</v>
      </c>
      <c r="N78" s="2973" t="s">
        <v>3606</v>
      </c>
      <c r="O78" s="2973">
        <v>68124</v>
      </c>
      <c r="P78" s="2973">
        <v>1868.51</v>
      </c>
      <c r="Q78" s="2973">
        <v>10779.86</v>
      </c>
      <c r="R78" s="2973">
        <v>120</v>
      </c>
      <c r="S78" s="2973" t="s">
        <v>3471</v>
      </c>
      <c r="T78" s="2973" t="s">
        <v>3192</v>
      </c>
    </row>
    <row r="79" spans="1:20" s="2972" customFormat="1">
      <c r="A79" s="2971" t="s">
        <v>3607</v>
      </c>
      <c r="B79" s="2971" t="s">
        <v>3138</v>
      </c>
      <c r="C79" s="2971" t="s">
        <v>3139</v>
      </c>
      <c r="D79" s="2971" t="s">
        <v>1327</v>
      </c>
      <c r="E79" s="2971" t="s">
        <v>3607</v>
      </c>
      <c r="F79" s="2971" t="s">
        <v>3141</v>
      </c>
      <c r="G79" s="2971" t="s">
        <v>3608</v>
      </c>
      <c r="H79" s="2971" t="s">
        <v>3220</v>
      </c>
      <c r="I79" s="2971">
        <v>32427</v>
      </c>
      <c r="J79" s="2971">
        <v>74582.100000000006</v>
      </c>
      <c r="K79" s="2971">
        <v>2.2999999999999998</v>
      </c>
      <c r="L79" s="2971" t="s">
        <v>3602</v>
      </c>
      <c r="M79" s="2971" t="s">
        <v>3608</v>
      </c>
      <c r="N79" s="2971" t="s">
        <v>3603</v>
      </c>
      <c r="O79" s="2971">
        <v>52200</v>
      </c>
      <c r="P79" s="2971">
        <v>1073.18</v>
      </c>
      <c r="Q79" s="2971">
        <v>6999</v>
      </c>
      <c r="R79" s="2971">
        <v>74.989999999999995</v>
      </c>
      <c r="S79" s="2971" t="s">
        <v>3471</v>
      </c>
      <c r="T79" s="2971" t="s">
        <v>3234</v>
      </c>
    </row>
    <row r="80" spans="1:20" s="2974" customFormat="1">
      <c r="A80" s="2973" t="s">
        <v>3609</v>
      </c>
      <c r="B80" s="2973" t="s">
        <v>3138</v>
      </c>
      <c r="C80" s="2973" t="s">
        <v>3151</v>
      </c>
      <c r="D80" s="2973" t="s">
        <v>1327</v>
      </c>
      <c r="E80" s="2973" t="s">
        <v>3609</v>
      </c>
      <c r="F80" s="2973" t="s">
        <v>3141</v>
      </c>
      <c r="G80" s="2973" t="s">
        <v>3610</v>
      </c>
      <c r="H80" s="2973" t="s">
        <v>3211</v>
      </c>
      <c r="I80" s="2973">
        <v>39617</v>
      </c>
      <c r="J80" s="2973">
        <v>99042.5</v>
      </c>
      <c r="K80" s="2973">
        <v>2.5</v>
      </c>
      <c r="L80" s="2973" t="s">
        <v>3602</v>
      </c>
      <c r="M80" s="2973" t="s">
        <v>3610</v>
      </c>
      <c r="N80" s="2973" t="s">
        <v>3606</v>
      </c>
      <c r="O80" s="2973">
        <v>106767</v>
      </c>
      <c r="P80" s="2973">
        <v>1796.65</v>
      </c>
      <c r="Q80" s="2973">
        <v>10779.92</v>
      </c>
      <c r="R80" s="2973">
        <v>120</v>
      </c>
      <c r="S80" s="2973" t="s">
        <v>3471</v>
      </c>
      <c r="T80" s="2973" t="s">
        <v>3192</v>
      </c>
    </row>
    <row r="81" spans="1:20" s="2974" customFormat="1">
      <c r="A81" s="2973" t="s">
        <v>3611</v>
      </c>
      <c r="B81" s="2973" t="s">
        <v>3138</v>
      </c>
      <c r="C81" s="2973" t="s">
        <v>3139</v>
      </c>
      <c r="D81" s="2973" t="s">
        <v>1327</v>
      </c>
      <c r="E81" s="2973" t="s">
        <v>3611</v>
      </c>
      <c r="F81" s="2973" t="s">
        <v>3141</v>
      </c>
      <c r="G81" s="2973" t="s">
        <v>3612</v>
      </c>
      <c r="H81" s="2973" t="s">
        <v>3613</v>
      </c>
      <c r="I81" s="2973">
        <v>193903</v>
      </c>
      <c r="J81" s="2973">
        <v>450772.8</v>
      </c>
      <c r="K81" s="2973">
        <v>2.3199999999999998</v>
      </c>
      <c r="L81" s="2973" t="s">
        <v>3614</v>
      </c>
      <c r="M81" s="2973" t="s">
        <v>3612</v>
      </c>
      <c r="N81" s="2973" t="s">
        <v>3615</v>
      </c>
      <c r="O81" s="2973">
        <v>179147</v>
      </c>
      <c r="P81" s="2973">
        <v>615.92999999999995</v>
      </c>
      <c r="Q81" s="2973">
        <v>3974.21</v>
      </c>
      <c r="R81" s="2973">
        <v>0.06</v>
      </c>
      <c r="S81" s="2973" t="s">
        <v>3471</v>
      </c>
      <c r="T81" s="2973" t="s">
        <v>3234</v>
      </c>
    </row>
    <row r="82" spans="1:20" s="2974" customFormat="1">
      <c r="A82" s="2973" t="s">
        <v>3616</v>
      </c>
      <c r="B82" s="2973" t="s">
        <v>3138</v>
      </c>
      <c r="C82" s="2973" t="s">
        <v>3139</v>
      </c>
      <c r="D82" s="2973" t="s">
        <v>1327</v>
      </c>
      <c r="E82" s="2973" t="s">
        <v>3616</v>
      </c>
      <c r="F82" s="2973" t="s">
        <v>3141</v>
      </c>
      <c r="G82" s="2973" t="s">
        <v>3617</v>
      </c>
      <c r="H82" s="2973" t="s">
        <v>3618</v>
      </c>
      <c r="I82" s="2973">
        <v>197709</v>
      </c>
      <c r="J82" s="2973">
        <v>306732</v>
      </c>
      <c r="K82" s="2973">
        <v>1.55</v>
      </c>
      <c r="L82" s="2973" t="s">
        <v>3614</v>
      </c>
      <c r="M82" s="2973" t="s">
        <v>3617</v>
      </c>
      <c r="N82" s="2973" t="s">
        <v>3615</v>
      </c>
      <c r="O82" s="2973">
        <v>107436</v>
      </c>
      <c r="P82" s="2973">
        <v>362.27</v>
      </c>
      <c r="Q82" s="2973">
        <v>3502.59</v>
      </c>
      <c r="R82" s="2973">
        <v>0.44</v>
      </c>
      <c r="S82" s="2973" t="s">
        <v>3471</v>
      </c>
      <c r="T82" s="2973" t="s">
        <v>3234</v>
      </c>
    </row>
    <row r="83" spans="1:20" s="2974" customFormat="1">
      <c r="A83" s="2973" t="s">
        <v>3619</v>
      </c>
      <c r="B83" s="2973" t="s">
        <v>3138</v>
      </c>
      <c r="C83" s="2973" t="s">
        <v>3139</v>
      </c>
      <c r="D83" s="2973" t="s">
        <v>1327</v>
      </c>
      <c r="E83" s="2973" t="s">
        <v>3619</v>
      </c>
      <c r="F83" s="2973" t="s">
        <v>3141</v>
      </c>
      <c r="G83" s="2973" t="s">
        <v>3620</v>
      </c>
      <c r="H83" s="2973" t="s">
        <v>3621</v>
      </c>
      <c r="I83" s="2973">
        <v>191973</v>
      </c>
      <c r="J83" s="2973">
        <v>325170.3</v>
      </c>
      <c r="K83" s="2973">
        <v>1.69</v>
      </c>
      <c r="L83" s="2973" t="s">
        <v>3614</v>
      </c>
      <c r="M83" s="2973" t="s">
        <v>3620</v>
      </c>
      <c r="N83" s="2973" t="s">
        <v>3615</v>
      </c>
      <c r="O83" s="2973">
        <v>98663</v>
      </c>
      <c r="P83" s="2973">
        <v>342.63</v>
      </c>
      <c r="Q83" s="2973">
        <v>3034.19</v>
      </c>
      <c r="R83" s="2973">
        <v>0.1</v>
      </c>
      <c r="S83" s="2973" t="s">
        <v>3471</v>
      </c>
      <c r="T83" s="2973" t="s">
        <v>3234</v>
      </c>
    </row>
    <row r="84" spans="1:20">
      <c r="A84" s="2970" t="s">
        <v>3622</v>
      </c>
      <c r="B84" s="2970" t="s">
        <v>3138</v>
      </c>
      <c r="C84" s="2970" t="s">
        <v>3139</v>
      </c>
      <c r="D84" s="2970" t="s">
        <v>1327</v>
      </c>
      <c r="E84" s="2970" t="s">
        <v>3622</v>
      </c>
      <c r="F84" s="2970" t="s">
        <v>3141</v>
      </c>
      <c r="G84" s="2970" t="s">
        <v>3623</v>
      </c>
      <c r="H84" s="2970" t="s">
        <v>3449</v>
      </c>
      <c r="I84" s="2970">
        <v>19715</v>
      </c>
      <c r="J84" s="2970">
        <v>39430</v>
      </c>
      <c r="K84" s="2970" t="s">
        <v>3624</v>
      </c>
      <c r="L84" s="2970" t="s">
        <v>3625</v>
      </c>
      <c r="M84" s="2970" t="s">
        <v>3623</v>
      </c>
      <c r="N84" s="2970" t="s">
        <v>3626</v>
      </c>
      <c r="O84" s="2970">
        <v>8000</v>
      </c>
      <c r="P84" s="2970">
        <v>270.52</v>
      </c>
      <c r="Q84" s="2970">
        <v>2028.91</v>
      </c>
      <c r="R84" s="2970">
        <v>50.38</v>
      </c>
      <c r="S84" s="2970" t="s">
        <v>3627</v>
      </c>
      <c r="T84" s="2970" t="s">
        <v>3308</v>
      </c>
    </row>
    <row r="85" spans="1:20">
      <c r="A85" s="2970" t="s">
        <v>3628</v>
      </c>
      <c r="B85" s="2970" t="s">
        <v>3138</v>
      </c>
      <c r="C85" s="2970" t="s">
        <v>3139</v>
      </c>
      <c r="D85" s="2970" t="s">
        <v>1327</v>
      </c>
      <c r="E85" s="2970" t="s">
        <v>3628</v>
      </c>
      <c r="F85" s="2970" t="s">
        <v>3141</v>
      </c>
      <c r="G85" s="2970" t="s">
        <v>3629</v>
      </c>
      <c r="H85" s="2970" t="s">
        <v>3630</v>
      </c>
      <c r="I85" s="2970">
        <v>10992</v>
      </c>
      <c r="J85" s="2970">
        <v>24182.400000000001</v>
      </c>
      <c r="K85" s="2970" t="s">
        <v>3631</v>
      </c>
      <c r="L85" s="2970" t="s">
        <v>3625</v>
      </c>
      <c r="M85" s="2970" t="s">
        <v>3629</v>
      </c>
      <c r="N85" s="2970" t="s">
        <v>3632</v>
      </c>
      <c r="O85" s="2970">
        <v>52850</v>
      </c>
      <c r="P85" s="2970">
        <v>3205.36</v>
      </c>
      <c r="Q85" s="2970">
        <v>21854.74</v>
      </c>
      <c r="R85" s="2970">
        <v>45.71</v>
      </c>
      <c r="S85" s="2970" t="s">
        <v>3633</v>
      </c>
      <c r="T85" s="2970" t="s">
        <v>3149</v>
      </c>
    </row>
  </sheetData>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topLeftCell="A25" workbookViewId="0">
      <selection activeCell="E62" sqref="E62"/>
    </sheetView>
  </sheetViews>
  <sheetFormatPr defaultColWidth="9" defaultRowHeight="13.5"/>
  <cols>
    <col min="1" max="3" width="14.125" style="2965" customWidth="1"/>
    <col min="4" max="16384" width="9" style="2965"/>
  </cols>
  <sheetData>
    <row r="1" spans="1:3">
      <c r="A1" s="2965" t="s">
        <v>3634</v>
      </c>
    </row>
    <row r="2" spans="1:3">
      <c r="A2" s="2965" t="s">
        <v>3635</v>
      </c>
      <c r="B2" s="2965" t="s">
        <v>3636</v>
      </c>
      <c r="C2" s="2965" t="s">
        <v>3637</v>
      </c>
    </row>
    <row r="3" spans="1:3">
      <c r="A3" s="2965">
        <v>2017.3</v>
      </c>
      <c r="B3" s="2965">
        <v>20054</v>
      </c>
      <c r="C3" s="2965">
        <v>1.85</v>
      </c>
    </row>
    <row r="4" spans="1:3">
      <c r="A4" s="2965">
        <v>2017.4</v>
      </c>
      <c r="B4" s="2965">
        <v>20248</v>
      </c>
      <c r="C4" s="2965">
        <v>0.97</v>
      </c>
    </row>
    <row r="5" spans="1:3">
      <c r="A5" s="2965">
        <v>2018.1</v>
      </c>
      <c r="B5" s="2965">
        <v>20462</v>
      </c>
      <c r="C5" s="2965">
        <v>1.06</v>
      </c>
    </row>
    <row r="6" spans="1:3">
      <c r="A6" s="2965">
        <v>2018.2</v>
      </c>
      <c r="B6" s="2965">
        <v>20868</v>
      </c>
      <c r="C6" s="2965">
        <v>1.98</v>
      </c>
    </row>
    <row r="7" spans="1:3">
      <c r="A7" s="2965">
        <v>2018.3</v>
      </c>
      <c r="B7" s="2965">
        <v>31804</v>
      </c>
      <c r="C7" s="2965">
        <v>1.01</v>
      </c>
    </row>
    <row r="8" spans="1:3">
      <c r="A8" s="2965">
        <v>2018.4</v>
      </c>
      <c r="B8" s="2965">
        <v>32115</v>
      </c>
      <c r="C8" s="2965">
        <v>0.98</v>
      </c>
    </row>
    <row r="9" spans="1:3">
      <c r="A9" s="2965">
        <v>2019.1</v>
      </c>
      <c r="B9" s="2965">
        <v>32234</v>
      </c>
      <c r="C9" s="2965">
        <v>0.37</v>
      </c>
    </row>
    <row r="10" spans="1:3">
      <c r="A10" s="2965">
        <v>2019.2</v>
      </c>
      <c r="B10" s="2965">
        <v>32313</v>
      </c>
      <c r="C10" s="2965">
        <v>0.25</v>
      </c>
    </row>
    <row r="11" spans="1:3">
      <c r="A11" s="2965">
        <v>2019.3</v>
      </c>
      <c r="B11" s="2965">
        <v>32159</v>
      </c>
      <c r="C11" s="2965">
        <v>-0.48</v>
      </c>
    </row>
    <row r="56" spans="26:26">
      <c r="Z56" s="2975"/>
    </row>
  </sheetData>
  <phoneticPr fontId="14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625" style="794" customWidth="1"/>
    <col min="2" max="2" width="25.625" style="947" customWidth="1"/>
    <col min="3" max="3" width="10.375" style="990" customWidth="1"/>
    <col min="4" max="4" width="9.875" style="947" customWidth="1"/>
    <col min="5" max="5" width="9.5" style="794" customWidth="1"/>
    <col min="6" max="6" width="10.125" style="947" customWidth="1"/>
    <col min="7" max="7" width="10.625" style="947" customWidth="1"/>
    <col min="8" max="8" width="10" style="947" customWidth="1"/>
    <col min="9" max="11" width="9.5" style="947" customWidth="1"/>
    <col min="12" max="12" width="9" style="947" hidden="1" customWidth="1"/>
    <col min="13" max="13" width="10.5" style="947" hidden="1" customWidth="1"/>
    <col min="14" max="16" width="9" style="947" hidden="1" customWidth="1"/>
    <col min="17" max="254" width="9" style="947" customWidth="1"/>
    <col min="255" max="16384" width="6.625" style="947"/>
  </cols>
  <sheetData>
    <row r="1" spans="1:33" ht="20.25">
      <c r="A1" s="237" t="s">
        <v>2451</v>
      </c>
      <c r="B1" s="1574"/>
      <c r="C1" s="1575"/>
      <c r="D1" s="1573"/>
      <c r="E1" s="317"/>
      <c r="F1" s="317"/>
      <c r="G1" s="1574"/>
      <c r="H1" s="317"/>
      <c r="I1" s="317"/>
      <c r="J1" s="317"/>
      <c r="K1" s="317">
        <f>MATCH(C1,'数据-取费表'!A6:A16,0)+5</f>
        <v>11</v>
      </c>
    </row>
    <row r="2" spans="1:33" ht="18" customHeight="1">
      <c r="A2" s="242" t="s">
        <v>2319</v>
      </c>
      <c r="B2" s="245">
        <f ca="1">C32</f>
        <v>365073</v>
      </c>
      <c r="C2" s="317" t="s">
        <v>2452</v>
      </c>
      <c r="D2" s="317"/>
      <c r="E2" s="317"/>
      <c r="F2" s="317"/>
      <c r="G2" s="317"/>
      <c r="H2" s="317"/>
      <c r="I2" s="317"/>
      <c r="J2" s="317"/>
      <c r="K2" s="317"/>
    </row>
    <row r="3" spans="1:33" ht="18" customHeight="1" thickBot="1">
      <c r="A3" s="244" t="s">
        <v>2321</v>
      </c>
      <c r="B3" s="245">
        <f ca="1">ROUND(B2*10000/IF(C1="",'数据-汇总表'!E3,INDIRECT("'数据-取费表'!K"&amp;$K$1)),0)</f>
        <v>4055</v>
      </c>
      <c r="C3" s="317" t="s">
        <v>2453</v>
      </c>
      <c r="D3" s="317"/>
      <c r="E3" s="317"/>
      <c r="F3" s="317"/>
      <c r="G3" s="317"/>
      <c r="H3" s="317"/>
      <c r="I3" s="317"/>
      <c r="J3" s="317"/>
      <c r="K3" s="317"/>
    </row>
    <row r="4" spans="1:33" s="951" customFormat="1" ht="16.5" customHeight="1">
      <c r="A4" s="948" t="s">
        <v>2454</v>
      </c>
      <c r="B4" s="949"/>
      <c r="C4" s="991">
        <f>SUM(C8:K8)</f>
        <v>935380</v>
      </c>
      <c r="D4" s="949"/>
      <c r="E4" s="949"/>
      <c r="F4" s="949"/>
      <c r="G4" s="949"/>
      <c r="H4" s="949"/>
      <c r="I4" s="949"/>
      <c r="J4" s="949"/>
      <c r="K4" s="950"/>
      <c r="M4" s="951">
        <f ca="1">B2/C4</f>
        <v>0.39029378434433065</v>
      </c>
    </row>
    <row r="5" spans="1:33" s="955" customFormat="1" ht="15">
      <c r="A5" s="952" t="s">
        <v>2455</v>
      </c>
      <c r="B5" s="953" t="s">
        <v>2456</v>
      </c>
      <c r="C5" s="2546" t="s">
        <v>3720</v>
      </c>
      <c r="D5" s="2546" t="s">
        <v>3664</v>
      </c>
      <c r="E5" s="2546" t="s">
        <v>3074</v>
      </c>
      <c r="F5" s="2546" t="s">
        <v>3076</v>
      </c>
      <c r="G5" s="2995"/>
      <c r="H5" s="2546"/>
      <c r="I5" s="2546"/>
      <c r="J5" s="2546"/>
      <c r="K5" s="2546"/>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7" t="s">
        <v>2457</v>
      </c>
      <c r="C6" s="957">
        <f>'比较法-住宅（联排）'!B3</f>
        <v>22051</v>
      </c>
      <c r="D6" s="957">
        <f>ROUND(E6*1.15,0)</f>
        <v>18217</v>
      </c>
      <c r="E6" s="3036">
        <f>ROUND(F6*1.1,0)</f>
        <v>15841</v>
      </c>
      <c r="F6" s="957">
        <f>'比较法-住宅（高层）'!B3</f>
        <v>14401</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2458</v>
      </c>
      <c r="B7" s="137" t="s">
        <v>2459</v>
      </c>
      <c r="C7" s="318">
        <f>SUMIF('数据-汇总表'!$C19:$C33,假设开发法!C5,'数据-汇总表'!$E19:$E33)</f>
        <v>20490</v>
      </c>
      <c r="D7" s="318">
        <f>SUMIF('数据-汇总表'!$C19:$C33,假设开发法!D5,'数据-汇总表'!$E19:$E33)</f>
        <v>89100</v>
      </c>
      <c r="E7" s="318">
        <f>SUMIF('数据-汇总表'!$C19:$C33,假设开发法!E5,'数据-汇总表'!$E19:$E33)</f>
        <v>31006.400000000001</v>
      </c>
      <c r="F7" s="318">
        <f>SUMIF('数据-汇总表'!$C19:$C33,假设开发法!F5,'数据-汇总表'!$E19:$E33)</f>
        <v>471334</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7" t="s">
        <v>2460</v>
      </c>
      <c r="B8" s="174" t="s">
        <v>2461</v>
      </c>
      <c r="C8" s="992">
        <f t="shared" ref="C8:E8" si="0">ROUND(C6*C7/10000,0)</f>
        <v>45182</v>
      </c>
      <c r="D8" s="992">
        <f t="shared" si="0"/>
        <v>162313</v>
      </c>
      <c r="E8" s="992">
        <f t="shared" si="0"/>
        <v>49117</v>
      </c>
      <c r="F8" s="992">
        <f>'比较法-住宅（高层）'!B2</f>
        <v>678768</v>
      </c>
      <c r="G8" s="992"/>
      <c r="H8" s="992"/>
      <c r="I8" s="992"/>
      <c r="J8" s="992"/>
      <c r="K8" s="993"/>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2462</v>
      </c>
      <c r="B9" s="949"/>
      <c r="C9" s="949"/>
      <c r="D9" s="949"/>
      <c r="E9" s="949"/>
      <c r="F9" s="949"/>
      <c r="G9" s="949"/>
      <c r="H9" s="949"/>
      <c r="I9" s="949"/>
      <c r="J9" s="949"/>
      <c r="K9" s="950"/>
    </row>
    <row r="10" spans="1:33" s="965" customFormat="1" ht="13.5" customHeight="1">
      <c r="A10" s="952" t="s">
        <v>2463</v>
      </c>
      <c r="B10" s="8" t="s">
        <v>2464</v>
      </c>
      <c r="C10" s="961" t="s">
        <v>2465</v>
      </c>
      <c r="D10" s="962" t="s">
        <v>2466</v>
      </c>
      <c r="E10" s="962" t="s">
        <v>2467</v>
      </c>
      <c r="F10" s="962" t="s">
        <v>2468</v>
      </c>
      <c r="G10" s="8"/>
      <c r="H10" s="963"/>
      <c r="I10" s="963"/>
      <c r="J10" s="963"/>
      <c r="K10" s="964"/>
    </row>
    <row r="11" spans="1:33" s="970" customFormat="1" ht="13.5" customHeight="1">
      <c r="A11" s="966" t="s">
        <v>1330</v>
      </c>
      <c r="B11" s="967" t="s">
        <v>2469</v>
      </c>
      <c r="C11" s="320">
        <f ca="1">IF(C1="",'数据-取费表'!P16,INDIRECT("'数据-取费表'!p"&amp;$K$1)+INDIRECT("'数据-取费表'!ar"&amp;$K$1))</f>
        <v>236812</v>
      </c>
      <c r="D11" s="968"/>
      <c r="E11" s="372"/>
      <c r="F11" s="969">
        <f ca="1">1-IF('数据-取费表'!B24=0,1,IF(C1="",'数据-取费表'!N16,INDIRECT("'数据-取费表'!n"&amp;$K$1)))</f>
        <v>1</v>
      </c>
      <c r="G11" s="8"/>
      <c r="H11" s="963"/>
      <c r="I11" s="963"/>
      <c r="J11" s="963"/>
      <c r="K11" s="964"/>
    </row>
    <row r="12" spans="1:33" s="970" customFormat="1" ht="13.5" customHeight="1">
      <c r="A12" s="966" t="s">
        <v>1331</v>
      </c>
      <c r="B12" s="967" t="s">
        <v>2470</v>
      </c>
      <c r="C12" s="24">
        <f ca="1">ROUND(C11*F12,0)</f>
        <v>7104</v>
      </c>
      <c r="D12" s="968"/>
      <c r="E12" s="372"/>
      <c r="F12" s="971">
        <f>'数据-取费表'!B33</f>
        <v>0.03</v>
      </c>
      <c r="G12" s="8" t="s">
        <v>2471</v>
      </c>
      <c r="H12" s="963"/>
      <c r="I12" s="963"/>
      <c r="J12" s="963"/>
      <c r="K12" s="964"/>
    </row>
    <row r="13" spans="1:33" s="970" customFormat="1" ht="13.5" customHeight="1">
      <c r="A13" s="966" t="s">
        <v>1332</v>
      </c>
      <c r="B13" s="967" t="s">
        <v>2472</v>
      </c>
      <c r="C13" s="24">
        <f ca="1">ROUND(IF(C1="",SUMIF('数据-取费表'!C:C,"住宅",'数据-取费表'!P:P)*F13,IF(INDIRECT("'数据-取费表'!c"&amp;$K$1)="住宅",INDIRECT("'数据-取费表'!P"&amp;$K$1)*F13,0)),0)</f>
        <v>9179</v>
      </c>
      <c r="D13" s="1027"/>
      <c r="E13" s="372"/>
      <c r="F13" s="971">
        <f>'数据-取费表'!B34</f>
        <v>0.05</v>
      </c>
      <c r="G13" s="8" t="s">
        <v>2473</v>
      </c>
      <c r="H13" s="963"/>
      <c r="I13" s="963"/>
      <c r="J13" s="963"/>
      <c r="K13" s="964"/>
    </row>
    <row r="14" spans="1:33" s="972" customFormat="1" ht="13.5" customHeight="1">
      <c r="A14" s="966" t="s">
        <v>1333</v>
      </c>
      <c r="B14" s="967" t="s">
        <v>2474</v>
      </c>
      <c r="C14" s="24">
        <f ca="1">ROUND(D14*E14*F11/10000,0)</f>
        <v>18008</v>
      </c>
      <c r="D14" s="1027">
        <f ca="1">IF(C1="",'数据-汇总表'!E3,INDIRECT("'数据-取费表'!K"&amp;$K$1)+INDIRECT("'数据-取费表'!S"&amp;$K$1))</f>
        <v>900384.25897299999</v>
      </c>
      <c r="E14" s="24">
        <f>'数据-取费表'!B35</f>
        <v>200</v>
      </c>
      <c r="F14" s="971"/>
      <c r="G14" s="8" t="s">
        <v>2475</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2476</v>
      </c>
      <c r="C15" s="978">
        <f ca="1">ROUND(C11*F15,0)</f>
        <v>3552</v>
      </c>
      <c r="D15" s="973"/>
      <c r="E15" s="978"/>
      <c r="F15" s="979">
        <f>'数据-取费表'!B36</f>
        <v>1.4999999999999999E-2</v>
      </c>
      <c r="G15" s="137" t="s">
        <v>2477</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2478</v>
      </c>
      <c r="C16" s="978">
        <f ca="1">SUM(C11:C15)</f>
        <v>274655</v>
      </c>
      <c r="D16" s="973"/>
      <c r="E16" s="978"/>
      <c r="F16" s="979"/>
      <c r="G16" s="137"/>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2479</v>
      </c>
      <c r="C17" s="24">
        <f ca="1">ROUND(D17*E17/10000,0)</f>
        <v>4502</v>
      </c>
      <c r="D17" s="1027">
        <f ca="1">D14</f>
        <v>900384.25897299999</v>
      </c>
      <c r="E17" s="24">
        <f>'数据-取费表'!B32</f>
        <v>50</v>
      </c>
      <c r="F17" s="973"/>
      <c r="G17" s="137" t="s">
        <v>2480</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2481</v>
      </c>
      <c r="C18" s="24">
        <f ca="1">C19+C20-IF(C1="",'数据-取费表'!B29,IF(G18="已全部缴纳",C19+C20,H18))</f>
        <v>9545</v>
      </c>
      <c r="D18" s="1027"/>
      <c r="E18" s="24"/>
      <c r="F18" s="971"/>
      <c r="G18" s="2548"/>
      <c r="H18" s="1570"/>
      <c r="I18" s="2549" t="s">
        <v>2482</v>
      </c>
      <c r="J18" s="974"/>
      <c r="K18" s="975"/>
    </row>
    <row r="19" spans="1:33" s="970" customFormat="1" ht="13.5" customHeight="1">
      <c r="A19" s="966" t="s">
        <v>805</v>
      </c>
      <c r="B19" s="967" t="s">
        <v>2483</v>
      </c>
      <c r="C19" s="24">
        <f ca="1">ROUND(D19*E19/10000,0)</f>
        <v>5507</v>
      </c>
      <c r="D19" s="1027">
        <f ca="1">IF(C1="",'数据-汇总表'!E5,IF(INDIRECT("'数据-取费表'!c"&amp;$K$1)="住宅",INDIRECT("'数据-取费表'!k"&amp;$K$1),0))</f>
        <v>611930.4</v>
      </c>
      <c r="E19" s="24">
        <f>'数据-取费表'!B27</f>
        <v>90</v>
      </c>
      <c r="F19" s="971"/>
      <c r="G19" s="15"/>
      <c r="H19" s="1572"/>
      <c r="I19" s="976"/>
      <c r="J19" s="976"/>
      <c r="K19" s="977"/>
    </row>
    <row r="20" spans="1:33" s="970" customFormat="1" ht="13.5" customHeight="1">
      <c r="A20" s="966" t="s">
        <v>806</v>
      </c>
      <c r="B20" s="967" t="s">
        <v>2484</v>
      </c>
      <c r="C20" s="24">
        <f ca="1">ROUND(D20*E20/10000,0)</f>
        <v>4038</v>
      </c>
      <c r="D20" s="1027">
        <f ca="1">IF(C1="",'数据-汇总表'!E6,IF(INDIRECT("'数据-取费表'!c"&amp;$K$1)="住宅",INDIRECT("'数据-取费表'!s"&amp;$K$1),INDIRECT("'数据-取费表'!k"&amp;$K$1)+INDIRECT("'数据-取费表'!s"&amp;$K$1)))</f>
        <v>288453.85897299997</v>
      </c>
      <c r="E20" s="24">
        <f>'数据-取费表'!B28</f>
        <v>140</v>
      </c>
      <c r="F20" s="971"/>
      <c r="G20" s="15"/>
      <c r="H20" s="976"/>
      <c r="I20" s="976"/>
      <c r="J20" s="976"/>
      <c r="K20" s="977"/>
    </row>
    <row r="21" spans="1:33" s="970" customFormat="1" ht="13.5" customHeight="1">
      <c r="A21" s="956" t="s">
        <v>802</v>
      </c>
      <c r="B21" s="980" t="s">
        <v>2485</v>
      </c>
      <c r="C21" s="981">
        <f ca="1">C16+C17+C18</f>
        <v>288702</v>
      </c>
      <c r="D21" s="982"/>
      <c r="E21" s="322"/>
      <c r="F21" s="322"/>
      <c r="G21" s="137" t="s">
        <v>2486</v>
      </c>
      <c r="H21" s="974"/>
      <c r="I21" s="974"/>
      <c r="J21" s="974"/>
      <c r="K21" s="975"/>
    </row>
    <row r="22" spans="1:33" s="970" customFormat="1" ht="13.5" customHeight="1">
      <c r="A22" s="956" t="s">
        <v>2458</v>
      </c>
      <c r="B22" s="980" t="s">
        <v>2487</v>
      </c>
      <c r="C22" s="981">
        <f ca="1">ROUND(C21*F22,0)</f>
        <v>5774</v>
      </c>
      <c r="D22" s="322"/>
      <c r="E22" s="322"/>
      <c r="F22" s="983">
        <f>'数据-取费表'!B37</f>
        <v>0.02</v>
      </c>
      <c r="G22" s="8" t="s">
        <v>2488</v>
      </c>
      <c r="H22" s="963"/>
      <c r="I22" s="963"/>
      <c r="J22" s="963"/>
      <c r="K22" s="964"/>
    </row>
    <row r="23" spans="1:33" s="970" customFormat="1" ht="13.5" customHeight="1">
      <c r="A23" s="956" t="s">
        <v>2460</v>
      </c>
      <c r="B23" s="980" t="s">
        <v>2489</v>
      </c>
      <c r="C23" s="981">
        <f ca="1">ROUND(C4*F23*F11,0)</f>
        <v>18708</v>
      </c>
      <c r="D23" s="322"/>
      <c r="E23" s="322"/>
      <c r="F23" s="983">
        <f>'数据-取费表'!B38</f>
        <v>0.02</v>
      </c>
      <c r="G23" s="8" t="s">
        <v>2490</v>
      </c>
      <c r="H23" s="963"/>
      <c r="I23" s="963"/>
      <c r="J23" s="963"/>
      <c r="K23" s="964"/>
    </row>
    <row r="24" spans="1:33" s="970" customFormat="1" ht="13.5" customHeight="1">
      <c r="A24" s="956" t="s">
        <v>2491</v>
      </c>
      <c r="B24" s="980" t="s">
        <v>2492</v>
      </c>
      <c r="C24" s="321">
        <f>ROUND(F24/(1+'数据-取费表'!C42),4)</f>
        <v>2.9000000000000001E-2</v>
      </c>
      <c r="D24" s="322" t="s">
        <v>15</v>
      </c>
      <c r="E24" s="322"/>
      <c r="F24" s="983">
        <f>IF(项目基本情况!B8="出让",0,'数据-取费表'!B48+'数据-取费表'!B49)</f>
        <v>3.0499999999999999E-2</v>
      </c>
      <c r="G24" s="8" t="s">
        <v>2493</v>
      </c>
      <c r="H24" s="985"/>
      <c r="I24" s="985"/>
      <c r="J24" s="985"/>
      <c r="K24" s="986"/>
    </row>
    <row r="25" spans="1:33" s="970" customFormat="1" ht="13.5" customHeight="1">
      <c r="A25" s="956" t="s">
        <v>2494</v>
      </c>
      <c r="B25" s="982" t="s">
        <v>2495</v>
      </c>
      <c r="C25" s="1350">
        <f ca="1">C27</f>
        <v>30459</v>
      </c>
      <c r="D25" s="321">
        <f ca="1">C26</f>
        <v>0.2099</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2496</v>
      </c>
      <c r="C26" s="1351">
        <f ca="1">ROUND(IF('数据-取费表'!B22&lt;=1,(1+C24)*F25*'数据-取费表'!B24,(1+C24)*(POWER((1+F25),'数据-取费表'!B24)-1)),4)</f>
        <v>0.2099</v>
      </c>
      <c r="D26" s="325"/>
      <c r="E26" s="326"/>
      <c r="F26" s="327"/>
      <c r="G26" s="2550"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2497</v>
      </c>
      <c r="C27" s="1352">
        <f ca="1">ROUND(IF('数据-取费表'!B22&lt;=1,(C21+C22+C23)*F25*'数据-取费表'!B24/2,(C21+C22+C23)*(POWER((1+F25),'数据-取费表'!B24/2)-1)),0)</f>
        <v>30459</v>
      </c>
      <c r="D27" s="325"/>
      <c r="E27" s="326"/>
      <c r="F27" s="327"/>
      <c r="G27" s="2550" t="str">
        <f>IF('数据-取费表'!B22&lt;=1,"（1）-（3）项×年利率×建设期÷2","（1）-（3）项×((1+年利率)^(建设期÷2)-1)")</f>
        <v>（1）-（3）项×((1+年利率)^(建设期÷2)-1)</v>
      </c>
      <c r="H27" s="974"/>
      <c r="I27" s="974"/>
      <c r="J27" s="974"/>
      <c r="K27" s="975"/>
    </row>
    <row r="28" spans="1:33" s="330" customFormat="1" ht="13.5" customHeight="1">
      <c r="A28" s="956" t="s">
        <v>2498</v>
      </c>
      <c r="B28" s="2551" t="s">
        <v>2499</v>
      </c>
      <c r="C28" s="328">
        <f ca="1">C30</f>
        <v>40714</v>
      </c>
      <c r="D28" s="321">
        <f ca="1">C29</f>
        <v>0.1338</v>
      </c>
      <c r="E28" s="323" t="s">
        <v>15</v>
      </c>
      <c r="F28" s="329">
        <f ca="1">IF(C1="",'数据-取费表'!Q16,INDIRECT("'数据-取费表'!q"&amp;$K$1))</f>
        <v>0.13</v>
      </c>
      <c r="G28" s="984"/>
      <c r="H28" s="985"/>
      <c r="I28" s="985"/>
      <c r="J28" s="985"/>
      <c r="K28" s="986"/>
    </row>
    <row r="29" spans="1:33" s="332" customFormat="1" ht="13.5" customHeight="1">
      <c r="A29" s="966" t="s">
        <v>803</v>
      </c>
      <c r="B29" s="989" t="s">
        <v>2500</v>
      </c>
      <c r="C29" s="325">
        <f ca="1">ROUND((1+C24)*F28*'数据-取费表'!B24/'数据-取费表'!B20,4)</f>
        <v>0.1338</v>
      </c>
      <c r="D29" s="325"/>
      <c r="E29" s="326"/>
      <c r="F29" s="331"/>
      <c r="G29" s="137" t="s">
        <v>2501</v>
      </c>
      <c r="H29" s="974"/>
      <c r="I29" s="974"/>
      <c r="J29" s="974"/>
      <c r="K29" s="975"/>
    </row>
    <row r="30" spans="1:33" s="332" customFormat="1" ht="13.5" customHeight="1">
      <c r="A30" s="966" t="s">
        <v>804</v>
      </c>
      <c r="B30" s="989" t="s">
        <v>2502</v>
      </c>
      <c r="C30" s="333">
        <f ca="1">ROUND((C21+C22+C23)*F28,0)</f>
        <v>40714</v>
      </c>
      <c r="D30" s="325"/>
      <c r="E30" s="326"/>
      <c r="F30" s="331"/>
      <c r="G30" s="137"/>
      <c r="H30" s="974"/>
      <c r="I30" s="974"/>
      <c r="J30" s="974"/>
      <c r="K30" s="975"/>
    </row>
    <row r="31" spans="1:33" s="970" customFormat="1" ht="13.5" customHeight="1" thickBot="1">
      <c r="A31" s="2552" t="s">
        <v>2503</v>
      </c>
      <c r="B31" s="999" t="s">
        <v>2504</v>
      </c>
      <c r="C31" s="1000">
        <f>ROUND(C4*F31/(1+'数据-取费表'!C42),0)</f>
        <v>49887</v>
      </c>
      <c r="D31" s="1001"/>
      <c r="E31" s="1002"/>
      <c r="F31" s="1003">
        <f>'数据-取费表'!B41</f>
        <v>5.6000000000000001E-2</v>
      </c>
      <c r="G31" s="1004" t="s">
        <v>2505</v>
      </c>
      <c r="H31" s="1005"/>
      <c r="I31" s="1005"/>
      <c r="J31" s="1005"/>
      <c r="K31" s="1006"/>
    </row>
    <row r="32" spans="1:33" s="965" customFormat="1" ht="13.5" customHeight="1" thickBot="1">
      <c r="A32" s="994" t="s">
        <v>2506</v>
      </c>
      <c r="B32" s="995"/>
      <c r="C32" s="996">
        <f ca="1">ROUND((C4-C21-C22-C23-C25-C28-C31)/(1+C24+D25+D28),0)</f>
        <v>365073</v>
      </c>
      <c r="D32" s="995"/>
      <c r="E32" s="995"/>
      <c r="F32" s="995"/>
      <c r="G32" s="997" t="s">
        <v>2507</v>
      </c>
      <c r="H32" s="995"/>
      <c r="I32" s="995"/>
      <c r="J32" s="995"/>
      <c r="K32" s="99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54"/>
  <sheetViews>
    <sheetView zoomScale="90" zoomScaleNormal="90" workbookViewId="0">
      <selection activeCell="AH17" sqref="AH17"/>
    </sheetView>
  </sheetViews>
  <sheetFormatPr defaultColWidth="9" defaultRowHeight="14.25"/>
  <cols>
    <col min="1" max="1" width="10.5" style="400" customWidth="1"/>
    <col min="2" max="2" width="15.625" style="400" customWidth="1"/>
    <col min="3" max="3" width="15.1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hidden="1" customWidth="1"/>
    <col min="13" max="15" width="12.125" style="400" hidden="1" customWidth="1"/>
    <col min="16" max="16" width="4.625" style="2614" hidden="1" customWidth="1"/>
    <col min="17" max="17" width="19.5" style="400" hidden="1" customWidth="1"/>
    <col min="18" max="22" width="6.125" style="400" hidden="1" customWidth="1"/>
    <col min="23" max="23" width="5.625" style="400" hidden="1" customWidth="1"/>
    <col min="24" max="24" width="4.125" style="400" hidden="1" customWidth="1"/>
    <col min="25" max="25" width="3.5" style="400" hidden="1" customWidth="1"/>
    <col min="26" max="26" width="19.625" style="400" hidden="1" customWidth="1"/>
    <col min="27" max="28" width="9.375" style="400" hidden="1" customWidth="1"/>
    <col min="29" max="31" width="0" style="400" hidden="1" customWidth="1"/>
    <col min="32" max="16384" width="9" style="400"/>
  </cols>
  <sheetData>
    <row r="1" spans="1:29" s="1622" customFormat="1" ht="28.5" customHeight="1" thickBot="1">
      <c r="A1" s="1611" t="s">
        <v>2517</v>
      </c>
      <c r="B1" s="2574" t="s">
        <v>2518</v>
      </c>
      <c r="C1" s="1627" t="s">
        <v>2519</v>
      </c>
      <c r="D1" s="1614" t="s">
        <v>3720</v>
      </c>
      <c r="E1" s="2575"/>
      <c r="F1" s="2576" t="s">
        <v>2520</v>
      </c>
      <c r="G1" s="1624" t="s">
        <v>2521</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0" customFormat="1" ht="28.5" customHeight="1" thickTop="1">
      <c r="A2" s="1610" t="s">
        <v>1389</v>
      </c>
      <c r="B2" s="1412">
        <f>IF(C2="——",ROUND(C49*D3/10000,0),ROUND(C49*D3/10000,0)-D2)</f>
        <v>45182</v>
      </c>
      <c r="C2" s="2578" t="s">
        <v>70</v>
      </c>
      <c r="D2" s="1359" t="e">
        <f ca="1">SUMIF(INDIRECT("'"&amp;F2&amp;"'"&amp;"!A:A"),"承租人权益价值",INDIRECT("'"&amp;F2&amp;"'"&amp;"!c:c"))</f>
        <v>#REF!</v>
      </c>
      <c r="E2" s="2579" t="s">
        <v>2320</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1390</v>
      </c>
      <c r="B3" s="396">
        <f>IF(C2="——",C49,ROUND(B2*10000/D3,0))</f>
        <v>22051</v>
      </c>
      <c r="C3" s="397" t="s">
        <v>2523</v>
      </c>
      <c r="D3" s="396">
        <f>IF(D1="",'数据-汇总表'!E3,SUMIF('数据-汇总表'!$C19:$C33,D1,'数据-汇总表'!$E19:$E33))</f>
        <v>20490</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8" t="s">
        <v>2524</v>
      </c>
      <c r="B4" s="399"/>
      <c r="C4" s="3264" t="s">
        <v>2525</v>
      </c>
      <c r="D4" s="3277"/>
      <c r="E4" s="3264" t="s">
        <v>2526</v>
      </c>
      <c r="F4" s="3277"/>
      <c r="G4" s="3278" t="s">
        <v>2527</v>
      </c>
      <c r="H4" s="3277"/>
      <c r="I4" s="3264" t="s">
        <v>2528</v>
      </c>
      <c r="J4" s="3277"/>
      <c r="K4" s="2588" t="s">
        <v>2529</v>
      </c>
      <c r="L4" s="1124"/>
      <c r="M4" s="1125"/>
      <c r="N4" s="1125"/>
      <c r="O4" s="1125"/>
      <c r="P4" s="3280" t="s">
        <v>2530</v>
      </c>
      <c r="Q4" s="3281"/>
      <c r="R4" s="3286" t="s">
        <v>2526</v>
      </c>
      <c r="S4" s="3287"/>
      <c r="T4" s="3286" t="s">
        <v>2527</v>
      </c>
      <c r="U4" s="3287"/>
      <c r="V4" s="3273" t="s">
        <v>2528</v>
      </c>
      <c r="W4" s="3273"/>
      <c r="X4" s="2954"/>
      <c r="Y4" s="3286" t="s">
        <v>2530</v>
      </c>
      <c r="Z4" s="3287"/>
      <c r="AA4" s="3274" t="s">
        <v>2526</v>
      </c>
      <c r="AB4" s="3274" t="s">
        <v>2527</v>
      </c>
      <c r="AC4" s="3274" t="s">
        <v>2528</v>
      </c>
    </row>
    <row r="5" spans="1:29" ht="15">
      <c r="A5" s="401"/>
      <c r="B5" s="402"/>
      <c r="C5" s="3294" t="s">
        <v>2531</v>
      </c>
      <c r="D5" s="3295"/>
      <c r="E5" s="3294" t="s">
        <v>3089</v>
      </c>
      <c r="F5" s="3295"/>
      <c r="G5" s="3301" t="s">
        <v>3091</v>
      </c>
      <c r="H5" s="3295"/>
      <c r="I5" s="3303" t="s">
        <v>3667</v>
      </c>
      <c r="J5" s="3295"/>
      <c r="K5" s="2589"/>
      <c r="L5" s="1124"/>
      <c r="M5" s="1125"/>
      <c r="N5" s="1125"/>
      <c r="O5" s="1125"/>
      <c r="P5" s="3282"/>
      <c r="Q5" s="3283"/>
      <c r="R5" s="3288"/>
      <c r="S5" s="3289"/>
      <c r="T5" s="3288"/>
      <c r="U5" s="3289"/>
      <c r="V5" s="3273"/>
      <c r="W5" s="3273"/>
      <c r="X5" s="2954"/>
      <c r="Y5" s="3288"/>
      <c r="Z5" s="3289"/>
      <c r="AA5" s="3275"/>
      <c r="AB5" s="3275"/>
      <c r="AC5" s="3275"/>
    </row>
    <row r="6" spans="1:29" ht="29.25" customHeight="1" thickBot="1">
      <c r="A6" s="403"/>
      <c r="B6" s="404"/>
      <c r="C6" s="3292" t="s">
        <v>2535</v>
      </c>
      <c r="D6" s="3293"/>
      <c r="E6" s="3292" t="s">
        <v>3090</v>
      </c>
      <c r="F6" s="3293"/>
      <c r="G6" s="3299" t="s">
        <v>3092</v>
      </c>
      <c r="H6" s="3293"/>
      <c r="I6" s="3304" t="s">
        <v>3668</v>
      </c>
      <c r="J6" s="3293"/>
      <c r="K6" s="2589" t="s">
        <v>2536</v>
      </c>
      <c r="L6" s="1124"/>
      <c r="M6" s="1125"/>
      <c r="N6" s="1125"/>
      <c r="O6" s="1125"/>
      <c r="P6" s="3284"/>
      <c r="Q6" s="3285"/>
      <c r="R6" s="3288"/>
      <c r="S6" s="3289"/>
      <c r="T6" s="3290"/>
      <c r="U6" s="3291"/>
      <c r="V6" s="3273"/>
      <c r="W6" s="3273"/>
      <c r="X6" s="2954"/>
      <c r="Y6" s="3290"/>
      <c r="Z6" s="3291"/>
      <c r="AA6" s="3276"/>
      <c r="AB6" s="3276"/>
      <c r="AC6" s="3276"/>
    </row>
    <row r="7" spans="1:29" s="116" customFormat="1" ht="15.75" thickBot="1">
      <c r="A7" s="405" t="s">
        <v>2537</v>
      </c>
      <c r="B7" s="406"/>
      <c r="C7" s="407">
        <f>'数据-取费表'!B2</f>
        <v>43782</v>
      </c>
      <c r="D7" s="408">
        <v>100</v>
      </c>
      <c r="E7" s="2686">
        <v>43770</v>
      </c>
      <c r="F7" s="408">
        <f>SUMIF(58:58,YEAR(E7)&amp;"-"&amp;MONTH(E7),59:59)</f>
        <v>100</v>
      </c>
      <c r="G7" s="409">
        <f>E7</f>
        <v>43770</v>
      </c>
      <c r="H7" s="408">
        <f>SUMIF(58:58,YEAR(G7)&amp;"-"&amp;MONTH(G7),59:59)</f>
        <v>100</v>
      </c>
      <c r="I7" s="409">
        <f>E7</f>
        <v>43770</v>
      </c>
      <c r="J7" s="408">
        <f>SUMIF(58:58,YEAR(I7)&amp;"-"&amp;MONTH(I7),59:59)</f>
        <v>100</v>
      </c>
      <c r="K7" s="2590"/>
      <c r="L7" s="1126"/>
      <c r="M7" s="1127"/>
      <c r="N7" s="1127"/>
      <c r="O7" s="1127"/>
      <c r="P7" s="3296" t="s">
        <v>2538</v>
      </c>
      <c r="Q7" s="3298"/>
      <c r="R7" s="766" t="s">
        <v>17</v>
      </c>
      <c r="S7" s="767">
        <f t="shared" ref="S7:S15" si="0">F7</f>
        <v>100</v>
      </c>
      <c r="T7" s="766" t="s">
        <v>17</v>
      </c>
      <c r="U7" s="767">
        <f t="shared" ref="U7:U15" si="1">H7</f>
        <v>100</v>
      </c>
      <c r="V7" s="766" t="s">
        <v>17</v>
      </c>
      <c r="W7" s="767">
        <f t="shared" ref="W7:W15" si="2">J7</f>
        <v>100</v>
      </c>
      <c r="X7" s="768"/>
      <c r="Y7" s="3296" t="s">
        <v>2538</v>
      </c>
      <c r="Z7" s="3297"/>
      <c r="AA7" s="769">
        <f>D7/F7</f>
        <v>1</v>
      </c>
      <c r="AB7" s="769">
        <f>D7/H7</f>
        <v>1</v>
      </c>
      <c r="AC7" s="769">
        <f>D7/J7</f>
        <v>1</v>
      </c>
    </row>
    <row r="8" spans="1:29" s="116" customFormat="1" ht="15.75" thickBot="1">
      <c r="A8" s="405" t="s">
        <v>2539</v>
      </c>
      <c r="B8" s="406"/>
      <c r="C8" s="411" t="s">
        <v>2540</v>
      </c>
      <c r="D8" s="408">
        <v>100</v>
      </c>
      <c r="E8" s="411" t="s">
        <v>3095</v>
      </c>
      <c r="F8" s="408">
        <f>SUMIF(61:61,E8,62:62)-SUMIF(61:61,C8,62:62)+100</f>
        <v>100</v>
      </c>
      <c r="G8" s="2591" t="s">
        <v>3095</v>
      </c>
      <c r="H8" s="408">
        <f>SUMIF(61:61,G8,62:62)-SUMIF(61:61,C8,62:62)+100</f>
        <v>100</v>
      </c>
      <c r="I8" s="2591" t="s">
        <v>3095</v>
      </c>
      <c r="J8" s="408">
        <f>SUMIF(61:61,I8,62:62)-SUMIF(61:61,C8,62:62)+100</f>
        <v>100</v>
      </c>
      <c r="K8" s="2590"/>
      <c r="L8" s="1126"/>
      <c r="M8" s="1127"/>
      <c r="N8" s="1127"/>
      <c r="O8" s="1127"/>
      <c r="P8" s="3296" t="s">
        <v>2541</v>
      </c>
      <c r="Q8" s="3297"/>
      <c r="R8" s="766" t="s">
        <v>17</v>
      </c>
      <c r="S8" s="767">
        <f t="shared" si="0"/>
        <v>100</v>
      </c>
      <c r="T8" s="766" t="s">
        <v>17</v>
      </c>
      <c r="U8" s="767">
        <f t="shared" si="1"/>
        <v>100</v>
      </c>
      <c r="V8" s="766" t="s">
        <v>17</v>
      </c>
      <c r="W8" s="767">
        <f t="shared" si="2"/>
        <v>100</v>
      </c>
      <c r="X8" s="768"/>
      <c r="Y8" s="3296" t="s">
        <v>2541</v>
      </c>
      <c r="Z8" s="3297"/>
      <c r="AA8" s="769">
        <f t="shared" ref="AA8:AA19" si="3">D8/F8</f>
        <v>1</v>
      </c>
      <c r="AB8" s="769">
        <f t="shared" ref="AB8:AB19" si="4">D8/H8</f>
        <v>1</v>
      </c>
      <c r="AC8" s="769">
        <f t="shared" ref="AC8:AC19" si="5">D8/J8</f>
        <v>1</v>
      </c>
    </row>
    <row r="9" spans="1:29" s="116" customFormat="1">
      <c r="A9" s="412" t="s">
        <v>2542</v>
      </c>
      <c r="B9" s="71" t="s">
        <v>2543</v>
      </c>
      <c r="C9" s="2966" t="s">
        <v>3093</v>
      </c>
      <c r="D9" s="132">
        <v>100</v>
      </c>
      <c r="E9" s="416" t="s">
        <v>3059</v>
      </c>
      <c r="F9" s="132">
        <f>SUMIF(63:63,E9,64:64)-SUMIF(63:63,C9,64:64)+100</f>
        <v>100</v>
      </c>
      <c r="G9" s="414" t="s">
        <v>3059</v>
      </c>
      <c r="H9" s="132">
        <f>SUMIF(63:63,G9,64:64)-SUMIF(63:63,C9,64:64)+100</f>
        <v>100</v>
      </c>
      <c r="I9" s="414" t="s">
        <v>3059</v>
      </c>
      <c r="J9" s="132">
        <f>SUMIF(63:63,I9,64:64)-SUMIF(63:63,C9,64:64)+100</f>
        <v>100</v>
      </c>
      <c r="K9" s="2590"/>
      <c r="L9" s="1126"/>
      <c r="M9" s="1127"/>
      <c r="N9" s="1127"/>
      <c r="O9" s="1127"/>
      <c r="P9" s="3266" t="s">
        <v>2544</v>
      </c>
      <c r="Q9" s="2951" t="str">
        <f t="shared" ref="Q9:Q15" si="6">B9</f>
        <v>用途</v>
      </c>
      <c r="R9" s="766" t="s">
        <v>17</v>
      </c>
      <c r="S9" s="767">
        <f t="shared" si="0"/>
        <v>100</v>
      </c>
      <c r="T9" s="766" t="s">
        <v>17</v>
      </c>
      <c r="U9" s="767">
        <f t="shared" si="1"/>
        <v>100</v>
      </c>
      <c r="V9" s="766" t="s">
        <v>17</v>
      </c>
      <c r="W9" s="767">
        <f t="shared" si="2"/>
        <v>100</v>
      </c>
      <c r="X9" s="768"/>
      <c r="Y9" s="3087" t="s">
        <v>2545</v>
      </c>
      <c r="Z9" s="2952" t="str">
        <f t="shared" ref="Z9:Z15" si="7">Q9</f>
        <v>用途</v>
      </c>
      <c r="AA9" s="769">
        <f t="shared" si="3"/>
        <v>1</v>
      </c>
      <c r="AB9" s="769">
        <f t="shared" si="4"/>
        <v>1</v>
      </c>
      <c r="AC9" s="769">
        <f t="shared" si="5"/>
        <v>1</v>
      </c>
    </row>
    <row r="10" spans="1:29" s="424" customFormat="1" ht="27">
      <c r="A10" s="418"/>
      <c r="B10" s="2953" t="s">
        <v>2546</v>
      </c>
      <c r="C10" s="420" t="s">
        <v>3094</v>
      </c>
      <c r="D10" s="133">
        <v>100</v>
      </c>
      <c r="E10" s="420" t="s">
        <v>3096</v>
      </c>
      <c r="F10" s="133">
        <f>SUMIF(65:65,E10,66:66)-SUMIF(65:65,C10,66:66)+100</f>
        <v>102</v>
      </c>
      <c r="G10" s="421" t="s">
        <v>3096</v>
      </c>
      <c r="H10" s="133">
        <f>SUMIF(65:65,G10,66:66)-SUMIF(65:65,C10,66:66)+100</f>
        <v>102</v>
      </c>
      <c r="I10" s="421" t="s">
        <v>3096</v>
      </c>
      <c r="J10" s="133">
        <f>SUMIF(65:65,I10,66:66)-SUMIF(65:65,C10,66:66)+100</f>
        <v>102</v>
      </c>
      <c r="K10" s="423">
        <v>2</v>
      </c>
      <c r="L10" s="1129"/>
      <c r="M10" s="1130"/>
      <c r="N10" s="1130"/>
      <c r="O10" s="1130"/>
      <c r="P10" s="3266"/>
      <c r="Q10" s="2951" t="str">
        <f t="shared" si="6"/>
        <v>土地使用年限（年）</v>
      </c>
      <c r="R10" s="766" t="s">
        <v>17</v>
      </c>
      <c r="S10" s="767">
        <f t="shared" si="0"/>
        <v>102</v>
      </c>
      <c r="T10" s="766" t="s">
        <v>17</v>
      </c>
      <c r="U10" s="767">
        <f t="shared" si="1"/>
        <v>102</v>
      </c>
      <c r="V10" s="766" t="s">
        <v>17</v>
      </c>
      <c r="W10" s="767">
        <f t="shared" si="2"/>
        <v>102</v>
      </c>
      <c r="X10" s="768"/>
      <c r="Y10" s="3087"/>
      <c r="Z10" s="2952" t="str">
        <f t="shared" si="7"/>
        <v>土地使用年限（年）</v>
      </c>
      <c r="AA10" s="769">
        <f t="shared" si="3"/>
        <v>0.98039215686274506</v>
      </c>
      <c r="AB10" s="769">
        <f t="shared" si="4"/>
        <v>0.98039215686274506</v>
      </c>
      <c r="AC10" s="769">
        <f t="shared" si="5"/>
        <v>0.98039215686274506</v>
      </c>
    </row>
    <row r="11" spans="1:29" ht="15">
      <c r="A11" s="425"/>
      <c r="B11" s="2953" t="s">
        <v>2547</v>
      </c>
      <c r="C11" s="426">
        <f>'数据-汇总表'!I6</f>
        <v>1.78</v>
      </c>
      <c r="D11" s="133">
        <v>100</v>
      </c>
      <c r="E11" s="426">
        <v>2.2999999999999998</v>
      </c>
      <c r="F11" s="133">
        <f>LOOKUP(E11,68:68,69:69)-LOOKUP(C11,68:68,69:69)+100</f>
        <v>98</v>
      </c>
      <c r="G11" s="427">
        <v>2.5</v>
      </c>
      <c r="H11" s="133">
        <f>LOOKUP(G11,68:68,69:69)-LOOKUP(C11,68:68,69:69)+100</f>
        <v>98</v>
      </c>
      <c r="I11" s="426">
        <v>0.4</v>
      </c>
      <c r="J11" s="133">
        <f>LOOKUP(I11,68:68,69:69)-LOOKUP(C11,68:68,69:69)+100</f>
        <v>102</v>
      </c>
      <c r="K11" s="423">
        <v>2</v>
      </c>
      <c r="L11" s="1132"/>
      <c r="M11" s="1125"/>
      <c r="N11" s="1125"/>
      <c r="O11" s="1125"/>
      <c r="P11" s="3266"/>
      <c r="Q11" s="2951" t="str">
        <f t="shared" si="6"/>
        <v>容积率</v>
      </c>
      <c r="R11" s="766" t="s">
        <v>17</v>
      </c>
      <c r="S11" s="767">
        <f t="shared" si="0"/>
        <v>98</v>
      </c>
      <c r="T11" s="766" t="s">
        <v>17</v>
      </c>
      <c r="U11" s="767">
        <f t="shared" si="1"/>
        <v>98</v>
      </c>
      <c r="V11" s="766" t="s">
        <v>17</v>
      </c>
      <c r="W11" s="767">
        <f t="shared" si="2"/>
        <v>102</v>
      </c>
      <c r="X11" s="768"/>
      <c r="Y11" s="3087"/>
      <c r="Z11" s="2952" t="str">
        <f t="shared" si="7"/>
        <v>容积率</v>
      </c>
      <c r="AA11" s="769">
        <f t="shared" si="3"/>
        <v>1.0204081632653061</v>
      </c>
      <c r="AB11" s="769">
        <f t="shared" si="4"/>
        <v>1.0204081632653061</v>
      </c>
      <c r="AC11" s="769">
        <f t="shared" si="5"/>
        <v>0.98039215686274506</v>
      </c>
    </row>
    <row r="12" spans="1:29" s="116" customFormat="1" ht="15">
      <c r="A12" s="428"/>
      <c r="B12" s="2592"/>
      <c r="C12" s="429"/>
      <c r="D12" s="430">
        <v>100</v>
      </c>
      <c r="E12" s="429"/>
      <c r="F12" s="133">
        <f>SUMIF(70:70,E12,71:71)-SUMIF(70:70,C12,71:71)+100</f>
        <v>100</v>
      </c>
      <c r="G12" s="2662"/>
      <c r="H12" s="133">
        <f>SUMIF(70:70,G12,71:71)-SUMIF(70:70,C12,71:71)+100</f>
        <v>100</v>
      </c>
      <c r="I12" s="429"/>
      <c r="J12" s="133">
        <f>SUMIF(70:70,I12,71:71)-SUMIF(70:70,C12,71:71)+100</f>
        <v>100</v>
      </c>
      <c r="K12" s="2593"/>
      <c r="L12" s="1126"/>
      <c r="M12" s="1127"/>
      <c r="N12" s="1127"/>
      <c r="O12" s="1127"/>
      <c r="P12" s="3266"/>
      <c r="Q12" s="2951">
        <f t="shared" si="6"/>
        <v>0</v>
      </c>
      <c r="R12" s="766" t="s">
        <v>17</v>
      </c>
      <c r="S12" s="767">
        <f t="shared" si="0"/>
        <v>100</v>
      </c>
      <c r="T12" s="766" t="s">
        <v>17</v>
      </c>
      <c r="U12" s="767">
        <f t="shared" si="1"/>
        <v>100</v>
      </c>
      <c r="V12" s="766" t="s">
        <v>17</v>
      </c>
      <c r="W12" s="767">
        <f t="shared" si="2"/>
        <v>100</v>
      </c>
      <c r="X12" s="768"/>
      <c r="Y12" s="3087"/>
      <c r="Z12" s="2952">
        <f t="shared" si="7"/>
        <v>0</v>
      </c>
      <c r="AA12" s="769">
        <f>D12/F12</f>
        <v>1</v>
      </c>
      <c r="AB12" s="769">
        <f>D12/H12</f>
        <v>1</v>
      </c>
      <c r="AC12" s="769">
        <f>D12/J12</f>
        <v>1</v>
      </c>
    </row>
    <row r="13" spans="1:29" ht="15">
      <c r="A13" s="425"/>
      <c r="B13" s="2592"/>
      <c r="C13" s="431"/>
      <c r="D13" s="432">
        <v>100</v>
      </c>
      <c r="E13" s="431"/>
      <c r="F13" s="133">
        <f>SUMIF(72:72,E13,73:73)-SUMIF(72:72,C13,73:73)+100</f>
        <v>100</v>
      </c>
      <c r="G13" s="2607"/>
      <c r="H13" s="432">
        <f>SUMIF(72:72,G13,73:73)-SUMIF(72:72,C13,73:73)+100</f>
        <v>100</v>
      </c>
      <c r="I13" s="431"/>
      <c r="J13" s="432">
        <f>SUMIF(72:72,I13,73:73)-SUMIF(72:72,C13,73:73)+100</f>
        <v>100</v>
      </c>
      <c r="K13" s="2593"/>
      <c r="L13" s="1134"/>
      <c r="M13" s="1125"/>
      <c r="N13" s="1125"/>
      <c r="O13" s="1125"/>
      <c r="P13" s="3266"/>
      <c r="Q13" s="2951">
        <f t="shared" si="6"/>
        <v>0</v>
      </c>
      <c r="R13" s="766" t="s">
        <v>17</v>
      </c>
      <c r="S13" s="767">
        <f t="shared" si="0"/>
        <v>100</v>
      </c>
      <c r="T13" s="766" t="s">
        <v>17</v>
      </c>
      <c r="U13" s="767">
        <f t="shared" si="1"/>
        <v>100</v>
      </c>
      <c r="V13" s="766" t="s">
        <v>17</v>
      </c>
      <c r="W13" s="767">
        <f t="shared" si="2"/>
        <v>100</v>
      </c>
      <c r="X13" s="768"/>
      <c r="Y13" s="3087"/>
      <c r="Z13" s="2952">
        <f t="shared" si="7"/>
        <v>0</v>
      </c>
      <c r="AA13" s="769">
        <f t="shared" si="3"/>
        <v>1</v>
      </c>
      <c r="AB13" s="769">
        <f t="shared" si="4"/>
        <v>1</v>
      </c>
      <c r="AC13" s="769">
        <f t="shared" si="5"/>
        <v>1</v>
      </c>
    </row>
    <row r="14" spans="1:29" ht="15.75" thickBot="1">
      <c r="A14" s="433"/>
      <c r="B14" s="2594"/>
      <c r="C14" s="434"/>
      <c r="D14" s="435">
        <v>100</v>
      </c>
      <c r="E14" s="434"/>
      <c r="F14" s="435">
        <f>SUMIF(74:74,E14,75:75)-SUMIF(74:74,C14,75:75)+100</f>
        <v>100</v>
      </c>
      <c r="G14" s="2608"/>
      <c r="H14" s="435">
        <f>SUMIF(74:74,G14,75:75)-SUMIF(74:74,C14,75:75)+100</f>
        <v>100</v>
      </c>
      <c r="I14" s="434"/>
      <c r="J14" s="435">
        <f>SUMIF(74:74,I14,75:75)-SUMIF(74:74,C14,75:75)+100</f>
        <v>100</v>
      </c>
      <c r="K14" s="2593"/>
      <c r="L14" s="1134"/>
      <c r="M14" s="1125"/>
      <c r="N14" s="1125"/>
      <c r="O14" s="1125"/>
      <c r="P14" s="3266"/>
      <c r="Q14" s="2951">
        <f t="shared" si="6"/>
        <v>0</v>
      </c>
      <c r="R14" s="766" t="s">
        <v>17</v>
      </c>
      <c r="S14" s="767">
        <f t="shared" si="0"/>
        <v>100</v>
      </c>
      <c r="T14" s="766" t="s">
        <v>17</v>
      </c>
      <c r="U14" s="767">
        <f t="shared" si="1"/>
        <v>100</v>
      </c>
      <c r="V14" s="766" t="s">
        <v>17</v>
      </c>
      <c r="W14" s="767">
        <f t="shared" si="2"/>
        <v>100</v>
      </c>
      <c r="X14" s="768"/>
      <c r="Y14" s="3087"/>
      <c r="Z14" s="2952">
        <f t="shared" si="7"/>
        <v>0</v>
      </c>
      <c r="AA14" s="769">
        <f t="shared" si="3"/>
        <v>1</v>
      </c>
      <c r="AB14" s="769">
        <f t="shared" si="4"/>
        <v>1</v>
      </c>
      <c r="AC14" s="769">
        <f t="shared" si="5"/>
        <v>1</v>
      </c>
    </row>
    <row r="15" spans="1:29" ht="99.75">
      <c r="A15" s="437" t="s">
        <v>2548</v>
      </c>
      <c r="B15" s="69" t="s">
        <v>2080</v>
      </c>
      <c r="C15" s="2595" t="str">
        <f>估价对象房地状况!C3</f>
        <v>估价对象周边居住用地比例、居住小区规模和社区发展完善程度，综合评价居住社区成熟度一般</v>
      </c>
      <c r="D15" s="438">
        <v>100</v>
      </c>
      <c r="E15" s="441"/>
      <c r="F15" s="438">
        <f>SUMIF(76:76,E16,77:77)-SUMIF(76:76,C16,77:77)+100</f>
        <v>106</v>
      </c>
      <c r="G15" s="439"/>
      <c r="H15" s="438">
        <f>SUMIF(76:76,G16,77:77)-SUMIF(76:76,C16,77:77)+100</f>
        <v>106</v>
      </c>
      <c r="I15" s="441"/>
      <c r="J15" s="438">
        <f>SUMIF(76:76,I16,77:77)-SUMIF(76:76,C16,77:77)+100</f>
        <v>100</v>
      </c>
      <c r="K15" s="442">
        <v>3</v>
      </c>
      <c r="L15" s="1134"/>
      <c r="M15" s="1125"/>
      <c r="N15" s="1125"/>
      <c r="O15" s="1125"/>
      <c r="P15" s="3305" t="s">
        <v>2549</v>
      </c>
      <c r="Q15" s="2956" t="str">
        <f t="shared" si="6"/>
        <v>居住社区成熟度</v>
      </c>
      <c r="R15" s="770" t="s">
        <v>17</v>
      </c>
      <c r="S15" s="771">
        <f t="shared" si="0"/>
        <v>106</v>
      </c>
      <c r="T15" s="770" t="s">
        <v>17</v>
      </c>
      <c r="U15" s="771">
        <f t="shared" si="1"/>
        <v>106</v>
      </c>
      <c r="V15" s="770" t="s">
        <v>17</v>
      </c>
      <c r="W15" s="771">
        <f t="shared" si="2"/>
        <v>100</v>
      </c>
      <c r="X15" s="2954"/>
      <c r="Y15" s="3269" t="s">
        <v>2549</v>
      </c>
      <c r="Z15" s="2955" t="str">
        <f t="shared" si="7"/>
        <v>居住社区成熟度</v>
      </c>
      <c r="AA15" s="2957">
        <f t="shared" si="3"/>
        <v>0.94339622641509435</v>
      </c>
      <c r="AB15" s="2957">
        <f t="shared" si="4"/>
        <v>0.94339622641509435</v>
      </c>
      <c r="AC15" s="2957">
        <f t="shared" si="5"/>
        <v>1</v>
      </c>
    </row>
    <row r="16" spans="1:29" ht="15">
      <c r="A16" s="425"/>
      <c r="B16" s="443"/>
      <c r="C16" s="444" t="s">
        <v>3097</v>
      </c>
      <c r="D16" s="445"/>
      <c r="E16" s="2596" t="s">
        <v>3100</v>
      </c>
      <c r="F16" s="445"/>
      <c r="G16" s="2597" t="s">
        <v>3100</v>
      </c>
      <c r="H16" s="447"/>
      <c r="I16" s="2596" t="s">
        <v>3097</v>
      </c>
      <c r="J16" s="445"/>
      <c r="K16" s="2598"/>
      <c r="L16" s="1134"/>
      <c r="M16" s="1125"/>
      <c r="N16" s="1125"/>
      <c r="O16" s="1125"/>
      <c r="P16" s="3306"/>
      <c r="Q16" s="2956"/>
      <c r="R16" s="770"/>
      <c r="S16" s="771"/>
      <c r="T16" s="770"/>
      <c r="U16" s="771"/>
      <c r="V16" s="770"/>
      <c r="W16" s="771"/>
      <c r="X16" s="2954"/>
      <c r="Y16" s="3270"/>
      <c r="Z16" s="2955"/>
      <c r="AA16" s="2957">
        <v>1</v>
      </c>
      <c r="AB16" s="2957">
        <v>1</v>
      </c>
      <c r="AC16" s="2957">
        <v>1</v>
      </c>
    </row>
    <row r="17" spans="1:29" ht="85.5">
      <c r="A17" s="425"/>
      <c r="B17" s="448" t="s">
        <v>2092</v>
      </c>
      <c r="C17" s="2599"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105</v>
      </c>
      <c r="I17" s="451"/>
      <c r="J17" s="452">
        <f>SUMIF(78:78,I18,79:79)-SUMIF(78:78,C18,79:79)+100</f>
        <v>100</v>
      </c>
      <c r="K17" s="442">
        <v>5</v>
      </c>
      <c r="L17" s="1134"/>
      <c r="M17" s="1125"/>
      <c r="N17" s="1125"/>
      <c r="O17" s="1125"/>
      <c r="P17" s="3306"/>
      <c r="Q17" s="2956" t="str">
        <f>B17</f>
        <v>交通便捷度</v>
      </c>
      <c r="R17" s="770" t="s">
        <v>17</v>
      </c>
      <c r="S17" s="771">
        <f>F17</f>
        <v>100</v>
      </c>
      <c r="T17" s="770" t="s">
        <v>17</v>
      </c>
      <c r="U17" s="771">
        <f>H17</f>
        <v>105</v>
      </c>
      <c r="V17" s="770" t="s">
        <v>17</v>
      </c>
      <c r="W17" s="771">
        <f>J17</f>
        <v>100</v>
      </c>
      <c r="X17" s="2954"/>
      <c r="Y17" s="3270"/>
      <c r="Z17" s="2955" t="str">
        <f>Q17</f>
        <v>交通便捷度</v>
      </c>
      <c r="AA17" s="2957">
        <f t="shared" si="3"/>
        <v>1</v>
      </c>
      <c r="AB17" s="2957">
        <f t="shared" si="4"/>
        <v>0.95238095238095233</v>
      </c>
      <c r="AC17" s="2957">
        <f t="shared" si="5"/>
        <v>1</v>
      </c>
    </row>
    <row r="18" spans="1:29" ht="15">
      <c r="A18" s="425"/>
      <c r="B18" s="453"/>
      <c r="C18" s="2600" t="s">
        <v>3098</v>
      </c>
      <c r="D18" s="447"/>
      <c r="E18" s="2601" t="s">
        <v>3098</v>
      </c>
      <c r="F18" s="447"/>
      <c r="G18" s="2602" t="s">
        <v>3100</v>
      </c>
      <c r="H18" s="445"/>
      <c r="I18" s="2601" t="s">
        <v>3098</v>
      </c>
      <c r="J18" s="445"/>
      <c r="K18" s="2598"/>
      <c r="L18" s="1134"/>
      <c r="M18" s="1125"/>
      <c r="N18" s="1125"/>
      <c r="O18" s="1125"/>
      <c r="P18" s="3306"/>
      <c r="Q18" s="2956"/>
      <c r="R18" s="770"/>
      <c r="S18" s="771"/>
      <c r="T18" s="770"/>
      <c r="U18" s="771"/>
      <c r="V18" s="770"/>
      <c r="W18" s="771"/>
      <c r="X18" s="2954"/>
      <c r="Y18" s="3270"/>
      <c r="Z18" s="2955"/>
      <c r="AA18" s="2957">
        <v>1</v>
      </c>
      <c r="AB18" s="2957">
        <v>1</v>
      </c>
      <c r="AC18" s="2957">
        <v>1</v>
      </c>
    </row>
    <row r="19" spans="1:29" ht="42.75">
      <c r="A19" s="425"/>
      <c r="B19" s="448" t="s">
        <v>2090</v>
      </c>
      <c r="C19" s="2599" t="str">
        <f>估价对象房地状况!C7</f>
        <v>估价对象所在区域公共配套设施齐备情况</v>
      </c>
      <c r="D19" s="452">
        <v>100</v>
      </c>
      <c r="E19" s="456"/>
      <c r="F19" s="452">
        <f>SUMIF(80:80,E20,81:81)-SUMIF(80:80,C20,81:81)+100</f>
        <v>103</v>
      </c>
      <c r="G19" s="454"/>
      <c r="H19" s="447">
        <f>SUMIF(80:80,G20,81:81)-SUMIF(80:80,C20,81:81)+100</f>
        <v>103</v>
      </c>
      <c r="I19" s="456"/>
      <c r="J19" s="447">
        <f>SUMIF(80:80,I20,81:81)-SUMIF(80:80,C20,81:81)+100</f>
        <v>97</v>
      </c>
      <c r="K19" s="442">
        <v>3</v>
      </c>
      <c r="L19" s="1134"/>
      <c r="M19" s="1125"/>
      <c r="N19" s="1125"/>
      <c r="O19" s="1125"/>
      <c r="P19" s="3306"/>
      <c r="Q19" s="2956" t="str">
        <f>B19</f>
        <v>公共配套设施</v>
      </c>
      <c r="R19" s="770" t="s">
        <v>17</v>
      </c>
      <c r="S19" s="771">
        <f>F19</f>
        <v>103</v>
      </c>
      <c r="T19" s="770" t="s">
        <v>17</v>
      </c>
      <c r="U19" s="771">
        <f>H19</f>
        <v>103</v>
      </c>
      <c r="V19" s="770" t="s">
        <v>17</v>
      </c>
      <c r="W19" s="771">
        <f>J19</f>
        <v>97</v>
      </c>
      <c r="X19" s="2954"/>
      <c r="Y19" s="3270"/>
      <c r="Z19" s="2955" t="str">
        <f>Q19</f>
        <v>公共配套设施</v>
      </c>
      <c r="AA19" s="2957">
        <f t="shared" si="3"/>
        <v>0.970873786407767</v>
      </c>
      <c r="AB19" s="2957">
        <f t="shared" si="4"/>
        <v>0.970873786407767</v>
      </c>
      <c r="AC19" s="2957">
        <f t="shared" si="5"/>
        <v>1.0309278350515463</v>
      </c>
    </row>
    <row r="20" spans="1:29" ht="15">
      <c r="A20" s="425"/>
      <c r="B20" s="453"/>
      <c r="C20" s="444" t="s">
        <v>3098</v>
      </c>
      <c r="D20" s="445"/>
      <c r="E20" s="2596" t="s">
        <v>3100</v>
      </c>
      <c r="F20" s="445"/>
      <c r="G20" s="2597" t="s">
        <v>3100</v>
      </c>
      <c r="H20" s="445"/>
      <c r="I20" s="2596" t="s">
        <v>3097</v>
      </c>
      <c r="J20" s="445"/>
      <c r="K20" s="2598"/>
      <c r="L20" s="1134"/>
      <c r="M20" s="1125"/>
      <c r="N20" s="1125"/>
      <c r="O20" s="1125"/>
      <c r="P20" s="3306"/>
      <c r="Q20" s="2956"/>
      <c r="R20" s="770"/>
      <c r="S20" s="771"/>
      <c r="T20" s="770"/>
      <c r="U20" s="771"/>
      <c r="V20" s="770"/>
      <c r="W20" s="771"/>
      <c r="X20" s="2954"/>
      <c r="Y20" s="3270"/>
      <c r="Z20" s="2955"/>
      <c r="AA20" s="2957">
        <v>1</v>
      </c>
      <c r="AB20" s="2957">
        <v>1</v>
      </c>
      <c r="AC20" s="2957">
        <v>1</v>
      </c>
    </row>
    <row r="21" spans="1:29" ht="28.5">
      <c r="A21" s="425"/>
      <c r="B21" s="1378" t="s">
        <v>2093</v>
      </c>
      <c r="C21" s="2599" t="str">
        <f>估价对象房地状况!C8</f>
        <v>估价对象所在区域基础设施水平</v>
      </c>
      <c r="D21" s="447">
        <v>100</v>
      </c>
      <c r="E21" s="456"/>
      <c r="F21" s="452">
        <f>SUMIF(82:82,E22,83:83)-SUMIF(82:82,C22,83:83)+100</f>
        <v>100</v>
      </c>
      <c r="G21" s="454"/>
      <c r="H21" s="447">
        <f>SUMIF(82:82,G22,83:83)-SUMIF(82:82,C22,83:83)+100</f>
        <v>100</v>
      </c>
      <c r="I21" s="456"/>
      <c r="J21" s="447">
        <f>SUMIF(82:82,I22,83:83)-SUMIF(82:82,C22,83:83)+100</f>
        <v>100</v>
      </c>
      <c r="K21" s="442">
        <v>2</v>
      </c>
      <c r="L21" s="1134"/>
      <c r="M21" s="1125"/>
      <c r="N21" s="1125"/>
      <c r="O21" s="1125"/>
      <c r="P21" s="3306"/>
      <c r="Q21" s="2956" t="str">
        <f>B21</f>
        <v>基础设施水平</v>
      </c>
      <c r="R21" s="770" t="s">
        <v>17</v>
      </c>
      <c r="S21" s="771">
        <f>F21</f>
        <v>100</v>
      </c>
      <c r="T21" s="770" t="s">
        <v>17</v>
      </c>
      <c r="U21" s="771">
        <f>H21</f>
        <v>100</v>
      </c>
      <c r="V21" s="770" t="s">
        <v>17</v>
      </c>
      <c r="W21" s="771">
        <f>J21</f>
        <v>100</v>
      </c>
      <c r="X21" s="2954"/>
      <c r="Y21" s="3270"/>
      <c r="Z21" s="2955" t="str">
        <f>Q21</f>
        <v>基础设施水平</v>
      </c>
      <c r="AA21" s="2957">
        <f>D21/F21</f>
        <v>1</v>
      </c>
      <c r="AB21" s="2957">
        <f>D21/H21</f>
        <v>1</v>
      </c>
      <c r="AC21" s="2957">
        <f>D21/J21</f>
        <v>1</v>
      </c>
    </row>
    <row r="22" spans="1:29" ht="15">
      <c r="A22" s="425"/>
      <c r="B22" s="1378"/>
      <c r="C22" s="2600" t="s">
        <v>3099</v>
      </c>
      <c r="D22" s="445"/>
      <c r="E22" s="444" t="s">
        <v>3099</v>
      </c>
      <c r="F22" s="445"/>
      <c r="G22" s="2603" t="s">
        <v>3099</v>
      </c>
      <c r="H22" s="445"/>
      <c r="I22" s="444" t="s">
        <v>3099</v>
      </c>
      <c r="J22" s="445"/>
      <c r="K22" s="2604"/>
      <c r="L22" s="1134"/>
      <c r="M22" s="1125"/>
      <c r="N22" s="1125"/>
      <c r="O22" s="1125"/>
      <c r="P22" s="3306"/>
      <c r="Q22" s="2956"/>
      <c r="R22" s="770"/>
      <c r="S22" s="771"/>
      <c r="T22" s="770"/>
      <c r="U22" s="771"/>
      <c r="V22" s="770"/>
      <c r="W22" s="771"/>
      <c r="X22" s="2954"/>
      <c r="Y22" s="3270"/>
      <c r="Z22" s="2955"/>
      <c r="AA22" s="2957">
        <v>1</v>
      </c>
      <c r="AB22" s="2957">
        <v>1</v>
      </c>
      <c r="AC22" s="2957">
        <v>1</v>
      </c>
    </row>
    <row r="23" spans="1:29" ht="57">
      <c r="A23" s="425"/>
      <c r="B23" s="448" t="s">
        <v>2097</v>
      </c>
      <c r="C23" s="2599" t="str">
        <f>估价对象房地状况!C9</f>
        <v>区域自然环境：；人文环境；综合评价环境状况一般</v>
      </c>
      <c r="D23" s="447">
        <v>100</v>
      </c>
      <c r="E23" s="451"/>
      <c r="F23" s="447">
        <f>SUMIF(84:84,E24,85:85)-SUMIF(84:84,C24,85:85)+100</f>
        <v>95</v>
      </c>
      <c r="G23" s="449"/>
      <c r="H23" s="447">
        <f>SUMIF(84:84,G24,85:85)-SUMIF(84:84,C24,85:85)+100</f>
        <v>95</v>
      </c>
      <c r="I23" s="451"/>
      <c r="J23" s="447">
        <f>SUMIF(84:84,I24,85:85)-SUMIF(84:84,C24,85:85)+100</f>
        <v>100</v>
      </c>
      <c r="K23" s="442">
        <v>5</v>
      </c>
      <c r="L23" s="1134"/>
      <c r="M23" s="1125"/>
      <c r="N23" s="1125"/>
      <c r="O23" s="1125"/>
      <c r="P23" s="3306"/>
      <c r="Q23" s="2956" t="str">
        <f>B23</f>
        <v>自然及人文环境</v>
      </c>
      <c r="R23" s="770" t="s">
        <v>17</v>
      </c>
      <c r="S23" s="771">
        <f>F23</f>
        <v>95</v>
      </c>
      <c r="T23" s="770" t="s">
        <v>17</v>
      </c>
      <c r="U23" s="771">
        <f>H23</f>
        <v>95</v>
      </c>
      <c r="V23" s="770" t="s">
        <v>17</v>
      </c>
      <c r="W23" s="771">
        <f>J23</f>
        <v>100</v>
      </c>
      <c r="X23" s="2954"/>
      <c r="Y23" s="3270"/>
      <c r="Z23" s="2955" t="str">
        <f>Q23</f>
        <v>自然及人文环境</v>
      </c>
      <c r="AA23" s="2957">
        <f>D23/F23</f>
        <v>1.0526315789473684</v>
      </c>
      <c r="AB23" s="2957">
        <f>D23/H23</f>
        <v>1.0526315789473684</v>
      </c>
      <c r="AC23" s="2957">
        <f>D23/J23</f>
        <v>1</v>
      </c>
    </row>
    <row r="24" spans="1:29" ht="15">
      <c r="A24" s="425"/>
      <c r="B24" s="453"/>
      <c r="C24" s="444" t="s">
        <v>3100</v>
      </c>
      <c r="D24" s="445"/>
      <c r="E24" s="2596" t="s">
        <v>3098</v>
      </c>
      <c r="F24" s="445"/>
      <c r="G24" s="2597" t="s">
        <v>3098</v>
      </c>
      <c r="H24" s="445"/>
      <c r="I24" s="2596" t="s">
        <v>3100</v>
      </c>
      <c r="J24" s="445"/>
      <c r="K24" s="2598"/>
      <c r="L24" s="1134"/>
      <c r="M24" s="1125"/>
      <c r="N24" s="1125"/>
      <c r="O24" s="1125"/>
      <c r="P24" s="3306"/>
      <c r="Q24" s="2956"/>
      <c r="R24" s="770"/>
      <c r="S24" s="771"/>
      <c r="T24" s="770"/>
      <c r="U24" s="771"/>
      <c r="V24" s="770"/>
      <c r="W24" s="771"/>
      <c r="X24" s="2954"/>
      <c r="Y24" s="3270"/>
      <c r="Z24" s="2955"/>
      <c r="AA24" s="2957">
        <v>1</v>
      </c>
      <c r="AB24" s="2957">
        <v>1</v>
      </c>
      <c r="AC24" s="2957">
        <v>1</v>
      </c>
    </row>
    <row r="25" spans="1:29" ht="15">
      <c r="A25" s="425"/>
      <c r="B25" s="2953" t="s">
        <v>2550</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306"/>
      <c r="Q25" s="2956" t="str">
        <f t="shared" ref="Q25:Q46" si="8">B25</f>
        <v>楼层-1</v>
      </c>
      <c r="R25" s="770" t="s">
        <v>17</v>
      </c>
      <c r="S25" s="771">
        <f t="shared" ref="S25:S46" si="9">F25</f>
        <v>100</v>
      </c>
      <c r="T25" s="770" t="s">
        <v>17</v>
      </c>
      <c r="U25" s="771">
        <f t="shared" ref="U25:U46" si="10">H25</f>
        <v>100</v>
      </c>
      <c r="V25" s="770" t="s">
        <v>17</v>
      </c>
      <c r="W25" s="771">
        <f t="shared" ref="W25:W46" si="11">J25</f>
        <v>100</v>
      </c>
      <c r="X25" s="2954"/>
      <c r="Y25" s="3270"/>
      <c r="Z25" s="2955" t="str">
        <f>Q25</f>
        <v>楼层-1</v>
      </c>
      <c r="AA25" s="2957">
        <f t="shared" ref="AA25:AA46" si="12">D25/F25</f>
        <v>1</v>
      </c>
      <c r="AB25" s="2957">
        <f t="shared" ref="AB25:AB46" si="13">D25/H25</f>
        <v>1</v>
      </c>
      <c r="AC25" s="2957">
        <f t="shared" ref="AC25:AC46" si="14">D25/J25</f>
        <v>1</v>
      </c>
    </row>
    <row r="26" spans="1:29" ht="15">
      <c r="A26" s="425"/>
      <c r="B26" s="2953" t="s">
        <v>2551</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306"/>
      <c r="Q26" s="2956" t="str">
        <f t="shared" si="8"/>
        <v>朝向</v>
      </c>
      <c r="R26" s="770" t="s">
        <v>17</v>
      </c>
      <c r="S26" s="771">
        <f t="shared" si="9"/>
        <v>100</v>
      </c>
      <c r="T26" s="770" t="s">
        <v>17</v>
      </c>
      <c r="U26" s="771">
        <f t="shared" si="10"/>
        <v>100</v>
      </c>
      <c r="V26" s="770" t="s">
        <v>17</v>
      </c>
      <c r="W26" s="771">
        <f t="shared" si="11"/>
        <v>100</v>
      </c>
      <c r="X26" s="2954"/>
      <c r="Y26" s="3270"/>
      <c r="Z26" s="2955" t="str">
        <f>Q26</f>
        <v>朝向</v>
      </c>
      <c r="AA26" s="2957">
        <f t="shared" si="12"/>
        <v>1</v>
      </c>
      <c r="AB26" s="2957">
        <f t="shared" si="13"/>
        <v>1</v>
      </c>
      <c r="AC26" s="2957">
        <f t="shared" si="14"/>
        <v>1</v>
      </c>
    </row>
    <row r="27" spans="1:29" s="116" customFormat="1" ht="15">
      <c r="A27" s="428"/>
      <c r="B27" s="1380"/>
      <c r="C27" s="429"/>
      <c r="D27" s="459">
        <v>100</v>
      </c>
      <c r="E27" s="462"/>
      <c r="F27" s="459">
        <f>SUMIF(90:90,E27,91:91)-SUMIF(90:90,C27,91:91)+100</f>
        <v>100</v>
      </c>
      <c r="G27" s="460"/>
      <c r="H27" s="459">
        <f>SUMIF(90:90,G27,91:91)-SUMIF(90:90,C27,91:91)+100</f>
        <v>100</v>
      </c>
      <c r="I27" s="460"/>
      <c r="J27" s="459">
        <f>SUMIF(90:90,I27,91:91)-SUMIF(90:90,C27,91:91)+100</f>
        <v>100</v>
      </c>
      <c r="K27" s="2593"/>
      <c r="L27" s="1126"/>
      <c r="M27" s="1127"/>
      <c r="N27" s="1127"/>
      <c r="O27" s="1127"/>
      <c r="P27" s="3306"/>
      <c r="Q27" s="2951">
        <f t="shared" si="8"/>
        <v>0</v>
      </c>
      <c r="R27" s="766" t="s">
        <v>17</v>
      </c>
      <c r="S27" s="767">
        <f t="shared" si="9"/>
        <v>100</v>
      </c>
      <c r="T27" s="766" t="s">
        <v>17</v>
      </c>
      <c r="U27" s="767">
        <f t="shared" si="10"/>
        <v>100</v>
      </c>
      <c r="V27" s="766" t="s">
        <v>17</v>
      </c>
      <c r="W27" s="767">
        <f t="shared" si="11"/>
        <v>100</v>
      </c>
      <c r="X27" s="768"/>
      <c r="Y27" s="3270"/>
      <c r="Z27" s="2952">
        <f>Q27</f>
        <v>0</v>
      </c>
      <c r="AA27" s="2957">
        <f t="shared" si="12"/>
        <v>1</v>
      </c>
      <c r="AB27" s="2957">
        <f t="shared" si="13"/>
        <v>1</v>
      </c>
      <c r="AC27" s="2957">
        <f t="shared" si="14"/>
        <v>1</v>
      </c>
    </row>
    <row r="28" spans="1:29" ht="15">
      <c r="A28" s="425"/>
      <c r="B28" s="1380"/>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306"/>
      <c r="Q28" s="2956">
        <f t="shared" si="8"/>
        <v>0</v>
      </c>
      <c r="R28" s="770" t="s">
        <v>17</v>
      </c>
      <c r="S28" s="771">
        <f t="shared" si="9"/>
        <v>100</v>
      </c>
      <c r="T28" s="770" t="s">
        <v>17</v>
      </c>
      <c r="U28" s="771">
        <f t="shared" si="10"/>
        <v>100</v>
      </c>
      <c r="V28" s="770" t="s">
        <v>17</v>
      </c>
      <c r="W28" s="771">
        <f t="shared" si="11"/>
        <v>100</v>
      </c>
      <c r="X28" s="2954"/>
      <c r="Y28" s="3270"/>
      <c r="Z28" s="2955">
        <f t="shared" ref="Z28:Z46" si="15">Q28</f>
        <v>0</v>
      </c>
      <c r="AA28" s="2957">
        <f t="shared" si="12"/>
        <v>1</v>
      </c>
      <c r="AB28" s="2957">
        <f t="shared" si="13"/>
        <v>1</v>
      </c>
      <c r="AC28" s="2957">
        <f t="shared" si="14"/>
        <v>1</v>
      </c>
    </row>
    <row r="29" spans="1:29" ht="15">
      <c r="A29" s="425"/>
      <c r="B29" s="1380"/>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306"/>
      <c r="Q29" s="2956">
        <f t="shared" si="8"/>
        <v>0</v>
      </c>
      <c r="R29" s="770" t="s">
        <v>17</v>
      </c>
      <c r="S29" s="771">
        <f t="shared" si="9"/>
        <v>100</v>
      </c>
      <c r="T29" s="770" t="s">
        <v>17</v>
      </c>
      <c r="U29" s="771">
        <f t="shared" si="10"/>
        <v>100</v>
      </c>
      <c r="V29" s="770" t="s">
        <v>17</v>
      </c>
      <c r="W29" s="771">
        <f t="shared" si="11"/>
        <v>100</v>
      </c>
      <c r="X29" s="2954"/>
      <c r="Y29" s="3270"/>
      <c r="Z29" s="2955">
        <f t="shared" si="15"/>
        <v>0</v>
      </c>
      <c r="AA29" s="2957">
        <f t="shared" si="12"/>
        <v>1</v>
      </c>
      <c r="AB29" s="2957">
        <f t="shared" si="13"/>
        <v>1</v>
      </c>
      <c r="AC29" s="2957">
        <f t="shared" si="14"/>
        <v>1</v>
      </c>
    </row>
    <row r="30" spans="1:29" ht="15">
      <c r="A30" s="425"/>
      <c r="B30" s="1380"/>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306"/>
      <c r="Q30" s="2956">
        <f t="shared" si="8"/>
        <v>0</v>
      </c>
      <c r="R30" s="770" t="s">
        <v>17</v>
      </c>
      <c r="S30" s="771">
        <f t="shared" si="9"/>
        <v>100</v>
      </c>
      <c r="T30" s="770" t="s">
        <v>17</v>
      </c>
      <c r="U30" s="771">
        <f t="shared" si="10"/>
        <v>100</v>
      </c>
      <c r="V30" s="770" t="s">
        <v>17</v>
      </c>
      <c r="W30" s="771">
        <f t="shared" si="11"/>
        <v>100</v>
      </c>
      <c r="X30" s="2954"/>
      <c r="Y30" s="3270"/>
      <c r="Z30" s="2955">
        <f t="shared" si="15"/>
        <v>0</v>
      </c>
      <c r="AA30" s="2957">
        <f t="shared" si="12"/>
        <v>1</v>
      </c>
      <c r="AB30" s="2957">
        <f t="shared" si="13"/>
        <v>1</v>
      </c>
      <c r="AC30" s="2957">
        <f t="shared" si="14"/>
        <v>1</v>
      </c>
    </row>
    <row r="31" spans="1:29" ht="15.75" thickBot="1">
      <c r="A31" s="433"/>
      <c r="B31" s="1380"/>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306"/>
      <c r="Q31" s="2956">
        <f t="shared" si="8"/>
        <v>0</v>
      </c>
      <c r="R31" s="770" t="s">
        <v>17</v>
      </c>
      <c r="S31" s="771">
        <f t="shared" si="9"/>
        <v>100</v>
      </c>
      <c r="T31" s="770" t="s">
        <v>17</v>
      </c>
      <c r="U31" s="771">
        <f t="shared" si="10"/>
        <v>100</v>
      </c>
      <c r="V31" s="770" t="s">
        <v>17</v>
      </c>
      <c r="W31" s="771">
        <f t="shared" si="11"/>
        <v>100</v>
      </c>
      <c r="X31" s="2954"/>
      <c r="Y31" s="3270"/>
      <c r="Z31" s="2955">
        <f t="shared" si="15"/>
        <v>0</v>
      </c>
      <c r="AA31" s="2957">
        <f t="shared" si="12"/>
        <v>1</v>
      </c>
      <c r="AB31" s="2957">
        <f t="shared" si="13"/>
        <v>1</v>
      </c>
      <c r="AC31" s="2957">
        <f t="shared" si="14"/>
        <v>1</v>
      </c>
    </row>
    <row r="32" spans="1:29" ht="15">
      <c r="A32" s="437" t="s">
        <v>2552</v>
      </c>
      <c r="B32" s="71" t="s">
        <v>2553</v>
      </c>
      <c r="C32" s="2609" t="s">
        <v>3068</v>
      </c>
      <c r="D32" s="464">
        <v>100</v>
      </c>
      <c r="E32" s="2609" t="s">
        <v>3068</v>
      </c>
      <c r="F32" s="432">
        <f>SUMIF(100:100,E32,101:101)-SUMIF(100:100,C32,101:101)+100</f>
        <v>100</v>
      </c>
      <c r="G32" s="2976" t="s">
        <v>3664</v>
      </c>
      <c r="H32" s="464">
        <f>SUMIF(100:100,G32,101:101)-SUMIF(100:100,C32,101:101)+100</f>
        <v>95</v>
      </c>
      <c r="I32" s="2985" t="s">
        <v>3978</v>
      </c>
      <c r="J32" s="432">
        <f>SUMIF(100:100,I32,101:101)-SUMIF(100:100,C32,101:101)+100</f>
        <v>110</v>
      </c>
      <c r="K32" s="423">
        <v>5</v>
      </c>
      <c r="L32" s="1134"/>
      <c r="M32" s="1125"/>
      <c r="N32" s="1125"/>
      <c r="O32" s="1125"/>
      <c r="P32" s="3307" t="s">
        <v>2554</v>
      </c>
      <c r="Q32" s="2956" t="str">
        <f t="shared" si="8"/>
        <v>建筑类型</v>
      </c>
      <c r="R32" s="770" t="s">
        <v>17</v>
      </c>
      <c r="S32" s="771">
        <f t="shared" si="9"/>
        <v>100</v>
      </c>
      <c r="T32" s="770" t="s">
        <v>17</v>
      </c>
      <c r="U32" s="771">
        <f t="shared" si="10"/>
        <v>95</v>
      </c>
      <c r="V32" s="770" t="s">
        <v>17</v>
      </c>
      <c r="W32" s="771">
        <f t="shared" si="11"/>
        <v>110</v>
      </c>
      <c r="X32" s="2954"/>
      <c r="Y32" s="3272" t="s">
        <v>2554</v>
      </c>
      <c r="Z32" s="2955" t="str">
        <f t="shared" si="15"/>
        <v>建筑类型</v>
      </c>
      <c r="AA32" s="2957">
        <f t="shared" si="12"/>
        <v>1</v>
      </c>
      <c r="AB32" s="2957">
        <f t="shared" si="13"/>
        <v>1.0526315789473684</v>
      </c>
      <c r="AC32" s="2957">
        <f t="shared" si="14"/>
        <v>0.90909090909090906</v>
      </c>
    </row>
    <row r="33" spans="1:29" s="468" customFormat="1" ht="15">
      <c r="A33" s="465"/>
      <c r="B33" s="2953" t="s">
        <v>2555</v>
      </c>
      <c r="C33" s="466"/>
      <c r="D33" s="133">
        <v>100</v>
      </c>
      <c r="E33" s="466">
        <v>270000</v>
      </c>
      <c r="F33" s="133">
        <f>LOOKUP(E33,103:103,104:104)-LOOKUP(C33,103:103,104:104)+100</f>
        <v>100</v>
      </c>
      <c r="G33" s="2682">
        <v>214675.56</v>
      </c>
      <c r="H33" s="133">
        <f>LOOKUP(G33,103:103,104:104)-LOOKUP(C33,103:103,104:104)+100</f>
        <v>100</v>
      </c>
      <c r="I33" s="466">
        <v>221000</v>
      </c>
      <c r="J33" s="133">
        <f>LOOKUP(I33,103:103,104:104)-LOOKUP(C33,103:103,104:104)+100</f>
        <v>100</v>
      </c>
      <c r="K33" s="2593"/>
      <c r="L33" s="1132"/>
      <c r="M33" s="1135"/>
      <c r="N33" s="1135"/>
      <c r="O33" s="1135"/>
      <c r="P33" s="3308"/>
      <c r="Q33" s="772" t="str">
        <f t="shared" si="8"/>
        <v>项目建筑规模</v>
      </c>
      <c r="R33" s="773" t="s">
        <v>17</v>
      </c>
      <c r="S33" s="774">
        <f t="shared" si="9"/>
        <v>100</v>
      </c>
      <c r="T33" s="773" t="s">
        <v>17</v>
      </c>
      <c r="U33" s="774">
        <f t="shared" si="10"/>
        <v>100</v>
      </c>
      <c r="V33" s="773" t="s">
        <v>17</v>
      </c>
      <c r="W33" s="774">
        <f t="shared" si="11"/>
        <v>100</v>
      </c>
      <c r="X33" s="775"/>
      <c r="Y33" s="3272"/>
      <c r="Z33" s="776" t="str">
        <f t="shared" si="15"/>
        <v>项目建筑规模</v>
      </c>
      <c r="AA33" s="2957">
        <f t="shared" si="12"/>
        <v>1</v>
      </c>
      <c r="AB33" s="2957">
        <f t="shared" si="13"/>
        <v>1</v>
      </c>
      <c r="AC33" s="2957">
        <f t="shared" si="14"/>
        <v>1</v>
      </c>
    </row>
    <row r="34" spans="1:29" ht="15">
      <c r="A34" s="469"/>
      <c r="B34" s="2953" t="s">
        <v>2556</v>
      </c>
      <c r="C34" s="2610" t="s">
        <v>3084</v>
      </c>
      <c r="D34" s="432">
        <v>100</v>
      </c>
      <c r="E34" s="2610" t="s">
        <v>3084</v>
      </c>
      <c r="F34" s="432">
        <f>SUMIF(105:105,E34,106:106)-SUMIF(105:105,C34,106:106)+100</f>
        <v>100</v>
      </c>
      <c r="G34" s="2977" t="s">
        <v>3084</v>
      </c>
      <c r="H34" s="432">
        <f>SUMIF(105:105,G34,106:106)-SUMIF(105:105,C34,106:106)+100</f>
        <v>100</v>
      </c>
      <c r="I34" s="2610" t="s">
        <v>3084</v>
      </c>
      <c r="J34" s="432">
        <f>SUMIF(105:105,I34,106:106)-SUMIF(105:105,C34,106:106)+100</f>
        <v>100</v>
      </c>
      <c r="K34" s="423">
        <v>2</v>
      </c>
      <c r="L34" s="1134"/>
      <c r="M34" s="1125"/>
      <c r="N34" s="1125"/>
      <c r="O34" s="1125"/>
      <c r="P34" s="3308"/>
      <c r="Q34" s="2956" t="str">
        <f t="shared" si="8"/>
        <v>建筑结构</v>
      </c>
      <c r="R34" s="770" t="s">
        <v>17</v>
      </c>
      <c r="S34" s="771">
        <f t="shared" si="9"/>
        <v>100</v>
      </c>
      <c r="T34" s="770" t="s">
        <v>17</v>
      </c>
      <c r="U34" s="771">
        <f t="shared" si="10"/>
        <v>100</v>
      </c>
      <c r="V34" s="770" t="s">
        <v>17</v>
      </c>
      <c r="W34" s="771">
        <f t="shared" si="11"/>
        <v>100</v>
      </c>
      <c r="X34" s="2954"/>
      <c r="Y34" s="3272"/>
      <c r="Z34" s="2955" t="str">
        <f t="shared" si="15"/>
        <v>建筑结构</v>
      </c>
      <c r="AA34" s="2957">
        <f t="shared" si="12"/>
        <v>1</v>
      </c>
      <c r="AB34" s="2957">
        <f t="shared" si="13"/>
        <v>1</v>
      </c>
      <c r="AC34" s="2957">
        <f t="shared" si="14"/>
        <v>1</v>
      </c>
    </row>
    <row r="35" spans="1:29" ht="15">
      <c r="A35" s="469"/>
      <c r="B35" s="2953" t="s">
        <v>2557</v>
      </c>
      <c r="C35" s="2605" t="s">
        <v>3104</v>
      </c>
      <c r="D35" s="432">
        <v>100</v>
      </c>
      <c r="E35" s="2605" t="s">
        <v>3104</v>
      </c>
      <c r="F35" s="432">
        <f>SUMIF(107:107,E35,108:108)-SUMIF(107:107,C35,108:108)+100</f>
        <v>100</v>
      </c>
      <c r="G35" s="2606" t="s">
        <v>3104</v>
      </c>
      <c r="H35" s="432">
        <f>SUMIF(107:107,G35,108:108)-SUMIF(107:107,C35,108:108)+100</f>
        <v>100</v>
      </c>
      <c r="I35" s="2605" t="s">
        <v>3104</v>
      </c>
      <c r="J35" s="432">
        <f>SUMIF(107:107,I35,108:108)-SUMIF(107:107,C35,108:108)+100</f>
        <v>100</v>
      </c>
      <c r="K35" s="423">
        <v>2</v>
      </c>
      <c r="L35" s="1134"/>
      <c r="M35" s="1125"/>
      <c r="N35" s="1125"/>
      <c r="O35" s="1125"/>
      <c r="P35" s="3308"/>
      <c r="Q35" s="2956" t="str">
        <f t="shared" si="8"/>
        <v>建筑品质</v>
      </c>
      <c r="R35" s="770" t="s">
        <v>17</v>
      </c>
      <c r="S35" s="771">
        <f t="shared" si="9"/>
        <v>100</v>
      </c>
      <c r="T35" s="770" t="s">
        <v>17</v>
      </c>
      <c r="U35" s="771">
        <f t="shared" si="10"/>
        <v>100</v>
      </c>
      <c r="V35" s="770" t="s">
        <v>17</v>
      </c>
      <c r="W35" s="771">
        <f t="shared" si="11"/>
        <v>100</v>
      </c>
      <c r="X35" s="2954"/>
      <c r="Y35" s="3272"/>
      <c r="Z35" s="2955" t="str">
        <f t="shared" si="15"/>
        <v>建筑品质</v>
      </c>
      <c r="AA35" s="2957">
        <f t="shared" si="12"/>
        <v>1</v>
      </c>
      <c r="AB35" s="2957">
        <f t="shared" si="13"/>
        <v>1</v>
      </c>
      <c r="AC35" s="2957">
        <f t="shared" si="14"/>
        <v>1</v>
      </c>
    </row>
    <row r="36" spans="1:29" ht="15">
      <c r="A36" s="469"/>
      <c r="B36" s="2953" t="s">
        <v>2558</v>
      </c>
      <c r="C36" s="2605" t="s">
        <v>3106</v>
      </c>
      <c r="D36" s="432">
        <v>100</v>
      </c>
      <c r="E36" s="2605" t="s">
        <v>3106</v>
      </c>
      <c r="F36" s="432">
        <f>SUMIF(109:109,E36,110:110)-SUMIF(109:109,C36,110:110)+100</f>
        <v>100</v>
      </c>
      <c r="G36" s="2606" t="s">
        <v>3106</v>
      </c>
      <c r="H36" s="432">
        <f>SUMIF(109:109,G36,110:110)-SUMIF(109:109,C36,110:110)+100</f>
        <v>100</v>
      </c>
      <c r="I36" s="2605" t="s">
        <v>3106</v>
      </c>
      <c r="J36" s="432">
        <f>SUMIF(109:109,I36,110:110)-SUMIF(109:109,C36,110:110)+100</f>
        <v>100</v>
      </c>
      <c r="K36" s="423">
        <v>2</v>
      </c>
      <c r="L36" s="1134"/>
      <c r="M36" s="1125"/>
      <c r="N36" s="1125"/>
      <c r="O36" s="1125"/>
      <c r="P36" s="3308"/>
      <c r="Q36" s="2956" t="str">
        <f t="shared" si="8"/>
        <v>公共部分装修</v>
      </c>
      <c r="R36" s="770" t="s">
        <v>17</v>
      </c>
      <c r="S36" s="771">
        <f t="shared" si="9"/>
        <v>100</v>
      </c>
      <c r="T36" s="770" t="s">
        <v>17</v>
      </c>
      <c r="U36" s="771">
        <f t="shared" si="10"/>
        <v>100</v>
      </c>
      <c r="V36" s="770" t="s">
        <v>17</v>
      </c>
      <c r="W36" s="771">
        <f t="shared" si="11"/>
        <v>100</v>
      </c>
      <c r="X36" s="2954"/>
      <c r="Y36" s="3272"/>
      <c r="Z36" s="2955" t="str">
        <f t="shared" si="15"/>
        <v>公共部分装修</v>
      </c>
      <c r="AA36" s="2957">
        <f t="shared" si="12"/>
        <v>1</v>
      </c>
      <c r="AB36" s="2957">
        <f t="shared" si="13"/>
        <v>1</v>
      </c>
      <c r="AC36" s="2957">
        <f t="shared" si="14"/>
        <v>1</v>
      </c>
    </row>
    <row r="37" spans="1:29" s="116" customFormat="1" ht="15">
      <c r="A37" s="470"/>
      <c r="B37" s="2953" t="s">
        <v>2559</v>
      </c>
      <c r="C37" s="471">
        <v>1</v>
      </c>
      <c r="D37" s="133">
        <v>100</v>
      </c>
      <c r="E37" s="471">
        <v>1</v>
      </c>
      <c r="F37" s="133">
        <f>LOOKUP(E37,112:112,113:113)-LOOKUP(C37,112:112,113:113)+100</f>
        <v>100</v>
      </c>
      <c r="G37" s="2978">
        <v>1</v>
      </c>
      <c r="H37" s="133">
        <f>LOOKUP(G37,112:112,113:113)-LOOKUP(C37,112:112,113:113)+100</f>
        <v>100</v>
      </c>
      <c r="I37" s="471">
        <v>1</v>
      </c>
      <c r="J37" s="133">
        <f>LOOKUP(I37,112:112,113:113)-LOOKUP(C37,112:112,113:113)+100</f>
        <v>100</v>
      </c>
      <c r="K37" s="423">
        <v>2</v>
      </c>
      <c r="L37" s="1126"/>
      <c r="M37" s="1127"/>
      <c r="N37" s="1127"/>
      <c r="O37" s="1127"/>
      <c r="P37" s="3308"/>
      <c r="Q37" s="2951" t="str">
        <f t="shared" si="8"/>
        <v>成新度</v>
      </c>
      <c r="R37" s="766" t="s">
        <v>17</v>
      </c>
      <c r="S37" s="767">
        <f t="shared" si="9"/>
        <v>100</v>
      </c>
      <c r="T37" s="766" t="s">
        <v>17</v>
      </c>
      <c r="U37" s="767">
        <f t="shared" si="10"/>
        <v>100</v>
      </c>
      <c r="V37" s="766" t="s">
        <v>17</v>
      </c>
      <c r="W37" s="767">
        <f t="shared" si="11"/>
        <v>100</v>
      </c>
      <c r="X37" s="768"/>
      <c r="Y37" s="3272"/>
      <c r="Z37" s="2952" t="str">
        <f t="shared" si="15"/>
        <v>成新度</v>
      </c>
      <c r="AA37" s="769">
        <f t="shared" si="12"/>
        <v>1</v>
      </c>
      <c r="AB37" s="769">
        <f t="shared" si="13"/>
        <v>1</v>
      </c>
      <c r="AC37" s="769">
        <f t="shared" si="14"/>
        <v>1</v>
      </c>
    </row>
    <row r="38" spans="1:29" ht="15">
      <c r="A38" s="469"/>
      <c r="B38" s="2953" t="s">
        <v>2560</v>
      </c>
      <c r="C38" s="2605" t="s">
        <v>3108</v>
      </c>
      <c r="D38" s="432">
        <v>100</v>
      </c>
      <c r="E38" s="2605" t="s">
        <v>3108</v>
      </c>
      <c r="F38" s="432">
        <f>SUMIF(114:114,E38,115:115)-SUMIF(114:114,C38,115:115)+100</f>
        <v>100</v>
      </c>
      <c r="G38" s="2606" t="s">
        <v>3108</v>
      </c>
      <c r="H38" s="432">
        <f>SUMIF(114:114,G38,115:115)-SUMIF(114:114,C38,115:115)+100</f>
        <v>100</v>
      </c>
      <c r="I38" s="2605" t="s">
        <v>3108</v>
      </c>
      <c r="J38" s="432">
        <f>SUMIF(114:114,I38,115:115)-SUMIF(114:114,C38,115:115)+100</f>
        <v>100</v>
      </c>
      <c r="K38" s="423">
        <v>2</v>
      </c>
      <c r="L38" s="1134"/>
      <c r="M38" s="1125"/>
      <c r="N38" s="1125"/>
      <c r="O38" s="1125"/>
      <c r="P38" s="3308" t="s">
        <v>2554</v>
      </c>
      <c r="Q38" s="2956" t="str">
        <f t="shared" si="8"/>
        <v>物业管理</v>
      </c>
      <c r="R38" s="770" t="s">
        <v>17</v>
      </c>
      <c r="S38" s="771">
        <f t="shared" si="9"/>
        <v>100</v>
      </c>
      <c r="T38" s="770" t="s">
        <v>17</v>
      </c>
      <c r="U38" s="771">
        <f t="shared" si="10"/>
        <v>100</v>
      </c>
      <c r="V38" s="770" t="s">
        <v>17</v>
      </c>
      <c r="W38" s="771">
        <f t="shared" si="11"/>
        <v>100</v>
      </c>
      <c r="X38" s="2954"/>
      <c r="Y38" s="3272" t="s">
        <v>2554</v>
      </c>
      <c r="Z38" s="2955" t="str">
        <f t="shared" si="15"/>
        <v>物业管理</v>
      </c>
      <c r="AA38" s="2957">
        <f t="shared" si="12"/>
        <v>1</v>
      </c>
      <c r="AB38" s="2957">
        <f t="shared" si="13"/>
        <v>1</v>
      </c>
      <c r="AC38" s="2957">
        <f t="shared" si="14"/>
        <v>1</v>
      </c>
    </row>
    <row r="39" spans="1:29" ht="15">
      <c r="A39" s="469"/>
      <c r="B39" s="2953" t="s">
        <v>2561</v>
      </c>
      <c r="C39" s="2605" t="s">
        <v>3099</v>
      </c>
      <c r="D39" s="432">
        <v>100</v>
      </c>
      <c r="E39" s="2605" t="s">
        <v>3099</v>
      </c>
      <c r="F39" s="432">
        <f>SUMIF(116:116,E39,117:117)-SUMIF(116:116,C39,117:117)+100</f>
        <v>100</v>
      </c>
      <c r="G39" s="2606" t="s">
        <v>3099</v>
      </c>
      <c r="H39" s="432">
        <f>SUMIF(116:116,G39,117:117)-SUMIF(116:116,C39,117:117)+100</f>
        <v>100</v>
      </c>
      <c r="I39" s="2605" t="s">
        <v>3099</v>
      </c>
      <c r="J39" s="432">
        <f>SUMIF(116:116,I39,117:117)-SUMIF(116:116,C39,117:117)+100</f>
        <v>100</v>
      </c>
      <c r="K39" s="423">
        <v>2</v>
      </c>
      <c r="L39" s="1134"/>
      <c r="M39" s="1125"/>
      <c r="N39" s="1125"/>
      <c r="O39" s="1125"/>
      <c r="P39" s="3308"/>
      <c r="Q39" s="2956" t="str">
        <f t="shared" si="8"/>
        <v>市政基础设施</v>
      </c>
      <c r="R39" s="770" t="s">
        <v>17</v>
      </c>
      <c r="S39" s="771">
        <f t="shared" si="9"/>
        <v>100</v>
      </c>
      <c r="T39" s="770" t="s">
        <v>17</v>
      </c>
      <c r="U39" s="771">
        <f t="shared" si="10"/>
        <v>100</v>
      </c>
      <c r="V39" s="770" t="s">
        <v>17</v>
      </c>
      <c r="W39" s="771">
        <f t="shared" si="11"/>
        <v>100</v>
      </c>
      <c r="X39" s="2954"/>
      <c r="Y39" s="3272"/>
      <c r="Z39" s="2955" t="str">
        <f t="shared" si="15"/>
        <v>市政基础设施</v>
      </c>
      <c r="AA39" s="2957">
        <f t="shared" si="12"/>
        <v>1</v>
      </c>
      <c r="AB39" s="2957">
        <f t="shared" si="13"/>
        <v>1</v>
      </c>
      <c r="AC39" s="2957">
        <f t="shared" si="14"/>
        <v>1</v>
      </c>
    </row>
    <row r="40" spans="1:29" ht="15">
      <c r="A40" s="469"/>
      <c r="B40" s="2953" t="s">
        <v>2562</v>
      </c>
      <c r="C40" s="2605" t="s">
        <v>3111</v>
      </c>
      <c r="D40" s="432">
        <v>100</v>
      </c>
      <c r="E40" s="2605" t="s">
        <v>3111</v>
      </c>
      <c r="F40" s="432">
        <f>SUMIF(118:118,E40,119:119)-SUMIF(118:118,C40,119:119)+100</f>
        <v>100</v>
      </c>
      <c r="G40" s="2606" t="s">
        <v>3111</v>
      </c>
      <c r="H40" s="432">
        <f>SUMIF(118:118,G40,119:119)-SUMIF(118:118,C40,119:119)+100</f>
        <v>100</v>
      </c>
      <c r="I40" s="2605" t="s">
        <v>3111</v>
      </c>
      <c r="J40" s="432">
        <f>SUMIF(118:118,I40,119:119)-SUMIF(118:118,C40,119:119)+100</f>
        <v>100</v>
      </c>
      <c r="K40" s="423">
        <v>2</v>
      </c>
      <c r="L40" s="1134"/>
      <c r="M40" s="1125"/>
      <c r="N40" s="1125"/>
      <c r="O40" s="1125"/>
      <c r="P40" s="3308"/>
      <c r="Q40" s="2956" t="str">
        <f t="shared" si="8"/>
        <v>房型</v>
      </c>
      <c r="R40" s="770" t="s">
        <v>17</v>
      </c>
      <c r="S40" s="771">
        <f t="shared" si="9"/>
        <v>100</v>
      </c>
      <c r="T40" s="770" t="s">
        <v>17</v>
      </c>
      <c r="U40" s="771">
        <f t="shared" si="10"/>
        <v>100</v>
      </c>
      <c r="V40" s="770" t="s">
        <v>17</v>
      </c>
      <c r="W40" s="771">
        <f t="shared" si="11"/>
        <v>100</v>
      </c>
      <c r="X40" s="2954"/>
      <c r="Y40" s="3272"/>
      <c r="Z40" s="2955" t="str">
        <f t="shared" si="15"/>
        <v>房型</v>
      </c>
      <c r="AA40" s="2957">
        <f t="shared" si="12"/>
        <v>1</v>
      </c>
      <c r="AB40" s="2957">
        <f t="shared" si="13"/>
        <v>1</v>
      </c>
      <c r="AC40" s="2957">
        <f t="shared" si="14"/>
        <v>1</v>
      </c>
    </row>
    <row r="41" spans="1:29" s="468" customFormat="1" ht="28.5">
      <c r="A41" s="465"/>
      <c r="B41" s="2953" t="s">
        <v>2563</v>
      </c>
      <c r="C41" s="466"/>
      <c r="D41" s="133">
        <v>100</v>
      </c>
      <c r="E41" s="466"/>
      <c r="F41" s="133">
        <f>SUMIF(120:120,E41,121:121)-SUMIF(120:120,C41,121:121)+100</f>
        <v>100</v>
      </c>
      <c r="G41" s="2682"/>
      <c r="H41" s="133">
        <f>SUMIF(120:120,G41,121:121)-SUMIF(120:120,C41,121:121)+100</f>
        <v>100</v>
      </c>
      <c r="I41" s="466"/>
      <c r="J41" s="432">
        <f>SUMIF(120:120,I41,121:121)-SUMIF(120:120,C41,121:121)+100</f>
        <v>100</v>
      </c>
      <c r="K41" s="2593"/>
      <c r="L41" s="1132"/>
      <c r="M41" s="1135"/>
      <c r="N41" s="1135"/>
      <c r="O41" s="1135"/>
      <c r="P41" s="3308"/>
      <c r="Q41" s="772" t="str">
        <f t="shared" si="8"/>
        <v>单套/主力户型建筑面积</v>
      </c>
      <c r="R41" s="773" t="s">
        <v>17</v>
      </c>
      <c r="S41" s="774">
        <f t="shared" si="9"/>
        <v>100</v>
      </c>
      <c r="T41" s="773" t="s">
        <v>17</v>
      </c>
      <c r="U41" s="774">
        <f t="shared" si="10"/>
        <v>100</v>
      </c>
      <c r="V41" s="773" t="s">
        <v>17</v>
      </c>
      <c r="W41" s="774">
        <f t="shared" si="11"/>
        <v>100</v>
      </c>
      <c r="X41" s="775"/>
      <c r="Y41" s="3272"/>
      <c r="Z41" s="776" t="str">
        <f t="shared" si="15"/>
        <v>单套/主力户型建筑面积</v>
      </c>
      <c r="AA41" s="2957">
        <f t="shared" si="12"/>
        <v>1</v>
      </c>
      <c r="AB41" s="2957">
        <f t="shared" si="13"/>
        <v>1</v>
      </c>
      <c r="AC41" s="2957">
        <f t="shared" si="14"/>
        <v>1</v>
      </c>
    </row>
    <row r="42" spans="1:29" ht="15">
      <c r="A42" s="469"/>
      <c r="B42" s="2953" t="s">
        <v>2564</v>
      </c>
      <c r="C42" s="2605" t="s">
        <v>3670</v>
      </c>
      <c r="D42" s="432">
        <v>100</v>
      </c>
      <c r="E42" s="2605" t="s">
        <v>3670</v>
      </c>
      <c r="F42" s="432">
        <f>SUMIF(122:122,E42,123:123)-SUMIF(122:122,C42,123:123)+100</f>
        <v>100</v>
      </c>
      <c r="G42" s="2605" t="s">
        <v>3670</v>
      </c>
      <c r="H42" s="432">
        <f>SUMIF(122:122,G42,123:123)-SUMIF(122:122,C42,123:123)+100</f>
        <v>100</v>
      </c>
      <c r="I42" s="2605" t="s">
        <v>3670</v>
      </c>
      <c r="J42" s="432">
        <f>SUMIF(122:122,I42,123:123)-SUMIF(122:122,C42,123:123)+100</f>
        <v>100</v>
      </c>
      <c r="K42" s="423">
        <v>5</v>
      </c>
      <c r="L42" s="1134"/>
      <c r="M42" s="1125"/>
      <c r="N42" s="1125"/>
      <c r="O42" s="1125"/>
      <c r="P42" s="3308"/>
      <c r="Q42" s="2956" t="str">
        <f t="shared" si="8"/>
        <v>内部装修</v>
      </c>
      <c r="R42" s="770" t="s">
        <v>17</v>
      </c>
      <c r="S42" s="771">
        <f t="shared" si="9"/>
        <v>100</v>
      </c>
      <c r="T42" s="770" t="s">
        <v>17</v>
      </c>
      <c r="U42" s="771">
        <f t="shared" si="10"/>
        <v>100</v>
      </c>
      <c r="V42" s="770" t="s">
        <v>17</v>
      </c>
      <c r="W42" s="771">
        <f t="shared" si="11"/>
        <v>100</v>
      </c>
      <c r="X42" s="2954"/>
      <c r="Y42" s="3272"/>
      <c r="Z42" s="2955" t="str">
        <f t="shared" si="15"/>
        <v>内部装修</v>
      </c>
      <c r="AA42" s="2957">
        <f t="shared" si="12"/>
        <v>1</v>
      </c>
      <c r="AB42" s="2957">
        <f t="shared" si="13"/>
        <v>1</v>
      </c>
      <c r="AC42" s="2957">
        <f t="shared" si="14"/>
        <v>1</v>
      </c>
    </row>
    <row r="43" spans="1:29" ht="15">
      <c r="A43" s="469"/>
      <c r="B43" s="2953" t="s">
        <v>2565</v>
      </c>
      <c r="C43" s="2605" t="s">
        <v>3100</v>
      </c>
      <c r="D43" s="432">
        <v>100</v>
      </c>
      <c r="E43" s="2605" t="s">
        <v>3100</v>
      </c>
      <c r="F43" s="432">
        <f>SUMIF(124:124,E43,125:125)-SUMIF(124:124,C43,125:125)+100</f>
        <v>100</v>
      </c>
      <c r="G43" s="2606" t="s">
        <v>3100</v>
      </c>
      <c r="H43" s="432">
        <f>SUMIF(124:124,G43,125:125)-SUMIF(124:124,C43,125:125)+100</f>
        <v>100</v>
      </c>
      <c r="I43" s="2605" t="s">
        <v>3100</v>
      </c>
      <c r="J43" s="432">
        <f>SUMIF(124:124,I43,125:125)-SUMIF(124:124,C43,125:125)+100</f>
        <v>100</v>
      </c>
      <c r="K43" s="423">
        <v>2</v>
      </c>
      <c r="L43" s="1134"/>
      <c r="M43" s="1125"/>
      <c r="N43" s="1125"/>
      <c r="O43" s="1125"/>
      <c r="P43" s="3308"/>
      <c r="Q43" s="2956" t="str">
        <f t="shared" si="8"/>
        <v>内部装修维护情况</v>
      </c>
      <c r="R43" s="770" t="s">
        <v>17</v>
      </c>
      <c r="S43" s="771">
        <f t="shared" si="9"/>
        <v>100</v>
      </c>
      <c r="T43" s="770" t="s">
        <v>17</v>
      </c>
      <c r="U43" s="771">
        <f t="shared" si="10"/>
        <v>100</v>
      </c>
      <c r="V43" s="770" t="s">
        <v>17</v>
      </c>
      <c r="W43" s="771">
        <f t="shared" si="11"/>
        <v>100</v>
      </c>
      <c r="X43" s="2954"/>
      <c r="Y43" s="3272"/>
      <c r="Z43" s="2955" t="str">
        <f t="shared" si="15"/>
        <v>内部装修维护情况</v>
      </c>
      <c r="AA43" s="2957">
        <f t="shared" si="12"/>
        <v>1</v>
      </c>
      <c r="AB43" s="2957">
        <f t="shared" si="13"/>
        <v>1</v>
      </c>
      <c r="AC43" s="2957">
        <f t="shared" si="14"/>
        <v>1</v>
      </c>
    </row>
    <row r="44" spans="1:29" s="116" customFormat="1" ht="15">
      <c r="A44" s="470"/>
      <c r="B44" s="1380"/>
      <c r="C44" s="466"/>
      <c r="D44" s="133">
        <v>100</v>
      </c>
      <c r="E44" s="466"/>
      <c r="F44" s="133">
        <f>SUMIF(126:126,E44,127:127)-SUMIF(126:126,C44,127:127)+100</f>
        <v>100</v>
      </c>
      <c r="G44" s="2682"/>
      <c r="H44" s="133">
        <f>SUMIF(126:126,G44,127:127)-SUMIF(126:126,C44,127:127)+100</f>
        <v>100</v>
      </c>
      <c r="I44" s="466"/>
      <c r="J44" s="133">
        <f>SUMIF(126:126,I44,127:127)-SUMIF(126:126,C44,127:127)+100</f>
        <v>100</v>
      </c>
      <c r="K44" s="2593"/>
      <c r="L44" s="1126"/>
      <c r="M44" s="1127"/>
      <c r="N44" s="1127"/>
      <c r="O44" s="1127"/>
      <c r="P44" s="3308"/>
      <c r="Q44" s="2951">
        <f t="shared" si="8"/>
        <v>0</v>
      </c>
      <c r="R44" s="766" t="s">
        <v>17</v>
      </c>
      <c r="S44" s="767">
        <f t="shared" si="9"/>
        <v>100</v>
      </c>
      <c r="T44" s="766" t="s">
        <v>17</v>
      </c>
      <c r="U44" s="767">
        <f t="shared" si="10"/>
        <v>100</v>
      </c>
      <c r="V44" s="766" t="s">
        <v>17</v>
      </c>
      <c r="W44" s="767">
        <f t="shared" si="11"/>
        <v>100</v>
      </c>
      <c r="X44" s="768"/>
      <c r="Y44" s="3272"/>
      <c r="Z44" s="2952">
        <f t="shared" si="15"/>
        <v>0</v>
      </c>
      <c r="AA44" s="769">
        <f t="shared" si="12"/>
        <v>1</v>
      </c>
      <c r="AB44" s="769">
        <f t="shared" si="13"/>
        <v>1</v>
      </c>
      <c r="AC44" s="769">
        <f t="shared" si="14"/>
        <v>1</v>
      </c>
    </row>
    <row r="45" spans="1:29" ht="15">
      <c r="A45" s="469"/>
      <c r="B45" s="1380"/>
      <c r="C45" s="431"/>
      <c r="D45" s="432">
        <v>100</v>
      </c>
      <c r="E45" s="431"/>
      <c r="F45" s="432">
        <f>SUMIF(128:128,E45,129:129)-SUMIF(128:128,C45,129:129)+100</f>
        <v>100</v>
      </c>
      <c r="G45" s="2607"/>
      <c r="H45" s="432">
        <f>SUMIF(128:128,G45,129:129)-SUMIF(128:128,C45,129:129)+100</f>
        <v>100</v>
      </c>
      <c r="I45" s="431"/>
      <c r="J45" s="432">
        <f>SUMIF(128:128,I45,129:129)-SUMIF(128:128,C45,129:129)+100</f>
        <v>100</v>
      </c>
      <c r="K45" s="2593"/>
      <c r="L45" s="1134"/>
      <c r="M45" s="1125"/>
      <c r="N45" s="1125"/>
      <c r="O45" s="1125"/>
      <c r="P45" s="3308"/>
      <c r="Q45" s="2956">
        <f t="shared" si="8"/>
        <v>0</v>
      </c>
      <c r="R45" s="770" t="s">
        <v>17</v>
      </c>
      <c r="S45" s="771">
        <f t="shared" si="9"/>
        <v>100</v>
      </c>
      <c r="T45" s="770" t="s">
        <v>17</v>
      </c>
      <c r="U45" s="771">
        <f t="shared" si="10"/>
        <v>100</v>
      </c>
      <c r="V45" s="770" t="s">
        <v>17</v>
      </c>
      <c r="W45" s="771">
        <f t="shared" si="11"/>
        <v>100</v>
      </c>
      <c r="X45" s="2954"/>
      <c r="Y45" s="3272"/>
      <c r="Z45" s="2955">
        <f t="shared" si="15"/>
        <v>0</v>
      </c>
      <c r="AA45" s="2957">
        <f t="shared" si="12"/>
        <v>1</v>
      </c>
      <c r="AB45" s="2957">
        <f t="shared" si="13"/>
        <v>1</v>
      </c>
      <c r="AC45" s="2957">
        <f t="shared" si="14"/>
        <v>1</v>
      </c>
    </row>
    <row r="46" spans="1:29" ht="15.75" thickBot="1">
      <c r="A46" s="475"/>
      <c r="B46" s="2594"/>
      <c r="C46" s="434"/>
      <c r="D46" s="435">
        <v>100</v>
      </c>
      <c r="E46" s="434"/>
      <c r="F46" s="435">
        <f>SUMIF(130:130,E46,131:131)-SUMIF(130:130,C46,131:131)+100</f>
        <v>100</v>
      </c>
      <c r="G46" s="2608"/>
      <c r="H46" s="435">
        <f>SUMIF(130:130,G46,131:131)-SUMIF(130:130,C46,131:131)+100</f>
        <v>100</v>
      </c>
      <c r="I46" s="434"/>
      <c r="J46" s="435">
        <f>SUMIF(130:130,I46,131:131)-SUMIF(130:130,C46,131:131)+100</f>
        <v>100</v>
      </c>
      <c r="K46" s="2593"/>
      <c r="L46" s="1134"/>
      <c r="M46" s="1125"/>
      <c r="N46" s="1125"/>
      <c r="O46" s="1125"/>
      <c r="P46" s="3309"/>
      <c r="Q46" s="2956">
        <f t="shared" si="8"/>
        <v>0</v>
      </c>
      <c r="R46" s="770" t="s">
        <v>17</v>
      </c>
      <c r="S46" s="771">
        <f t="shared" si="9"/>
        <v>100</v>
      </c>
      <c r="T46" s="770" t="s">
        <v>17</v>
      </c>
      <c r="U46" s="771">
        <f t="shared" si="10"/>
        <v>100</v>
      </c>
      <c r="V46" s="770" t="s">
        <v>17</v>
      </c>
      <c r="W46" s="771">
        <f t="shared" si="11"/>
        <v>100</v>
      </c>
      <c r="X46" s="2954"/>
      <c r="Y46" s="3310"/>
      <c r="Z46" s="2955">
        <f t="shared" si="15"/>
        <v>0</v>
      </c>
      <c r="AA46" s="2957">
        <f t="shared" si="12"/>
        <v>1</v>
      </c>
      <c r="AB46" s="2957">
        <f t="shared" si="13"/>
        <v>1</v>
      </c>
      <c r="AC46" s="2957">
        <f t="shared" si="14"/>
        <v>1</v>
      </c>
    </row>
    <row r="47" spans="1:29" ht="15">
      <c r="A47" s="476" t="s">
        <v>2566</v>
      </c>
      <c r="B47" s="477"/>
      <c r="C47" s="1401" t="s">
        <v>1</v>
      </c>
      <c r="D47" s="1402"/>
      <c r="E47" s="1405">
        <v>25000</v>
      </c>
      <c r="F47" s="1406"/>
      <c r="G47" s="1403">
        <v>23400</v>
      </c>
      <c r="H47" s="1406"/>
      <c r="I47" s="1403">
        <v>21550</v>
      </c>
      <c r="J47" s="1406"/>
      <c r="K47" s="2611"/>
      <c r="L47" s="1137"/>
      <c r="M47" s="1138"/>
      <c r="N47" s="1125"/>
      <c r="O47" s="1138"/>
      <c r="P47" s="3267" t="str">
        <f>A47</f>
        <v>成交单价（元/平方米）</v>
      </c>
      <c r="Q47" s="3267"/>
      <c r="R47" s="3311">
        <f>E47</f>
        <v>25000</v>
      </c>
      <c r="S47" s="3311"/>
      <c r="T47" s="3311">
        <f>G47</f>
        <v>23400</v>
      </c>
      <c r="U47" s="3311"/>
      <c r="V47" s="3311">
        <f>I47</f>
        <v>21550</v>
      </c>
      <c r="W47" s="3311"/>
      <c r="X47" s="755"/>
      <c r="Y47" s="777"/>
      <c r="Z47" s="755"/>
      <c r="AA47" s="755"/>
      <c r="AB47" s="755"/>
      <c r="AC47" s="755"/>
    </row>
    <row r="48" spans="1:29" ht="15.75" thickBot="1">
      <c r="A48" s="483" t="s">
        <v>2567</v>
      </c>
      <c r="B48" s="484"/>
      <c r="C48" s="1407">
        <f>R49</f>
        <v>22051</v>
      </c>
      <c r="D48" s="1408"/>
      <c r="E48" s="1407">
        <f>R48</f>
        <v>24113</v>
      </c>
      <c r="F48" s="1408"/>
      <c r="G48" s="1409">
        <f>T48</f>
        <v>22626</v>
      </c>
      <c r="H48" s="1408"/>
      <c r="I48" s="1409">
        <f>V48</f>
        <v>19413</v>
      </c>
      <c r="J48" s="1408"/>
      <c r="K48" s="2612"/>
      <c r="L48" s="1137"/>
      <c r="M48" s="1138"/>
      <c r="N48" s="1138"/>
      <c r="O48" s="1138"/>
      <c r="P48" s="3267" t="str">
        <f>A48</f>
        <v>比较价值（元/平方米）</v>
      </c>
      <c r="Q48" s="3267"/>
      <c r="R48" s="3311">
        <f>IF(F1="售价",ROUND(PRODUCT(R47,AA7:AA46),0),ROUND(PRODUCT(R47,AA7:AA46),1))</f>
        <v>24113</v>
      </c>
      <c r="S48" s="3311"/>
      <c r="T48" s="3311">
        <f>IF(F1="售价",ROUND(PRODUCT(T47,AB7:AB46),0),ROUND(PRODUCT(T47,AB7:AB46),1))</f>
        <v>22626</v>
      </c>
      <c r="U48" s="3311"/>
      <c r="V48" s="3311">
        <f>IF(F1="售价",ROUND(PRODUCT(V47,AC7:AC46),0),ROUND(PRODUCT(V47,AC7:AC46),1))</f>
        <v>19413</v>
      </c>
      <c r="W48" s="3311"/>
      <c r="X48" s="755"/>
      <c r="Y48" s="755"/>
      <c r="Z48" s="755"/>
      <c r="AA48" s="755"/>
      <c r="AB48" s="755"/>
      <c r="AC48" s="755"/>
    </row>
    <row r="49" spans="1:29" ht="15.75" thickBot="1">
      <c r="A49" s="489" t="s">
        <v>2568</v>
      </c>
      <c r="B49" s="490"/>
      <c r="C49" s="1410">
        <f>R49</f>
        <v>22051</v>
      </c>
      <c r="D49" s="1411"/>
      <c r="E49" s="1411"/>
      <c r="F49" s="1411"/>
      <c r="G49" s="1411"/>
      <c r="H49" s="1411"/>
      <c r="I49" s="1411"/>
      <c r="J49" s="1411"/>
      <c r="K49" s="2613"/>
      <c r="L49" s="1137"/>
      <c r="M49" s="1138"/>
      <c r="N49" s="1138"/>
      <c r="O49" s="1138"/>
      <c r="P49" s="3261" t="str">
        <f>A49</f>
        <v>估价对象XX用房的比较价值（楼面单价，元/平方米）</v>
      </c>
      <c r="Q49" s="3262"/>
      <c r="R49" s="3312">
        <f>IF(F1="售价",ROUND(AVERAGE(R48:V48),0),ROUND(AVERAGE(R48:V48),1))</f>
        <v>22051</v>
      </c>
      <c r="S49" s="3312"/>
      <c r="T49" s="3312"/>
      <c r="U49" s="3312"/>
      <c r="V49" s="3312"/>
      <c r="W49" s="3312"/>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row>
    <row r="51" spans="1:29" hidden="1">
      <c r="A51" s="1138"/>
      <c r="B51" s="1138"/>
      <c r="C51" s="1138"/>
      <c r="D51" s="1138"/>
      <c r="E51" s="1138"/>
      <c r="F51" s="1138"/>
      <c r="G51" s="1138"/>
      <c r="H51" s="1138"/>
      <c r="I51" s="1138"/>
      <c r="J51" s="1138"/>
      <c r="K51" s="1099"/>
      <c r="L51" s="1100"/>
      <c r="M51" s="1138"/>
      <c r="N51" s="1138"/>
      <c r="O51" s="1138"/>
    </row>
    <row r="52" spans="1:29" ht="13.5" hidden="1" customHeight="1">
      <c r="A52" s="1138"/>
      <c r="B52" s="1138"/>
      <c r="C52" s="494" t="s">
        <v>2569</v>
      </c>
      <c r="D52" s="495"/>
      <c r="E52" s="496">
        <f>IF(E47&lt;E48,E48/E47-1,E47/E48-1)</f>
        <v>3.6785136648280981E-2</v>
      </c>
      <c r="F52" s="497" t="str">
        <f>IF(OR(E52&gt;=0.3,E52&lt;=-0.3),"超过30%","")</f>
        <v/>
      </c>
      <c r="G52" s="496">
        <f>IF(G47&lt;G48,G48/G47-1,G47/G48-1)</f>
        <v>3.4208432776451803E-2</v>
      </c>
      <c r="H52" s="497" t="str">
        <f>IF(OR(G52&gt;=0.3,G52&lt;=-0.3),"超过30%","")</f>
        <v/>
      </c>
      <c r="I52" s="496">
        <f>IF(I47&lt;I48,I48/I47-1,I47/I48-1)</f>
        <v>0.11008087364137431</v>
      </c>
      <c r="J52" s="497" t="str">
        <f>IF(OR(I52&gt;=0.3,I52&lt;=-0.3),"超过30%","")</f>
        <v/>
      </c>
      <c r="K52" s="1099"/>
      <c r="L52" s="1100"/>
      <c r="M52" s="1138"/>
      <c r="N52" s="1138"/>
      <c r="O52" s="1138"/>
    </row>
    <row r="53" spans="1:29" ht="13.5" hidden="1" customHeight="1">
      <c r="A53" s="1138"/>
      <c r="B53" s="1138"/>
      <c r="C53" s="494" t="s">
        <v>2570</v>
      </c>
      <c r="D53" s="498"/>
      <c r="E53" s="496">
        <f>IF(E48&lt;G48,G48/E48-1,E48/G48-1)</f>
        <v>6.5720852117033601E-2</v>
      </c>
      <c r="F53" s="497" t="str">
        <f>IF(OR(E53&gt;=0.2,E53&lt;=-0.2),"超过20%","")</f>
        <v/>
      </c>
      <c r="G53" s="496">
        <f>IF(G48&lt;I48,I48/G48-1,G48/I48-1)</f>
        <v>0.16550764951321284</v>
      </c>
      <c r="H53" s="497" t="str">
        <f>IF(OR(G53&gt;=0.2,G53&lt;=-0.2),"超过20%","")</f>
        <v/>
      </c>
      <c r="I53" s="496">
        <f>IF(I48&lt;E48,E48/I48-1,I48/E48-1)</f>
        <v>0.24210580538814197</v>
      </c>
      <c r="J53" s="497" t="str">
        <f>IF(OR(I53&gt;=0.2,I53&lt;=-0.2),"超过20%","")</f>
        <v>超过20%</v>
      </c>
      <c r="K53" s="1099"/>
      <c r="L53" s="1100"/>
      <c r="M53" s="1138"/>
      <c r="N53" s="1138"/>
      <c r="O53" s="1138"/>
    </row>
    <row r="54" spans="1:29" s="499" customFormat="1" ht="13.5" hidden="1" customHeight="1">
      <c r="A54" s="1139"/>
      <c r="B54" s="1139"/>
      <c r="C54" s="494" t="s">
        <v>2571</v>
      </c>
      <c r="D54" s="498"/>
      <c r="E54" s="496">
        <f>IF(E47&lt;G47,G47/E47-1,E47/G47-1)</f>
        <v>6.8376068376068355E-2</v>
      </c>
      <c r="F54" s="497" t="str">
        <f>IF(OR(E54&gt;=0.3,E54&lt;=-0.3),"超过30%","")</f>
        <v/>
      </c>
      <c r="G54" s="496">
        <f>IF(G47&lt;I47,I47/G47-1,G47/I47-1)</f>
        <v>8.5846867749419964E-2</v>
      </c>
      <c r="H54" s="497" t="str">
        <f>IF(OR(G54&gt;=0.3,G54&lt;=-0.3),"超过30%","")</f>
        <v/>
      </c>
      <c r="I54" s="496">
        <f>IF(I47&lt;E47,E47/I47-1,I47/E47-1)</f>
        <v>0.16009280742459397</v>
      </c>
      <c r="J54" s="497" t="str">
        <f>IF(OR(I54&gt;=0.3,I54&lt;=-0.3),"超过30%","")</f>
        <v/>
      </c>
      <c r="K54" s="1142"/>
      <c r="L54" s="1143"/>
      <c r="M54" s="1139"/>
      <c r="N54" s="1139"/>
      <c r="O54" s="1139"/>
      <c r="P54" s="2615"/>
    </row>
    <row r="55" spans="1:29" s="499" customFormat="1" hidden="1">
      <c r="A55" s="1139"/>
      <c r="B55" s="1140"/>
      <c r="C55" s="1144"/>
      <c r="D55" s="1139"/>
      <c r="E55" s="1139"/>
      <c r="F55" s="1139"/>
      <c r="G55" s="1139"/>
      <c r="H55" s="1139"/>
      <c r="I55" s="1139"/>
      <c r="J55" s="1139"/>
      <c r="K55" s="1142"/>
      <c r="L55" s="1143"/>
      <c r="M55" s="1139"/>
      <c r="N55" s="1139"/>
      <c r="O55" s="1139"/>
      <c r="P55" s="2615"/>
    </row>
    <row r="56" spans="1:29" hidden="1">
      <c r="A56" s="1138"/>
      <c r="B56" s="1140"/>
      <c r="C56" s="1144"/>
      <c r="D56" s="1138"/>
      <c r="E56" s="1138"/>
      <c r="F56" s="1138"/>
      <c r="G56" s="1138"/>
      <c r="H56" s="1138"/>
      <c r="I56" s="1138"/>
      <c r="J56" s="1138"/>
      <c r="K56" s="1099"/>
      <c r="L56" s="1100"/>
      <c r="M56" s="1138"/>
      <c r="N56" s="1138"/>
      <c r="O56" s="1138"/>
    </row>
    <row r="57" spans="1:29" ht="21.75" hidden="1" thickBot="1">
      <c r="A57" s="759" t="s">
        <v>2572</v>
      </c>
      <c r="B57" s="755"/>
      <c r="C57" s="760"/>
      <c r="D57" s="760"/>
      <c r="E57" s="760"/>
      <c r="F57" s="761"/>
      <c r="G57" s="761"/>
      <c r="H57" s="760"/>
      <c r="I57" s="760"/>
      <c r="J57" s="760"/>
      <c r="K57" s="1154"/>
      <c r="L57" s="1155"/>
      <c r="M57" s="1153"/>
      <c r="N57" s="1153"/>
      <c r="O57" s="1153"/>
      <c r="P57" s="2616"/>
      <c r="Q57" s="501"/>
    </row>
    <row r="58" spans="1:29" s="505" customFormat="1" ht="15" hidden="1">
      <c r="A58" s="502" t="s">
        <v>2537</v>
      </c>
      <c r="B58" s="503"/>
      <c r="C58" s="1569" t="str">
        <f>YEAR(C7)&amp;"-"&amp;MONTH(C7)</f>
        <v>2019-11</v>
      </c>
      <c r="D58" s="1568">
        <f>EDATE(C58,-1)</f>
        <v>43739</v>
      </c>
      <c r="E58" s="1568">
        <f>EDATE(D58,-1)</f>
        <v>43709</v>
      </c>
      <c r="F58" s="1568">
        <f t="shared" ref="F58:O58" si="16">EDATE(E58,-1)</f>
        <v>43678</v>
      </c>
      <c r="G58" s="1568">
        <f t="shared" si="16"/>
        <v>43647</v>
      </c>
      <c r="H58" s="1568">
        <f t="shared" si="16"/>
        <v>43617</v>
      </c>
      <c r="I58" s="1568">
        <f t="shared" si="16"/>
        <v>43586</v>
      </c>
      <c r="J58" s="1568">
        <f t="shared" si="16"/>
        <v>43556</v>
      </c>
      <c r="K58" s="1568">
        <f t="shared" si="16"/>
        <v>43525</v>
      </c>
      <c r="L58" s="1568">
        <f t="shared" si="16"/>
        <v>43497</v>
      </c>
      <c r="M58" s="1568">
        <f t="shared" si="16"/>
        <v>43466</v>
      </c>
      <c r="N58" s="1568">
        <f t="shared" si="16"/>
        <v>43435</v>
      </c>
      <c r="O58" s="1568">
        <f t="shared" si="16"/>
        <v>43405</v>
      </c>
      <c r="P58" s="1563"/>
    </row>
    <row r="59" spans="1:29" s="116" customFormat="1" ht="15" hidden="1">
      <c r="A59" s="506"/>
      <c r="B59" s="2617"/>
      <c r="C59" s="1566">
        <v>100</v>
      </c>
      <c r="D59" s="508"/>
      <c r="E59" s="509"/>
      <c r="F59" s="509"/>
      <c r="G59" s="509"/>
      <c r="H59" s="509"/>
      <c r="I59" s="509"/>
      <c r="J59" s="509"/>
      <c r="K59" s="509"/>
      <c r="L59" s="509"/>
      <c r="M59" s="510"/>
      <c r="N59" s="509"/>
      <c r="O59" s="510"/>
      <c r="P59" s="2618"/>
    </row>
    <row r="60" spans="1:29" s="116" customFormat="1" ht="15.75" hidden="1" thickBot="1">
      <c r="A60" s="512" t="s">
        <v>2574</v>
      </c>
      <c r="B60" s="513"/>
      <c r="C60" s="514"/>
      <c r="D60" s="515"/>
      <c r="E60" s="515"/>
      <c r="F60" s="515"/>
      <c r="G60" s="515"/>
      <c r="H60" s="515"/>
      <c r="I60" s="515"/>
      <c r="J60" s="515"/>
      <c r="K60" s="515"/>
      <c r="L60" s="515"/>
      <c r="M60" s="516"/>
      <c r="N60" s="515"/>
      <c r="O60" s="516"/>
      <c r="P60" s="2618"/>
      <c r="Q60" s="501"/>
    </row>
    <row r="61" spans="1:29" s="116" customFormat="1" ht="15" hidden="1">
      <c r="A61" s="518" t="s">
        <v>2539</v>
      </c>
      <c r="B61" s="507"/>
      <c r="C61" s="519" t="s">
        <v>2576</v>
      </c>
      <c r="D61" s="520"/>
      <c r="E61" s="520"/>
      <c r="F61" s="520"/>
      <c r="G61" s="520"/>
      <c r="H61" s="520"/>
      <c r="I61" s="520"/>
      <c r="J61" s="520"/>
      <c r="K61" s="520"/>
      <c r="L61" s="521"/>
      <c r="M61" s="522"/>
      <c r="N61" s="1145"/>
      <c r="O61" s="1145"/>
      <c r="P61" s="2619"/>
      <c r="Q61" s="501"/>
    </row>
    <row r="62" spans="1:29" s="116" customFormat="1" ht="15.75" hidden="1" thickBot="1">
      <c r="A62" s="518"/>
      <c r="B62" s="507"/>
      <c r="C62" s="508">
        <v>100</v>
      </c>
      <c r="D62" s="509"/>
      <c r="E62" s="509"/>
      <c r="F62" s="509"/>
      <c r="G62" s="509"/>
      <c r="H62" s="509"/>
      <c r="I62" s="509"/>
      <c r="J62" s="509"/>
      <c r="K62" s="509"/>
      <c r="L62" s="509"/>
      <c r="M62" s="511"/>
      <c r="N62" s="1145"/>
      <c r="O62" s="1145"/>
      <c r="P62" s="2618"/>
      <c r="Q62" s="501"/>
    </row>
    <row r="63" spans="1:29" hidden="1">
      <c r="A63" s="524" t="s">
        <v>2577</v>
      </c>
      <c r="B63" s="525" t="s">
        <v>2543</v>
      </c>
      <c r="C63" s="526" t="str">
        <f>C9</f>
        <v>住宅</v>
      </c>
      <c r="D63" s="527"/>
      <c r="E63" s="527"/>
      <c r="F63" s="527"/>
      <c r="G63" s="527"/>
      <c r="H63" s="527"/>
      <c r="I63" s="527"/>
      <c r="J63" s="527"/>
      <c r="K63" s="528"/>
      <c r="L63" s="529"/>
      <c r="M63" s="530"/>
      <c r="N63" s="1146"/>
      <c r="O63" s="1146"/>
      <c r="P63" s="2620"/>
      <c r="Q63" s="501"/>
    </row>
    <row r="64" spans="1:29" ht="15.75" hidden="1" thickBot="1">
      <c r="A64" s="531"/>
      <c r="B64" s="532"/>
      <c r="C64" s="533">
        <v>100</v>
      </c>
      <c r="D64" s="533"/>
      <c r="E64" s="533"/>
      <c r="F64" s="533"/>
      <c r="G64" s="533"/>
      <c r="H64" s="533"/>
      <c r="I64" s="533"/>
      <c r="J64" s="533"/>
      <c r="K64" s="533"/>
      <c r="L64" s="533"/>
      <c r="M64" s="534"/>
      <c r="N64" s="1147"/>
      <c r="O64" s="1147"/>
      <c r="P64" s="2620"/>
      <c r="Q64" s="501"/>
    </row>
    <row r="65" spans="1:17" ht="27.75" hidden="1" thickTop="1">
      <c r="A65" s="531"/>
      <c r="B65" s="535" t="s">
        <v>2546</v>
      </c>
      <c r="C65" s="536" t="s">
        <v>2578</v>
      </c>
      <c r="D65" s="536" t="s">
        <v>2579</v>
      </c>
      <c r="E65" s="536" t="s">
        <v>2580</v>
      </c>
      <c r="F65" s="536" t="s">
        <v>2581</v>
      </c>
      <c r="G65" s="536" t="s">
        <v>2582</v>
      </c>
      <c r="H65" s="536" t="s">
        <v>2583</v>
      </c>
      <c r="I65" s="536" t="s">
        <v>2584</v>
      </c>
      <c r="J65" s="536"/>
      <c r="K65" s="537"/>
      <c r="L65" s="538"/>
      <c r="M65" s="539"/>
      <c r="N65" s="1146"/>
      <c r="O65" s="1146"/>
      <c r="P65" s="2620"/>
      <c r="Q65" s="501"/>
    </row>
    <row r="66" spans="1:17" ht="15.75" hidden="1" thickBot="1">
      <c r="A66" s="531"/>
      <c r="B66" s="540"/>
      <c r="C66" s="541">
        <v>100</v>
      </c>
      <c r="D66" s="541">
        <f t="shared" ref="D66:I66" si="17">C66-$K10</f>
        <v>98</v>
      </c>
      <c r="E66" s="541">
        <f t="shared" si="17"/>
        <v>96</v>
      </c>
      <c r="F66" s="541">
        <f t="shared" si="17"/>
        <v>94</v>
      </c>
      <c r="G66" s="541">
        <f t="shared" si="17"/>
        <v>92</v>
      </c>
      <c r="H66" s="541">
        <f t="shared" si="17"/>
        <v>90</v>
      </c>
      <c r="I66" s="541">
        <f t="shared" si="17"/>
        <v>88</v>
      </c>
      <c r="J66" s="541"/>
      <c r="K66" s="541"/>
      <c r="L66" s="541"/>
      <c r="M66" s="542"/>
      <c r="N66" s="1147"/>
      <c r="O66" s="1147"/>
      <c r="P66" s="2620"/>
      <c r="Q66" s="501"/>
    </row>
    <row r="67" spans="1:17" ht="15.75" hidden="1" thickTop="1">
      <c r="A67" s="531"/>
      <c r="B67" s="543" t="s">
        <v>2547</v>
      </c>
      <c r="C67" s="544" t="str">
        <f>C68&amp;"（含）"&amp;"-"&amp;D68</f>
        <v>0（含）-1</v>
      </c>
      <c r="D67" s="544" t="str">
        <f t="shared" ref="D67:L67" si="18">D68&amp;"（含）"&amp;"-"&amp;E68</f>
        <v>1（含）-2</v>
      </c>
      <c r="E67" s="544" t="str">
        <f t="shared" si="18"/>
        <v>2（含）-3</v>
      </c>
      <c r="F67" s="544" t="str">
        <f t="shared" si="18"/>
        <v>3（含）-</v>
      </c>
      <c r="G67" s="544" t="str">
        <f t="shared" si="18"/>
        <v>（含）-</v>
      </c>
      <c r="H67" s="544" t="str">
        <f t="shared" si="18"/>
        <v>（含）-</v>
      </c>
      <c r="I67" s="544" t="str">
        <f t="shared" si="18"/>
        <v>（含）-</v>
      </c>
      <c r="J67" s="544" t="str">
        <f t="shared" si="18"/>
        <v>（含）-</v>
      </c>
      <c r="K67" s="544" t="str">
        <f>K68&amp;"（含）"&amp;"-"&amp;L68</f>
        <v>（含）-</v>
      </c>
      <c r="L67" s="544" t="str">
        <f t="shared" si="18"/>
        <v>（含）-</v>
      </c>
      <c r="M67" s="445" t="str">
        <f>M68&amp;"（含）"&amp;"-"&amp;P68</f>
        <v>（含）-</v>
      </c>
      <c r="N67" s="1147"/>
      <c r="O67" s="1147"/>
      <c r="P67" s="2620"/>
      <c r="Q67" s="501"/>
    </row>
    <row r="68" spans="1:17" ht="15" hidden="1">
      <c r="A68" s="531"/>
      <c r="B68" s="545"/>
      <c r="C68" s="546">
        <v>0</v>
      </c>
      <c r="D68" s="546">
        <v>1</v>
      </c>
      <c r="E68" s="546">
        <v>2</v>
      </c>
      <c r="F68" s="546">
        <v>3</v>
      </c>
      <c r="G68" s="546"/>
      <c r="H68" s="546"/>
      <c r="I68" s="546"/>
      <c r="J68" s="546"/>
      <c r="K68" s="547"/>
      <c r="L68" s="548"/>
      <c r="M68" s="549"/>
      <c r="N68" s="1146"/>
      <c r="O68" s="1146"/>
      <c r="P68" s="2620"/>
      <c r="Q68" s="501"/>
    </row>
    <row r="69" spans="1:17" ht="15.75" hidden="1" thickBot="1">
      <c r="A69" s="531"/>
      <c r="B69" s="532"/>
      <c r="C69" s="541">
        <v>100</v>
      </c>
      <c r="D69" s="541">
        <f t="shared" ref="D69:M69" si="19">C69-$K11</f>
        <v>98</v>
      </c>
      <c r="E69" s="541">
        <f t="shared" si="19"/>
        <v>96</v>
      </c>
      <c r="F69" s="541">
        <f t="shared" si="19"/>
        <v>94</v>
      </c>
      <c r="G69" s="541">
        <f t="shared" si="19"/>
        <v>92</v>
      </c>
      <c r="H69" s="541">
        <f t="shared" si="19"/>
        <v>90</v>
      </c>
      <c r="I69" s="541">
        <f t="shared" si="19"/>
        <v>88</v>
      </c>
      <c r="J69" s="541">
        <f t="shared" si="19"/>
        <v>86</v>
      </c>
      <c r="K69" s="541">
        <f t="shared" si="19"/>
        <v>84</v>
      </c>
      <c r="L69" s="541">
        <f t="shared" si="19"/>
        <v>82</v>
      </c>
      <c r="M69" s="542">
        <f t="shared" si="19"/>
        <v>80</v>
      </c>
      <c r="N69" s="1147"/>
      <c r="O69" s="1147"/>
      <c r="P69" s="2620"/>
      <c r="Q69" s="501"/>
    </row>
    <row r="70" spans="1:17" s="468" customFormat="1" ht="15.75" hidden="1" thickTop="1">
      <c r="A70" s="550"/>
      <c r="B70" s="535">
        <f>B12</f>
        <v>0</v>
      </c>
      <c r="C70" s="551"/>
      <c r="D70" s="551"/>
      <c r="E70" s="551"/>
      <c r="F70" s="551"/>
      <c r="G70" s="551"/>
      <c r="H70" s="552"/>
      <c r="I70" s="552"/>
      <c r="J70" s="552"/>
      <c r="K70" s="552"/>
      <c r="L70" s="553"/>
      <c r="M70" s="554"/>
      <c r="N70" s="1148"/>
      <c r="O70" s="1148"/>
      <c r="P70" s="2621"/>
      <c r="Q70" s="556"/>
    </row>
    <row r="71" spans="1:17" s="468" customFormat="1" ht="15.75" hidden="1" thickBot="1">
      <c r="A71" s="550"/>
      <c r="B71" s="540"/>
      <c r="C71" s="557"/>
      <c r="D71" s="533"/>
      <c r="E71" s="533"/>
      <c r="F71" s="533"/>
      <c r="G71" s="533"/>
      <c r="H71" s="533"/>
      <c r="I71" s="533"/>
      <c r="J71" s="533"/>
      <c r="K71" s="533"/>
      <c r="L71" s="533"/>
      <c r="M71" s="534"/>
      <c r="N71" s="1147"/>
      <c r="O71" s="1147"/>
      <c r="P71" s="2621"/>
      <c r="Q71" s="556"/>
    </row>
    <row r="72" spans="1:17" s="468" customFormat="1" ht="15.75" hidden="1" thickTop="1">
      <c r="A72" s="550"/>
      <c r="B72" s="535">
        <f>B13</f>
        <v>0</v>
      </c>
      <c r="C72" s="551"/>
      <c r="D72" s="551"/>
      <c r="E72" s="551"/>
      <c r="F72" s="551"/>
      <c r="G72" s="551"/>
      <c r="H72" s="552"/>
      <c r="I72" s="552"/>
      <c r="J72" s="552"/>
      <c r="K72" s="552"/>
      <c r="L72" s="553"/>
      <c r="M72" s="554"/>
      <c r="N72" s="1148"/>
      <c r="O72" s="1148"/>
      <c r="P72" s="2622"/>
      <c r="Q72" s="558"/>
    </row>
    <row r="73" spans="1:17" s="468" customFormat="1" ht="15.75" hidden="1" thickBot="1">
      <c r="A73" s="550"/>
      <c r="B73" s="540"/>
      <c r="C73" s="557"/>
      <c r="D73" s="557"/>
      <c r="E73" s="557"/>
      <c r="F73" s="557"/>
      <c r="G73" s="557"/>
      <c r="H73" s="559"/>
      <c r="I73" s="559"/>
      <c r="J73" s="559"/>
      <c r="K73" s="559"/>
      <c r="L73" s="559"/>
      <c r="M73" s="560"/>
      <c r="N73" s="1148"/>
      <c r="O73" s="1148"/>
      <c r="P73" s="2621"/>
      <c r="Q73" s="556"/>
    </row>
    <row r="74" spans="1:17" s="468" customFormat="1" ht="15.75" hidden="1" thickTop="1">
      <c r="A74" s="550"/>
      <c r="B74" s="543">
        <f>B14</f>
        <v>0</v>
      </c>
      <c r="C74" s="551"/>
      <c r="D74" s="551"/>
      <c r="E74" s="551"/>
      <c r="F74" s="551"/>
      <c r="G74" s="520"/>
      <c r="H74" s="561"/>
      <c r="I74" s="561"/>
      <c r="J74" s="561"/>
      <c r="K74" s="561"/>
      <c r="L74" s="562"/>
      <c r="M74" s="563"/>
      <c r="N74" s="1148"/>
      <c r="O74" s="1148"/>
      <c r="P74" s="2623"/>
      <c r="Q74" s="556"/>
    </row>
    <row r="75" spans="1:17" s="468" customFormat="1" ht="15.75" hidden="1" thickBot="1">
      <c r="A75" s="565"/>
      <c r="B75" s="566"/>
      <c r="C75" s="567"/>
      <c r="D75" s="567"/>
      <c r="E75" s="567"/>
      <c r="F75" s="567"/>
      <c r="G75" s="567"/>
      <c r="H75" s="568"/>
      <c r="I75" s="568"/>
      <c r="J75" s="568"/>
      <c r="K75" s="568"/>
      <c r="L75" s="568"/>
      <c r="M75" s="569"/>
      <c r="N75" s="1148"/>
      <c r="O75" s="1148"/>
      <c r="P75" s="2621"/>
      <c r="Q75" s="556"/>
    </row>
    <row r="76" spans="1:17" hidden="1">
      <c r="A76" s="524" t="s">
        <v>2548</v>
      </c>
      <c r="B76" s="525" t="s">
        <v>2585</v>
      </c>
      <c r="C76" s="570" t="s">
        <v>2586</v>
      </c>
      <c r="D76" s="570" t="s">
        <v>2587</v>
      </c>
      <c r="E76" s="570" t="s">
        <v>2588</v>
      </c>
      <c r="F76" s="570" t="s">
        <v>2589</v>
      </c>
      <c r="G76" s="570" t="s">
        <v>2590</v>
      </c>
      <c r="H76" s="526"/>
      <c r="I76" s="526"/>
      <c r="J76" s="526"/>
      <c r="K76" s="571"/>
      <c r="L76" s="572"/>
      <c r="M76" s="573"/>
      <c r="N76" s="1146"/>
      <c r="O76" s="1146"/>
      <c r="P76" s="2624"/>
      <c r="Q76" s="501"/>
    </row>
    <row r="77" spans="1:17" ht="15.75" hidden="1" thickBot="1">
      <c r="A77" s="531"/>
      <c r="B77" s="540"/>
      <c r="C77" s="541">
        <v>100</v>
      </c>
      <c r="D77" s="541">
        <f>C77-$K15</f>
        <v>97</v>
      </c>
      <c r="E77" s="541">
        <f>D77-$K15</f>
        <v>94</v>
      </c>
      <c r="F77" s="541">
        <f>E77-$K15</f>
        <v>91</v>
      </c>
      <c r="G77" s="541">
        <f>F77-$K15</f>
        <v>88</v>
      </c>
      <c r="H77" s="541"/>
      <c r="I77" s="541"/>
      <c r="J77" s="541"/>
      <c r="K77" s="541"/>
      <c r="L77" s="541"/>
      <c r="M77" s="542"/>
      <c r="N77" s="1147"/>
      <c r="O77" s="1147"/>
      <c r="P77" s="2620"/>
      <c r="Q77" s="501"/>
    </row>
    <row r="78" spans="1:17" ht="15.75" hidden="1" thickTop="1">
      <c r="A78" s="531"/>
      <c r="B78" s="535" t="s">
        <v>2591</v>
      </c>
      <c r="C78" s="575" t="s">
        <v>2586</v>
      </c>
      <c r="D78" s="575" t="s">
        <v>2587</v>
      </c>
      <c r="E78" s="575" t="s">
        <v>2588</v>
      </c>
      <c r="F78" s="575" t="s">
        <v>2589</v>
      </c>
      <c r="G78" s="575" t="s">
        <v>2590</v>
      </c>
      <c r="H78" s="536"/>
      <c r="I78" s="536"/>
      <c r="J78" s="536"/>
      <c r="K78" s="537"/>
      <c r="L78" s="538"/>
      <c r="M78" s="539"/>
      <c r="N78" s="1146"/>
      <c r="O78" s="1146"/>
      <c r="P78" s="2620"/>
      <c r="Q78" s="501"/>
    </row>
    <row r="79" spans="1:17" ht="15.75" hidden="1" thickBot="1">
      <c r="A79" s="531"/>
      <c r="B79" s="540"/>
      <c r="C79" s="541">
        <v>100</v>
      </c>
      <c r="D79" s="541">
        <f>C79-$K17</f>
        <v>95</v>
      </c>
      <c r="E79" s="541">
        <f>D79-$K17</f>
        <v>90</v>
      </c>
      <c r="F79" s="541">
        <f>E79-$K17</f>
        <v>85</v>
      </c>
      <c r="G79" s="541">
        <f>F79-$K17</f>
        <v>80</v>
      </c>
      <c r="H79" s="541"/>
      <c r="I79" s="541"/>
      <c r="J79" s="541"/>
      <c r="K79" s="541"/>
      <c r="L79" s="541"/>
      <c r="M79" s="542"/>
      <c r="N79" s="1147"/>
      <c r="O79" s="1147"/>
      <c r="P79" s="2620"/>
      <c r="Q79" s="501"/>
    </row>
    <row r="80" spans="1:17" ht="15.75" hidden="1" thickTop="1">
      <c r="A80" s="531"/>
      <c r="B80" s="535" t="s">
        <v>2592</v>
      </c>
      <c r="C80" s="575" t="s">
        <v>2586</v>
      </c>
      <c r="D80" s="575" t="s">
        <v>2587</v>
      </c>
      <c r="E80" s="575" t="s">
        <v>2588</v>
      </c>
      <c r="F80" s="575" t="s">
        <v>2589</v>
      </c>
      <c r="G80" s="575" t="s">
        <v>2590</v>
      </c>
      <c r="H80" s="536"/>
      <c r="I80" s="536"/>
      <c r="J80" s="536"/>
      <c r="K80" s="537"/>
      <c r="L80" s="538"/>
      <c r="M80" s="539"/>
      <c r="N80" s="1146"/>
      <c r="O80" s="1146"/>
      <c r="P80" s="2620"/>
      <c r="Q80" s="501"/>
    </row>
    <row r="81" spans="1:17" ht="15.75" hidden="1" thickBot="1">
      <c r="A81" s="531"/>
      <c r="B81" s="540"/>
      <c r="C81" s="541">
        <v>100</v>
      </c>
      <c r="D81" s="541">
        <f>C81-$K19</f>
        <v>97</v>
      </c>
      <c r="E81" s="541">
        <f>D81-$K19</f>
        <v>94</v>
      </c>
      <c r="F81" s="541">
        <f>E81-$K19</f>
        <v>91</v>
      </c>
      <c r="G81" s="541">
        <f>F81-$K19</f>
        <v>88</v>
      </c>
      <c r="H81" s="541"/>
      <c r="I81" s="541"/>
      <c r="J81" s="541"/>
      <c r="K81" s="541"/>
      <c r="L81" s="541"/>
      <c r="M81" s="542"/>
      <c r="N81" s="1147"/>
      <c r="O81" s="1147"/>
      <c r="P81" s="2620"/>
      <c r="Q81" s="501"/>
    </row>
    <row r="82" spans="1:17" ht="15.75" hidden="1" thickTop="1">
      <c r="A82" s="531"/>
      <c r="B82" s="543" t="s">
        <v>2093</v>
      </c>
      <c r="C82" s="536" t="s">
        <v>2593</v>
      </c>
      <c r="D82" s="536" t="s">
        <v>2594</v>
      </c>
      <c r="E82" s="536" t="s">
        <v>2595</v>
      </c>
      <c r="F82" s="536" t="s">
        <v>2596</v>
      </c>
      <c r="G82" s="536" t="s">
        <v>2597</v>
      </c>
      <c r="H82" s="536"/>
      <c r="I82" s="536"/>
      <c r="J82" s="536"/>
      <c r="K82" s="536"/>
      <c r="L82" s="536"/>
      <c r="M82" s="1376"/>
      <c r="N82" s="1147"/>
      <c r="O82" s="1147"/>
      <c r="P82" s="2620"/>
      <c r="Q82" s="501"/>
    </row>
    <row r="83" spans="1:17" ht="15.75" hidden="1" thickBot="1">
      <c r="A83" s="531"/>
      <c r="B83" s="543"/>
      <c r="C83" s="657">
        <v>100</v>
      </c>
      <c r="D83" s="657">
        <f>C83-$K21</f>
        <v>98</v>
      </c>
      <c r="E83" s="657">
        <f>D83-$K21</f>
        <v>96</v>
      </c>
      <c r="F83" s="657">
        <f>E83-$K21</f>
        <v>94</v>
      </c>
      <c r="G83" s="657">
        <f>F83-$K21</f>
        <v>92</v>
      </c>
      <c r="H83" s="657"/>
      <c r="I83" s="657"/>
      <c r="J83" s="657"/>
      <c r="K83" s="657"/>
      <c r="L83" s="657"/>
      <c r="M83" s="447"/>
      <c r="N83" s="1147"/>
      <c r="O83" s="1147"/>
      <c r="P83" s="2620"/>
      <c r="Q83" s="501"/>
    </row>
    <row r="84" spans="1:17" ht="15.75" hidden="1" thickTop="1">
      <c r="A84" s="531"/>
      <c r="B84" s="535" t="s">
        <v>2598</v>
      </c>
      <c r="C84" s="575" t="s">
        <v>2586</v>
      </c>
      <c r="D84" s="575" t="s">
        <v>2587</v>
      </c>
      <c r="E84" s="575" t="s">
        <v>2588</v>
      </c>
      <c r="F84" s="575" t="s">
        <v>2589</v>
      </c>
      <c r="G84" s="575" t="s">
        <v>2590</v>
      </c>
      <c r="H84" s="536"/>
      <c r="I84" s="536"/>
      <c r="J84" s="536"/>
      <c r="K84" s="537"/>
      <c r="L84" s="538"/>
      <c r="M84" s="539"/>
      <c r="N84" s="1146"/>
      <c r="O84" s="1146"/>
      <c r="P84" s="2620"/>
      <c r="Q84" s="501"/>
    </row>
    <row r="85" spans="1:17" ht="15.75" hidden="1" thickBot="1">
      <c r="A85" s="531"/>
      <c r="B85" s="540"/>
      <c r="C85" s="541">
        <v>100</v>
      </c>
      <c r="D85" s="541">
        <f>C85-$K23</f>
        <v>95</v>
      </c>
      <c r="E85" s="541">
        <f>D85-$K23</f>
        <v>90</v>
      </c>
      <c r="F85" s="541">
        <f>E85-$K23</f>
        <v>85</v>
      </c>
      <c r="G85" s="541">
        <f>F85-$K23</f>
        <v>80</v>
      </c>
      <c r="H85" s="541"/>
      <c r="I85" s="541"/>
      <c r="J85" s="541"/>
      <c r="K85" s="541"/>
      <c r="L85" s="541"/>
      <c r="M85" s="542"/>
      <c r="N85" s="1147"/>
      <c r="O85" s="1147"/>
      <c r="P85" s="2620"/>
      <c r="Q85" s="501"/>
    </row>
    <row r="86" spans="1:17" s="116" customFormat="1" ht="15.75" hidden="1" thickTop="1">
      <c r="A86" s="576"/>
      <c r="B86" s="535" t="s">
        <v>2599</v>
      </c>
      <c r="C86" s="551"/>
      <c r="D86" s="551"/>
      <c r="E86" s="551"/>
      <c r="F86" s="551"/>
      <c r="G86" s="551"/>
      <c r="H86" s="551"/>
      <c r="I86" s="551"/>
      <c r="J86" s="551"/>
      <c r="K86" s="551"/>
      <c r="L86" s="577"/>
      <c r="M86" s="578"/>
      <c r="N86" s="1145"/>
      <c r="O86" s="1145"/>
      <c r="P86" s="2620"/>
      <c r="Q86" s="501"/>
    </row>
    <row r="87" spans="1:17" s="116" customFormat="1" ht="15.75" hidden="1" thickBot="1">
      <c r="A87" s="576"/>
      <c r="B87" s="540"/>
      <c r="C87" s="579">
        <v>100</v>
      </c>
      <c r="D87" s="541">
        <f t="shared" ref="D87:M87" si="20">$C$87-($C$86-D86)*$K$25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7"/>
      <c r="O87" s="1147"/>
      <c r="P87" s="2620"/>
      <c r="Q87" s="501"/>
    </row>
    <row r="88" spans="1:17" s="116" customFormat="1" ht="15.75" hidden="1" thickTop="1">
      <c r="A88" s="576"/>
      <c r="B88" s="535" t="s">
        <v>2600</v>
      </c>
      <c r="C88" s="551"/>
      <c r="D88" s="551"/>
      <c r="E88" s="551"/>
      <c r="F88" s="2625"/>
      <c r="G88" s="551"/>
      <c r="H88" s="551"/>
      <c r="I88" s="551"/>
      <c r="J88" s="551"/>
      <c r="K88" s="551"/>
      <c r="L88" s="551"/>
      <c r="M88" s="578"/>
      <c r="N88" s="1145"/>
      <c r="O88" s="1145"/>
      <c r="P88" s="2620"/>
      <c r="Q88" s="501"/>
    </row>
    <row r="89" spans="1:17" s="116" customFormat="1" ht="15.75" hidden="1" thickBot="1">
      <c r="A89" s="576"/>
      <c r="B89" s="540"/>
      <c r="C89" s="579">
        <v>100</v>
      </c>
      <c r="D89" s="541">
        <f t="shared" ref="D89:M89" si="21">C89-$K26</f>
        <v>100</v>
      </c>
      <c r="E89" s="541">
        <f t="shared" si="21"/>
        <v>100</v>
      </c>
      <c r="F89" s="541">
        <f t="shared" si="21"/>
        <v>100</v>
      </c>
      <c r="G89" s="541">
        <f t="shared" si="21"/>
        <v>100</v>
      </c>
      <c r="H89" s="541">
        <f t="shared" si="21"/>
        <v>100</v>
      </c>
      <c r="I89" s="541">
        <f t="shared" si="21"/>
        <v>100</v>
      </c>
      <c r="J89" s="541">
        <f t="shared" si="21"/>
        <v>100</v>
      </c>
      <c r="K89" s="541">
        <f t="shared" si="21"/>
        <v>100</v>
      </c>
      <c r="L89" s="541">
        <f t="shared" si="21"/>
        <v>100</v>
      </c>
      <c r="M89" s="541">
        <f t="shared" si="21"/>
        <v>100</v>
      </c>
      <c r="N89" s="1147"/>
      <c r="O89" s="1147"/>
      <c r="P89" s="2620"/>
      <c r="Q89" s="501"/>
    </row>
    <row r="90" spans="1:17" s="468" customFormat="1" ht="15.75" hidden="1" thickTop="1">
      <c r="A90" s="550"/>
      <c r="B90" s="535">
        <f>B27</f>
        <v>0</v>
      </c>
      <c r="C90" s="551"/>
      <c r="D90" s="551"/>
      <c r="E90" s="551"/>
      <c r="F90" s="551"/>
      <c r="G90" s="551"/>
      <c r="H90" s="552"/>
      <c r="I90" s="552"/>
      <c r="J90" s="552"/>
      <c r="K90" s="552"/>
      <c r="L90" s="553"/>
      <c r="M90" s="554"/>
      <c r="N90" s="1148"/>
      <c r="O90" s="1148"/>
      <c r="P90" s="2621"/>
      <c r="Q90" s="556"/>
    </row>
    <row r="91" spans="1:17" s="468" customFormat="1" ht="15.75" hidden="1" thickBot="1">
      <c r="A91" s="550"/>
      <c r="B91" s="540"/>
      <c r="C91" s="557"/>
      <c r="D91" s="557"/>
      <c r="E91" s="557"/>
      <c r="F91" s="557"/>
      <c r="G91" s="557"/>
      <c r="H91" s="559"/>
      <c r="I91" s="559"/>
      <c r="J91" s="559"/>
      <c r="K91" s="559"/>
      <c r="L91" s="559"/>
      <c r="M91" s="560"/>
      <c r="N91" s="1148"/>
      <c r="O91" s="1148"/>
      <c r="P91" s="2621"/>
      <c r="Q91" s="556"/>
    </row>
    <row r="92" spans="1:17" ht="15.75" hidden="1" thickTop="1">
      <c r="A92" s="531"/>
      <c r="B92" s="535">
        <f>B28</f>
        <v>0</v>
      </c>
      <c r="C92" s="551"/>
      <c r="D92" s="551"/>
      <c r="E92" s="551"/>
      <c r="F92" s="551"/>
      <c r="G92" s="580"/>
      <c r="H92" s="580"/>
      <c r="I92" s="580"/>
      <c r="J92" s="580"/>
      <c r="K92" s="581"/>
      <c r="L92" s="582"/>
      <c r="M92" s="583"/>
      <c r="N92" s="1146"/>
      <c r="O92" s="1146"/>
      <c r="P92" s="2620"/>
      <c r="Q92" s="501"/>
    </row>
    <row r="93" spans="1:17" ht="15.75" hidden="1" thickBot="1">
      <c r="A93" s="531"/>
      <c r="B93" s="540"/>
      <c r="C93" s="557"/>
      <c r="D93" s="533"/>
      <c r="E93" s="533"/>
      <c r="F93" s="533"/>
      <c r="G93" s="533"/>
      <c r="H93" s="533"/>
      <c r="I93" s="533"/>
      <c r="J93" s="533"/>
      <c r="K93" s="533"/>
      <c r="L93" s="533"/>
      <c r="M93" s="534"/>
      <c r="N93" s="1147"/>
      <c r="O93" s="1147"/>
      <c r="P93" s="2620"/>
      <c r="Q93" s="501"/>
    </row>
    <row r="94" spans="1:17" ht="15.75" hidden="1" thickTop="1">
      <c r="A94" s="531"/>
      <c r="B94" s="535">
        <f>B29</f>
        <v>0</v>
      </c>
      <c r="C94" s="551"/>
      <c r="D94" s="551"/>
      <c r="E94" s="551"/>
      <c r="F94" s="551"/>
      <c r="G94" s="580"/>
      <c r="H94" s="580"/>
      <c r="I94" s="580"/>
      <c r="J94" s="580"/>
      <c r="K94" s="581"/>
      <c r="L94" s="582"/>
      <c r="M94" s="583"/>
      <c r="N94" s="1146"/>
      <c r="O94" s="1146"/>
      <c r="P94" s="2620"/>
      <c r="Q94" s="501"/>
    </row>
    <row r="95" spans="1:17" ht="15.75" hidden="1" thickBot="1">
      <c r="A95" s="531"/>
      <c r="B95" s="540"/>
      <c r="C95" s="557"/>
      <c r="D95" s="557"/>
      <c r="E95" s="557"/>
      <c r="F95" s="557"/>
      <c r="G95" s="533"/>
      <c r="H95" s="533"/>
      <c r="I95" s="533"/>
      <c r="J95" s="533"/>
      <c r="K95" s="533"/>
      <c r="L95" s="533"/>
      <c r="M95" s="534"/>
      <c r="N95" s="1147"/>
      <c r="O95" s="1147"/>
      <c r="P95" s="2620"/>
      <c r="Q95" s="501"/>
    </row>
    <row r="96" spans="1:17" ht="15.75" hidden="1" thickTop="1">
      <c r="A96" s="531"/>
      <c r="B96" s="535">
        <f>B30</f>
        <v>0</v>
      </c>
      <c r="C96" s="551"/>
      <c r="D96" s="551"/>
      <c r="E96" s="551"/>
      <c r="F96" s="551"/>
      <c r="G96" s="580"/>
      <c r="H96" s="580"/>
      <c r="I96" s="580"/>
      <c r="J96" s="580"/>
      <c r="K96" s="581"/>
      <c r="L96" s="582"/>
      <c r="M96" s="583"/>
      <c r="N96" s="1146"/>
      <c r="O96" s="1146"/>
      <c r="P96" s="2620"/>
      <c r="Q96" s="501"/>
    </row>
    <row r="97" spans="1:17" ht="15.75" hidden="1" thickBot="1">
      <c r="A97" s="531"/>
      <c r="B97" s="540"/>
      <c r="C97" s="567"/>
      <c r="D97" s="567"/>
      <c r="E97" s="567"/>
      <c r="F97" s="567"/>
      <c r="G97" s="533"/>
      <c r="H97" s="533"/>
      <c r="I97" s="533"/>
      <c r="J97" s="533"/>
      <c r="K97" s="533"/>
      <c r="L97" s="533"/>
      <c r="M97" s="534"/>
      <c r="N97" s="1147"/>
      <c r="O97" s="1147"/>
      <c r="P97" s="2620"/>
      <c r="Q97" s="501"/>
    </row>
    <row r="98" spans="1:17" ht="15.75" hidden="1" thickTop="1">
      <c r="A98" s="531"/>
      <c r="B98" s="543">
        <f>B31</f>
        <v>0</v>
      </c>
      <c r="C98" s="584"/>
      <c r="D98" s="584"/>
      <c r="E98" s="584"/>
      <c r="F98" s="584"/>
      <c r="G98" s="584"/>
      <c r="H98" s="584"/>
      <c r="I98" s="584"/>
      <c r="J98" s="584"/>
      <c r="K98" s="585"/>
      <c r="L98" s="586"/>
      <c r="M98" s="587"/>
      <c r="N98" s="1146"/>
      <c r="O98" s="1146"/>
      <c r="P98" s="2620"/>
      <c r="Q98" s="501"/>
    </row>
    <row r="99" spans="1:17" ht="15.75" hidden="1" thickBot="1">
      <c r="A99" s="2626"/>
      <c r="B99" s="566"/>
      <c r="C99" s="588"/>
      <c r="D99" s="588"/>
      <c r="E99" s="588"/>
      <c r="F99" s="588"/>
      <c r="G99" s="588"/>
      <c r="H99" s="588"/>
      <c r="I99" s="588"/>
      <c r="J99" s="588"/>
      <c r="K99" s="588"/>
      <c r="L99" s="588"/>
      <c r="M99" s="589"/>
      <c r="N99" s="1147"/>
      <c r="O99" s="1147"/>
      <c r="P99" s="2620"/>
      <c r="Q99" s="501"/>
    </row>
    <row r="100" spans="1:17" hidden="1">
      <c r="A100" s="524" t="s">
        <v>2552</v>
      </c>
      <c r="B100" s="525" t="s">
        <v>2601</v>
      </c>
      <c r="C100" s="2967" t="s">
        <v>3666</v>
      </c>
      <c r="D100" s="2967" t="s">
        <v>3662</v>
      </c>
      <c r="E100" s="2967" t="s">
        <v>3663</v>
      </c>
      <c r="F100" s="2967" t="s">
        <v>3665</v>
      </c>
      <c r="G100" s="527"/>
      <c r="H100" s="527"/>
      <c r="I100" s="527"/>
      <c r="J100" s="527"/>
      <c r="K100" s="528"/>
      <c r="L100" s="529"/>
      <c r="M100" s="530"/>
      <c r="N100" s="1146"/>
      <c r="O100" s="1146"/>
      <c r="P100" s="2620"/>
      <c r="Q100" s="501"/>
    </row>
    <row r="101" spans="1:17" ht="15.75" hidden="1" thickBot="1">
      <c r="A101" s="531"/>
      <c r="B101" s="540"/>
      <c r="C101" s="541">
        <v>100</v>
      </c>
      <c r="D101" s="541">
        <f t="shared" ref="D101:M101" si="22">C101-$K32</f>
        <v>95</v>
      </c>
      <c r="E101" s="541">
        <f t="shared" si="22"/>
        <v>90</v>
      </c>
      <c r="F101" s="541">
        <f t="shared" si="22"/>
        <v>85</v>
      </c>
      <c r="G101" s="541">
        <f t="shared" si="22"/>
        <v>80</v>
      </c>
      <c r="H101" s="541">
        <f t="shared" si="22"/>
        <v>75</v>
      </c>
      <c r="I101" s="541">
        <f t="shared" si="22"/>
        <v>70</v>
      </c>
      <c r="J101" s="541">
        <f t="shared" si="22"/>
        <v>65</v>
      </c>
      <c r="K101" s="541">
        <f t="shared" si="22"/>
        <v>60</v>
      </c>
      <c r="L101" s="541">
        <f t="shared" si="22"/>
        <v>55</v>
      </c>
      <c r="M101" s="541">
        <f t="shared" si="22"/>
        <v>50</v>
      </c>
      <c r="N101" s="1147"/>
      <c r="O101" s="1147"/>
      <c r="P101" s="2620"/>
      <c r="Q101" s="501"/>
    </row>
    <row r="102" spans="1:17" ht="15.75" hidden="1" thickTop="1">
      <c r="A102" s="531"/>
      <c r="B102" s="535" t="s">
        <v>2602</v>
      </c>
      <c r="C102" s="575" t="str">
        <f>C103&amp;"(含)"&amp;"-"&amp;D103</f>
        <v>0(含)-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K103&amp;"(含)"&amp;"-"&amp;L103</f>
        <v>(含)-</v>
      </c>
      <c r="L102" s="575" t="str">
        <f t="shared" si="23"/>
        <v>(含)-</v>
      </c>
      <c r="M102" s="575" t="str">
        <f>M103&amp;"(含)"&amp;"-"&amp;P103</f>
        <v>(含)-</v>
      </c>
      <c r="N102" s="1145"/>
      <c r="O102" s="1145"/>
      <c r="P102" s="2620"/>
      <c r="Q102" s="501"/>
    </row>
    <row r="103" spans="1:17" s="468" customFormat="1" hidden="1">
      <c r="A103" s="590"/>
      <c r="B103" s="591"/>
      <c r="C103" s="592">
        <v>0</v>
      </c>
      <c r="D103" s="592"/>
      <c r="E103" s="592"/>
      <c r="F103" s="592"/>
      <c r="G103" s="592"/>
      <c r="H103" s="592"/>
      <c r="I103" s="592"/>
      <c r="J103" s="593"/>
      <c r="K103" s="593"/>
      <c r="L103" s="594"/>
      <c r="M103" s="595"/>
      <c r="N103" s="1148"/>
      <c r="O103" s="1148"/>
      <c r="P103" s="2621"/>
      <c r="Q103" s="556"/>
    </row>
    <row r="104" spans="1:17" s="468" customFormat="1" ht="15.75" hidden="1" thickBot="1">
      <c r="A104" s="550"/>
      <c r="B104" s="540"/>
      <c r="C104" s="557"/>
      <c r="D104" s="533"/>
      <c r="E104" s="533"/>
      <c r="F104" s="533"/>
      <c r="G104" s="533"/>
      <c r="H104" s="533"/>
      <c r="I104" s="533"/>
      <c r="J104" s="533"/>
      <c r="K104" s="533"/>
      <c r="L104" s="533"/>
      <c r="M104" s="533"/>
      <c r="N104" s="1147"/>
      <c r="O104" s="1147"/>
      <c r="P104" s="2621"/>
      <c r="Q104" s="556"/>
    </row>
    <row r="105" spans="1:17" ht="15" hidden="1" thickTop="1">
      <c r="A105" s="596"/>
      <c r="B105" s="535" t="s">
        <v>2603</v>
      </c>
      <c r="C105" s="2968" t="s">
        <v>3103</v>
      </c>
      <c r="D105" s="551"/>
      <c r="E105" s="580"/>
      <c r="F105" s="580"/>
      <c r="G105" s="580"/>
      <c r="H105" s="580"/>
      <c r="I105" s="580"/>
      <c r="J105" s="580"/>
      <c r="K105" s="581"/>
      <c r="L105" s="582"/>
      <c r="M105" s="583"/>
      <c r="N105" s="1146"/>
      <c r="O105" s="1146"/>
      <c r="P105" s="2620"/>
      <c r="Q105" s="501"/>
    </row>
    <row r="106" spans="1:17" ht="15.75" hidden="1"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1">
        <f t="shared" si="24"/>
        <v>80</v>
      </c>
      <c r="N106" s="1147"/>
      <c r="O106" s="1147"/>
      <c r="P106" s="2620"/>
      <c r="Q106" s="501"/>
    </row>
    <row r="107" spans="1:17" ht="15" hidden="1" thickTop="1">
      <c r="A107" s="596"/>
      <c r="B107" s="535" t="s">
        <v>2604</v>
      </c>
      <c r="C107" s="2969" t="s">
        <v>3105</v>
      </c>
      <c r="D107" s="580"/>
      <c r="E107" s="580"/>
      <c r="F107" s="580"/>
      <c r="G107" s="580"/>
      <c r="H107" s="580"/>
      <c r="I107" s="580"/>
      <c r="J107" s="580"/>
      <c r="K107" s="581"/>
      <c r="L107" s="582"/>
      <c r="M107" s="583"/>
      <c r="N107" s="1146"/>
      <c r="O107" s="1146"/>
      <c r="P107" s="2620"/>
      <c r="Q107" s="501"/>
    </row>
    <row r="108" spans="1:17" ht="15.75" hidden="1"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1">
        <f t="shared" si="25"/>
        <v>80</v>
      </c>
      <c r="N108" s="1147"/>
      <c r="O108" s="1147"/>
      <c r="P108" s="2620"/>
      <c r="Q108" s="501"/>
    </row>
    <row r="109" spans="1:17" ht="15" hidden="1" thickTop="1">
      <c r="A109" s="596"/>
      <c r="B109" s="535" t="s">
        <v>2605</v>
      </c>
      <c r="C109" s="2968" t="s">
        <v>3107</v>
      </c>
      <c r="D109" s="551"/>
      <c r="E109" s="551"/>
      <c r="F109" s="580"/>
      <c r="G109" s="580"/>
      <c r="H109" s="580"/>
      <c r="I109" s="580"/>
      <c r="J109" s="580"/>
      <c r="K109" s="581"/>
      <c r="L109" s="582"/>
      <c r="M109" s="583"/>
      <c r="N109" s="1146"/>
      <c r="O109" s="1146"/>
      <c r="P109" s="2620"/>
      <c r="Q109" s="501"/>
    </row>
    <row r="110" spans="1:17" ht="15.75" hidden="1" thickBot="1">
      <c r="A110" s="531"/>
      <c r="B110" s="540"/>
      <c r="C110" s="541">
        <v>100</v>
      </c>
      <c r="D110" s="541">
        <f t="shared" ref="D110:M110" si="26">C110-$K36</f>
        <v>98</v>
      </c>
      <c r="E110" s="541">
        <f t="shared" si="26"/>
        <v>96</v>
      </c>
      <c r="F110" s="541">
        <f t="shared" si="26"/>
        <v>94</v>
      </c>
      <c r="G110" s="541">
        <f t="shared" si="26"/>
        <v>92</v>
      </c>
      <c r="H110" s="541">
        <f t="shared" si="26"/>
        <v>90</v>
      </c>
      <c r="I110" s="541">
        <f t="shared" si="26"/>
        <v>88</v>
      </c>
      <c r="J110" s="541">
        <f t="shared" si="26"/>
        <v>86</v>
      </c>
      <c r="K110" s="541">
        <f t="shared" si="26"/>
        <v>84</v>
      </c>
      <c r="L110" s="541">
        <f t="shared" si="26"/>
        <v>82</v>
      </c>
      <c r="M110" s="541">
        <f t="shared" si="26"/>
        <v>80</v>
      </c>
      <c r="N110" s="1147"/>
      <c r="O110" s="1147"/>
      <c r="P110" s="2620"/>
      <c r="Q110" s="501"/>
    </row>
    <row r="111" spans="1:17" s="468" customFormat="1" ht="15" hidden="1" thickTop="1">
      <c r="A111" s="590"/>
      <c r="B111" s="535" t="s">
        <v>1991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1"/>
      <c r="Q111" s="556"/>
    </row>
    <row r="112" spans="1:17" s="468" customFormat="1" hidden="1">
      <c r="A112" s="590"/>
      <c r="B112" s="543"/>
      <c r="C112" s="600">
        <v>0.5</v>
      </c>
      <c r="D112" s="600">
        <v>0.6</v>
      </c>
      <c r="E112" s="600">
        <v>0.7</v>
      </c>
      <c r="F112" s="600">
        <v>0.8</v>
      </c>
      <c r="G112" s="600">
        <v>0.9</v>
      </c>
      <c r="H112" s="600">
        <v>1.0001</v>
      </c>
      <c r="I112" s="600"/>
      <c r="J112" s="601"/>
      <c r="K112" s="601"/>
      <c r="L112" s="602"/>
      <c r="M112" s="603"/>
      <c r="N112" s="1148"/>
      <c r="O112" s="1148"/>
      <c r="P112" s="2621"/>
      <c r="Q112" s="556"/>
    </row>
    <row r="113" spans="1:17" s="468" customFormat="1" ht="15.75" hidden="1" thickBot="1">
      <c r="A113" s="550"/>
      <c r="B113" s="540"/>
      <c r="C113" s="579">
        <v>100</v>
      </c>
      <c r="D113" s="541">
        <f>C113+$K37</f>
        <v>102</v>
      </c>
      <c r="E113" s="541">
        <f>D113+$K37</f>
        <v>104</v>
      </c>
      <c r="F113" s="541">
        <f>E113+$K37</f>
        <v>106</v>
      </c>
      <c r="G113" s="541">
        <f>F113+$K37</f>
        <v>108</v>
      </c>
      <c r="H113" s="541">
        <f>G113+$K37</f>
        <v>110</v>
      </c>
      <c r="I113" s="579"/>
      <c r="J113" s="604"/>
      <c r="K113" s="604"/>
      <c r="L113" s="604"/>
      <c r="M113" s="605"/>
      <c r="N113" s="1148"/>
      <c r="O113" s="1148"/>
      <c r="P113" s="2621"/>
      <c r="Q113" s="556"/>
    </row>
    <row r="114" spans="1:17" ht="15" hidden="1" thickTop="1">
      <c r="A114" s="596"/>
      <c r="B114" s="535" t="s">
        <v>2606</v>
      </c>
      <c r="C114" s="2968" t="s">
        <v>3109</v>
      </c>
      <c r="D114" s="551"/>
      <c r="E114" s="580"/>
      <c r="F114" s="580"/>
      <c r="G114" s="580"/>
      <c r="H114" s="580"/>
      <c r="I114" s="580"/>
      <c r="J114" s="580"/>
      <c r="K114" s="581"/>
      <c r="L114" s="582"/>
      <c r="M114" s="583"/>
      <c r="N114" s="1146"/>
      <c r="O114" s="1146"/>
      <c r="P114" s="2620"/>
      <c r="Q114" s="501"/>
    </row>
    <row r="115" spans="1:17" ht="15.75" hidden="1" thickBot="1">
      <c r="A115" s="531"/>
      <c r="B115" s="540"/>
      <c r="C115" s="541">
        <v>100</v>
      </c>
      <c r="D115" s="541">
        <f t="shared" ref="D115:M115" si="27">C115-$K38</f>
        <v>98</v>
      </c>
      <c r="E115" s="541">
        <f t="shared" si="27"/>
        <v>96</v>
      </c>
      <c r="F115" s="541">
        <f t="shared" si="27"/>
        <v>94</v>
      </c>
      <c r="G115" s="541">
        <f t="shared" si="27"/>
        <v>92</v>
      </c>
      <c r="H115" s="541">
        <f t="shared" si="27"/>
        <v>90</v>
      </c>
      <c r="I115" s="541">
        <f t="shared" si="27"/>
        <v>88</v>
      </c>
      <c r="J115" s="541">
        <f t="shared" si="27"/>
        <v>86</v>
      </c>
      <c r="K115" s="541">
        <f t="shared" si="27"/>
        <v>84</v>
      </c>
      <c r="L115" s="541">
        <f t="shared" si="27"/>
        <v>82</v>
      </c>
      <c r="M115" s="541">
        <f t="shared" si="27"/>
        <v>80</v>
      </c>
      <c r="N115" s="1147"/>
      <c r="O115" s="1147"/>
      <c r="P115" s="2620"/>
      <c r="Q115" s="501"/>
    </row>
    <row r="116" spans="1:17" ht="15" hidden="1" thickTop="1">
      <c r="A116" s="596"/>
      <c r="B116" s="535" t="s">
        <v>2607</v>
      </c>
      <c r="C116" s="2968" t="s">
        <v>3110</v>
      </c>
      <c r="D116" s="551"/>
      <c r="E116" s="551"/>
      <c r="F116" s="551"/>
      <c r="G116" s="551"/>
      <c r="H116" s="580"/>
      <c r="I116" s="580"/>
      <c r="J116" s="580"/>
      <c r="K116" s="581"/>
      <c r="L116" s="582"/>
      <c r="M116" s="583"/>
      <c r="N116" s="1146"/>
      <c r="O116" s="1146"/>
      <c r="P116" s="2620"/>
      <c r="Q116" s="501"/>
    </row>
    <row r="117" spans="1:17" ht="15.75" hidden="1"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0"/>
      <c r="Q117" s="501"/>
    </row>
    <row r="118" spans="1:17" ht="15" hidden="1" thickTop="1">
      <c r="A118" s="596"/>
      <c r="B118" s="535" t="s">
        <v>2608</v>
      </c>
      <c r="C118" s="2969" t="s">
        <v>3112</v>
      </c>
      <c r="D118" s="580"/>
      <c r="E118" s="580"/>
      <c r="F118" s="580"/>
      <c r="G118" s="580"/>
      <c r="H118" s="580"/>
      <c r="I118" s="580"/>
      <c r="J118" s="580"/>
      <c r="K118" s="581"/>
      <c r="L118" s="582"/>
      <c r="M118" s="583"/>
      <c r="N118" s="1146"/>
      <c r="O118" s="1146"/>
      <c r="P118" s="2620"/>
      <c r="Q118" s="501"/>
    </row>
    <row r="119" spans="1:17" ht="15.75" hidden="1" thickBot="1">
      <c r="A119" s="531"/>
      <c r="B119" s="540"/>
      <c r="C119" s="541">
        <v>100</v>
      </c>
      <c r="D119" s="541">
        <f t="shared" ref="D119:M119" si="28">C119-$K40</f>
        <v>98</v>
      </c>
      <c r="E119" s="541">
        <f t="shared" si="28"/>
        <v>96</v>
      </c>
      <c r="F119" s="541">
        <f t="shared" si="28"/>
        <v>94</v>
      </c>
      <c r="G119" s="541">
        <f t="shared" si="28"/>
        <v>92</v>
      </c>
      <c r="H119" s="541">
        <f t="shared" si="28"/>
        <v>90</v>
      </c>
      <c r="I119" s="541">
        <f t="shared" si="28"/>
        <v>88</v>
      </c>
      <c r="J119" s="541">
        <f t="shared" si="28"/>
        <v>86</v>
      </c>
      <c r="K119" s="541">
        <f t="shared" si="28"/>
        <v>84</v>
      </c>
      <c r="L119" s="541">
        <f t="shared" si="28"/>
        <v>82</v>
      </c>
      <c r="M119" s="541">
        <f t="shared" si="28"/>
        <v>80</v>
      </c>
      <c r="N119" s="1147"/>
      <c r="O119" s="1147"/>
      <c r="P119" s="2620"/>
      <c r="Q119" s="501"/>
    </row>
    <row r="120" spans="1:17" s="468" customFormat="1" ht="28.5" hidden="1" thickTop="1">
      <c r="A120" s="590"/>
      <c r="B120" s="535" t="s">
        <v>2563</v>
      </c>
      <c r="C120" s="551"/>
      <c r="D120" s="551"/>
      <c r="E120" s="551"/>
      <c r="F120" s="551"/>
      <c r="G120" s="551"/>
      <c r="H120" s="551"/>
      <c r="I120" s="551"/>
      <c r="J120" s="551"/>
      <c r="K120" s="551"/>
      <c r="L120" s="577"/>
      <c r="M120" s="578"/>
      <c r="N120" s="1148"/>
      <c r="O120" s="1148"/>
      <c r="P120" s="2621"/>
      <c r="Q120" s="556"/>
    </row>
    <row r="121" spans="1:17" s="468" customFormat="1" ht="15.75" hidden="1" thickBot="1">
      <c r="A121" s="550"/>
      <c r="B121" s="532"/>
      <c r="C121" s="557"/>
      <c r="D121" s="533"/>
      <c r="E121" s="533"/>
      <c r="F121" s="533"/>
      <c r="G121" s="533"/>
      <c r="H121" s="533"/>
      <c r="I121" s="533"/>
      <c r="J121" s="533"/>
      <c r="K121" s="533"/>
      <c r="L121" s="533"/>
      <c r="M121" s="533"/>
      <c r="N121" s="1148"/>
      <c r="O121" s="1148"/>
      <c r="P121" s="2621"/>
      <c r="Q121" s="556"/>
    </row>
    <row r="122" spans="1:17" ht="15" hidden="1" thickTop="1">
      <c r="A122" s="596"/>
      <c r="B122" s="535" t="s">
        <v>2609</v>
      </c>
      <c r="C122" s="2968" t="s">
        <v>3113</v>
      </c>
      <c r="D122" s="2968" t="s">
        <v>3114</v>
      </c>
      <c r="E122" s="2968" t="s">
        <v>3116</v>
      </c>
      <c r="F122" s="580"/>
      <c r="G122" s="580"/>
      <c r="H122" s="580"/>
      <c r="I122" s="580"/>
      <c r="J122" s="580"/>
      <c r="K122" s="581"/>
      <c r="L122" s="582"/>
      <c r="M122" s="583"/>
      <c r="N122" s="1146"/>
      <c r="O122" s="1146"/>
      <c r="P122" s="2620"/>
      <c r="Q122" s="501"/>
    </row>
    <row r="123" spans="1:17" ht="15.75" hidden="1" thickBot="1">
      <c r="A123" s="531"/>
      <c r="B123" s="540"/>
      <c r="C123" s="541">
        <v>100</v>
      </c>
      <c r="D123" s="541">
        <f t="shared" ref="D123:M123" si="29">C123-$K42</f>
        <v>95</v>
      </c>
      <c r="E123" s="541">
        <f t="shared" si="29"/>
        <v>90</v>
      </c>
      <c r="F123" s="541">
        <f t="shared" si="29"/>
        <v>85</v>
      </c>
      <c r="G123" s="541">
        <f t="shared" si="29"/>
        <v>80</v>
      </c>
      <c r="H123" s="541">
        <f t="shared" si="29"/>
        <v>75</v>
      </c>
      <c r="I123" s="541">
        <f t="shared" si="29"/>
        <v>70</v>
      </c>
      <c r="J123" s="541">
        <f t="shared" si="29"/>
        <v>65</v>
      </c>
      <c r="K123" s="541">
        <f t="shared" si="29"/>
        <v>60</v>
      </c>
      <c r="L123" s="541">
        <f t="shared" si="29"/>
        <v>55</v>
      </c>
      <c r="M123" s="541">
        <f t="shared" si="29"/>
        <v>50</v>
      </c>
      <c r="N123" s="1147"/>
      <c r="O123" s="1147"/>
      <c r="P123" s="2620"/>
      <c r="Q123" s="501"/>
    </row>
    <row r="124" spans="1:17" ht="15" hidden="1" thickTop="1">
      <c r="A124" s="596"/>
      <c r="B124" s="535" t="s">
        <v>2610</v>
      </c>
      <c r="C124" s="575" t="s">
        <v>2586</v>
      </c>
      <c r="D124" s="575" t="s">
        <v>2587</v>
      </c>
      <c r="E124" s="575" t="s">
        <v>2588</v>
      </c>
      <c r="F124" s="575" t="s">
        <v>2589</v>
      </c>
      <c r="G124" s="575" t="s">
        <v>2590</v>
      </c>
      <c r="H124" s="536"/>
      <c r="I124" s="536"/>
      <c r="J124" s="536"/>
      <c r="K124" s="537"/>
      <c r="L124" s="538"/>
      <c r="M124" s="539"/>
      <c r="N124" s="1146"/>
      <c r="O124" s="1146"/>
      <c r="P124" s="2621"/>
      <c r="Q124" s="501"/>
    </row>
    <row r="125" spans="1:17" ht="15.75" hidden="1" thickBot="1">
      <c r="A125" s="531"/>
      <c r="B125" s="540"/>
      <c r="C125" s="541">
        <v>100</v>
      </c>
      <c r="D125" s="541">
        <f>C125-$K43</f>
        <v>98</v>
      </c>
      <c r="E125" s="541">
        <f>D125-$K43</f>
        <v>96</v>
      </c>
      <c r="F125" s="541">
        <f>E125-$K43</f>
        <v>94</v>
      </c>
      <c r="G125" s="541">
        <f>F125-$K43</f>
        <v>92</v>
      </c>
      <c r="H125" s="541"/>
      <c r="I125" s="541"/>
      <c r="J125" s="541"/>
      <c r="K125" s="541"/>
      <c r="L125" s="541"/>
      <c r="M125" s="542"/>
      <c r="N125" s="1147"/>
      <c r="O125" s="1147"/>
      <c r="P125" s="2620"/>
      <c r="Q125" s="501"/>
    </row>
    <row r="126" spans="1:17" s="468" customFormat="1" ht="15" hidden="1" thickTop="1">
      <c r="A126" s="590"/>
      <c r="B126" s="535">
        <f>B44</f>
        <v>0</v>
      </c>
      <c r="C126" s="551"/>
      <c r="D126" s="551"/>
      <c r="E126" s="551"/>
      <c r="F126" s="551"/>
      <c r="G126" s="551"/>
      <c r="H126" s="552"/>
      <c r="I126" s="552"/>
      <c r="J126" s="552"/>
      <c r="K126" s="552"/>
      <c r="L126" s="553"/>
      <c r="M126" s="554"/>
      <c r="N126" s="1148"/>
      <c r="O126" s="1148"/>
      <c r="P126" s="2621"/>
      <c r="Q126" s="556"/>
    </row>
    <row r="127" spans="1:17" s="468" customFormat="1" ht="15.75" hidden="1" thickBot="1">
      <c r="A127" s="550"/>
      <c r="B127" s="540"/>
      <c r="C127" s="557"/>
      <c r="D127" s="533"/>
      <c r="E127" s="533"/>
      <c r="F127" s="533"/>
      <c r="G127" s="557"/>
      <c r="H127" s="559"/>
      <c r="I127" s="559"/>
      <c r="J127" s="559"/>
      <c r="K127" s="559"/>
      <c r="L127" s="559"/>
      <c r="M127" s="560"/>
      <c r="N127" s="1148"/>
      <c r="O127" s="1148"/>
      <c r="P127" s="2621"/>
      <c r="Q127" s="556"/>
    </row>
    <row r="128" spans="1:17" ht="15" hidden="1" thickTop="1">
      <c r="A128" s="596"/>
      <c r="B128" s="535">
        <f>B45</f>
        <v>0</v>
      </c>
      <c r="C128" s="551"/>
      <c r="D128" s="551"/>
      <c r="E128" s="551"/>
      <c r="F128" s="551"/>
      <c r="G128" s="580"/>
      <c r="H128" s="580"/>
      <c r="I128" s="580"/>
      <c r="J128" s="580"/>
      <c r="K128" s="581"/>
      <c r="L128" s="582"/>
      <c r="M128" s="583"/>
      <c r="N128" s="1146"/>
      <c r="O128" s="1146"/>
      <c r="P128" s="2620"/>
      <c r="Q128" s="501"/>
    </row>
    <row r="129" spans="1:17" ht="15.75" hidden="1" thickBot="1">
      <c r="A129" s="531"/>
      <c r="B129" s="540"/>
      <c r="C129" s="557"/>
      <c r="D129" s="557"/>
      <c r="E129" s="557"/>
      <c r="F129" s="557"/>
      <c r="G129" s="533"/>
      <c r="H129" s="533"/>
      <c r="I129" s="533"/>
      <c r="J129" s="533"/>
      <c r="K129" s="533"/>
      <c r="L129" s="533"/>
      <c r="M129" s="534"/>
      <c r="N129" s="1147"/>
      <c r="O129" s="1147"/>
      <c r="P129" s="2620"/>
      <c r="Q129" s="501"/>
    </row>
    <row r="130" spans="1:17" ht="15" hidden="1" thickTop="1">
      <c r="A130" s="596"/>
      <c r="B130" s="543">
        <f>B46</f>
        <v>0</v>
      </c>
      <c r="C130" s="551"/>
      <c r="D130" s="551"/>
      <c r="E130" s="551"/>
      <c r="F130" s="551"/>
      <c r="G130" s="584"/>
      <c r="H130" s="584"/>
      <c r="I130" s="584"/>
      <c r="J130" s="584"/>
      <c r="K130" s="520"/>
      <c r="L130" s="521"/>
      <c r="M130" s="587"/>
      <c r="N130" s="1146"/>
      <c r="O130" s="1146"/>
      <c r="P130" s="2620"/>
      <c r="Q130" s="501"/>
    </row>
    <row r="131" spans="1:17" ht="15.75" hidden="1" thickBot="1">
      <c r="A131" s="2626"/>
      <c r="B131" s="566"/>
      <c r="C131" s="567"/>
      <c r="D131" s="567"/>
      <c r="E131" s="567"/>
      <c r="F131" s="567"/>
      <c r="G131" s="588"/>
      <c r="H131" s="588"/>
      <c r="I131" s="588"/>
      <c r="J131" s="588"/>
      <c r="K131" s="588"/>
      <c r="L131" s="588"/>
      <c r="M131" s="589"/>
      <c r="N131" s="1147"/>
      <c r="O131" s="1147"/>
      <c r="P131" s="2620"/>
      <c r="Q131" s="501"/>
    </row>
    <row r="132" spans="1:17" hidden="1"/>
    <row r="133" spans="1:17" hidden="1"/>
    <row r="134" spans="1:17" hidden="1"/>
    <row r="135" spans="1:17" hidden="1"/>
    <row r="136" spans="1:17" ht="15" hidden="1" thickBot="1">
      <c r="B136" s="2627" t="s">
        <v>2611</v>
      </c>
    </row>
    <row r="137" spans="1:17" ht="15" hidden="1">
      <c r="B137" s="2628" t="s">
        <v>2612</v>
      </c>
      <c r="C137" s="2629"/>
      <c r="D137" s="2629"/>
      <c r="E137" s="2629"/>
      <c r="F137" s="2629"/>
      <c r="G137" s="2630"/>
      <c r="H137" s="2631"/>
      <c r="I137" s="2632" t="s">
        <v>2613</v>
      </c>
      <c r="J137" s="2629"/>
      <c r="K137" s="2633"/>
    </row>
    <row r="138" spans="1:17" ht="15" hidden="1">
      <c r="B138" s="2634"/>
      <c r="C138" s="143" t="s">
        <v>2614</v>
      </c>
      <c r="D138" s="143" t="s">
        <v>2615</v>
      </c>
      <c r="E138" s="2635" t="s">
        <v>2616</v>
      </c>
      <c r="F138" s="2636" t="s">
        <v>2617</v>
      </c>
      <c r="G138" s="143" t="s">
        <v>2615</v>
      </c>
      <c r="H138" s="144" t="s">
        <v>2616</v>
      </c>
      <c r="I138" s="2637"/>
      <c r="J138" s="143" t="s">
        <v>2618</v>
      </c>
      <c r="K138" s="144" t="s">
        <v>2619</v>
      </c>
    </row>
    <row r="139" spans="1:17" ht="15" hidden="1">
      <c r="B139" s="1078">
        <v>6</v>
      </c>
      <c r="C139" s="1079">
        <v>96</v>
      </c>
      <c r="D139" s="2638" t="s">
        <v>2620</v>
      </c>
      <c r="E139" s="1080">
        <v>100</v>
      </c>
      <c r="F139" s="1081">
        <v>102.5</v>
      </c>
      <c r="G139" s="2638" t="s">
        <v>2620</v>
      </c>
      <c r="H139" s="1082">
        <v>105</v>
      </c>
      <c r="I139" s="2639" t="s">
        <v>2621</v>
      </c>
      <c r="J139" s="1079">
        <v>20</v>
      </c>
      <c r="K139" s="1083">
        <f>C145/(J139-2)</f>
        <v>4.0555555555555553E-3</v>
      </c>
    </row>
    <row r="140" spans="1:17" ht="15" hidden="1">
      <c r="B140" s="1084">
        <v>5</v>
      </c>
      <c r="C140" s="1085">
        <v>100</v>
      </c>
      <c r="D140" s="1085"/>
      <c r="E140" s="1086"/>
      <c r="F140" s="1087">
        <v>102</v>
      </c>
      <c r="G140" s="1085"/>
      <c r="H140" s="1088"/>
      <c r="I140" s="2640" t="s">
        <v>2622</v>
      </c>
      <c r="J140" s="312">
        <f>ROUNDUP((J139-1)/2,0)</f>
        <v>10</v>
      </c>
      <c r="K140" s="1089">
        <v>100</v>
      </c>
    </row>
    <row r="141" spans="1:17" ht="15" hidden="1">
      <c r="B141" s="1084">
        <v>4</v>
      </c>
      <c r="C141" s="1085">
        <v>102</v>
      </c>
      <c r="D141" s="1085"/>
      <c r="E141" s="1086"/>
      <c r="F141" s="1087">
        <v>101.5</v>
      </c>
      <c r="G141" s="1085"/>
      <c r="H141" s="1088"/>
      <c r="I141" s="2640" t="s">
        <v>2623</v>
      </c>
      <c r="J141" s="312">
        <v>1</v>
      </c>
      <c r="K141" s="1090">
        <f>ROUND(100+(J141-J140)*K139*100,1)</f>
        <v>96.4</v>
      </c>
    </row>
    <row r="142" spans="1:17" ht="15" hidden="1">
      <c r="B142" s="1084">
        <v>3</v>
      </c>
      <c r="C142" s="1085">
        <v>103</v>
      </c>
      <c r="D142" s="1085"/>
      <c r="E142" s="1086"/>
      <c r="F142" s="1087">
        <v>101</v>
      </c>
      <c r="G142" s="1085"/>
      <c r="H142" s="1088"/>
      <c r="I142" s="2640" t="s">
        <v>2624</v>
      </c>
      <c r="J142" s="312">
        <f>J139</f>
        <v>20</v>
      </c>
      <c r="K142" s="1091">
        <v>95</v>
      </c>
    </row>
    <row r="143" spans="1:17" ht="15" hidden="1">
      <c r="B143" s="1084">
        <v>2</v>
      </c>
      <c r="C143" s="1085">
        <v>100</v>
      </c>
      <c r="D143" s="1085"/>
      <c r="E143" s="1086"/>
      <c r="F143" s="1087">
        <v>100.5</v>
      </c>
      <c r="G143" s="1085"/>
      <c r="H143" s="1088"/>
      <c r="I143" s="2640" t="s">
        <v>2625</v>
      </c>
      <c r="J143" s="1085">
        <v>15</v>
      </c>
      <c r="K143" s="1090">
        <f>ROUND(100+(J143-J140)*K139*100,1)</f>
        <v>102</v>
      </c>
    </row>
    <row r="144" spans="1:17" ht="15" hidden="1">
      <c r="B144" s="1084">
        <v>1</v>
      </c>
      <c r="C144" s="1085">
        <v>98</v>
      </c>
      <c r="D144" s="2641" t="s">
        <v>2626</v>
      </c>
      <c r="E144" s="1086">
        <v>102</v>
      </c>
      <c r="F144" s="1092">
        <v>100</v>
      </c>
      <c r="G144" s="2641" t="s">
        <v>2626</v>
      </c>
      <c r="H144" s="1088">
        <v>105</v>
      </c>
      <c r="I144" s="2640" t="s">
        <v>2625</v>
      </c>
      <c r="J144" s="1085">
        <v>18</v>
      </c>
      <c r="K144" s="1090">
        <f>ROUND(100+(J144-J140)*K139*100,1)</f>
        <v>103.2</v>
      </c>
    </row>
    <row r="145" spans="2:11" ht="15.75" hidden="1" thickBot="1">
      <c r="B145" s="2642" t="s">
        <v>2627</v>
      </c>
      <c r="C145" s="1093">
        <f>ROUND(MAX(C139:C144)/MIN(C139:C144)-1,3)</f>
        <v>7.2999999999999995E-2</v>
      </c>
      <c r="D145" s="1094"/>
      <c r="E145" s="1094"/>
      <c r="F145" s="2643" t="s">
        <v>2628</v>
      </c>
      <c r="G145" s="2644"/>
      <c r="H145" s="2645"/>
      <c r="I145" s="2646" t="s">
        <v>2625</v>
      </c>
      <c r="J145" s="1095">
        <v>8</v>
      </c>
      <c r="K145" s="1096">
        <f>ROUND(100+(J145-J140)*K139*100,1)</f>
        <v>99.2</v>
      </c>
    </row>
    <row r="146" spans="2:11" hidden="1"/>
    <row r="147" spans="2:11" hidden="1">
      <c r="B147" s="2627" t="s">
        <v>2629</v>
      </c>
    </row>
    <row r="148" spans="2:11" hidden="1">
      <c r="B148" s="2627" t="s">
        <v>2630</v>
      </c>
    </row>
    <row r="149" spans="2:11" hidden="1"/>
    <row r="150" spans="2:11" hidden="1"/>
    <row r="151" spans="2:11" hidden="1"/>
    <row r="152" spans="2:11" hidden="1"/>
    <row r="153" spans="2:11" hidden="1"/>
    <row r="154" spans="2:11" hidden="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E49" sqref="E49"/>
    </sheetView>
  </sheetViews>
  <sheetFormatPr defaultColWidth="9" defaultRowHeight="14.25"/>
  <cols>
    <col min="1" max="1" width="10.5" style="400" customWidth="1"/>
    <col min="2" max="2" width="15.625" style="400" customWidth="1"/>
    <col min="3" max="3" width="15.1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hidden="1" customWidth="1"/>
    <col min="13" max="15" width="12.125" style="400" hidden="1" customWidth="1"/>
    <col min="16" max="16" width="4.625" style="2614" hidden="1" customWidth="1"/>
    <col min="17" max="17" width="19.5" style="400" hidden="1" customWidth="1"/>
    <col min="18" max="22" width="6.125" style="400" hidden="1" customWidth="1"/>
    <col min="23" max="23" width="5.625" style="400" hidden="1" customWidth="1"/>
    <col min="24" max="24" width="4.125" style="400" hidden="1" customWidth="1"/>
    <col min="25" max="25" width="3.5" style="400" hidden="1" customWidth="1"/>
    <col min="26" max="26" width="19.625" style="400" hidden="1" customWidth="1"/>
    <col min="27" max="28" width="9.375" style="400" hidden="1" customWidth="1"/>
    <col min="29" max="33" width="0" style="400" hidden="1" customWidth="1"/>
    <col min="34" max="16384" width="9" style="400"/>
  </cols>
  <sheetData>
    <row r="1" spans="1:29" s="1622" customFormat="1" ht="28.5" customHeight="1" thickBot="1">
      <c r="A1" s="1611" t="s">
        <v>2517</v>
      </c>
      <c r="B1" s="2574" t="s">
        <v>2518</v>
      </c>
      <c r="C1" s="1627" t="s">
        <v>2519</v>
      </c>
      <c r="D1" s="1614" t="s">
        <v>3076</v>
      </c>
      <c r="E1" s="2575"/>
      <c r="F1" s="2576" t="s">
        <v>2520</v>
      </c>
      <c r="G1" s="1624" t="s">
        <v>2521</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0" customFormat="1" ht="28.5" customHeight="1" thickTop="1">
      <c r="A2" s="1610" t="s">
        <v>1389</v>
      </c>
      <c r="B2" s="1412">
        <f>IF(C2="——",ROUND(C49*D3/10000,0),ROUND(C49*D3/10000,0)-D2)</f>
        <v>678768</v>
      </c>
      <c r="C2" s="2578" t="s">
        <v>70</v>
      </c>
      <c r="D2" s="1359" t="e">
        <f ca="1">SUMIF(INDIRECT("'"&amp;F2&amp;"'"&amp;"!A:A"),"承租人权益价值",INDIRECT("'"&amp;F2&amp;"'"&amp;"!c:c"))</f>
        <v>#REF!</v>
      </c>
      <c r="E2" s="2579" t="s">
        <v>2522</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1390</v>
      </c>
      <c r="B3" s="396">
        <f>IF(C2="——",C49,ROUND(B2*10000/D3,0))</f>
        <v>14401</v>
      </c>
      <c r="C3" s="397" t="s">
        <v>2523</v>
      </c>
      <c r="D3" s="396">
        <f>IF(D1="",'数据-汇总表'!E3,SUMIF('数据-汇总表'!$C19:$C33,D1,'数据-汇总表'!$E19:$E33))</f>
        <v>471334</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8" t="s">
        <v>2524</v>
      </c>
      <c r="B4" s="399"/>
      <c r="C4" s="3264" t="s">
        <v>2525</v>
      </c>
      <c r="D4" s="3277"/>
      <c r="E4" s="3278" t="s">
        <v>2526</v>
      </c>
      <c r="F4" s="3279"/>
      <c r="G4" s="3264" t="s">
        <v>2527</v>
      </c>
      <c r="H4" s="3277"/>
      <c r="I4" s="3264" t="s">
        <v>2528</v>
      </c>
      <c r="J4" s="3277"/>
      <c r="K4" s="2588" t="s">
        <v>2529</v>
      </c>
      <c r="L4" s="1124"/>
      <c r="M4" s="1125"/>
      <c r="N4" s="1125"/>
      <c r="O4" s="1125"/>
      <c r="P4" s="3280" t="s">
        <v>2530</v>
      </c>
      <c r="Q4" s="3281"/>
      <c r="R4" s="3286" t="s">
        <v>2526</v>
      </c>
      <c r="S4" s="3287"/>
      <c r="T4" s="3286" t="s">
        <v>2527</v>
      </c>
      <c r="U4" s="3287"/>
      <c r="V4" s="3273" t="s">
        <v>2528</v>
      </c>
      <c r="W4" s="3273"/>
      <c r="X4" s="1806"/>
      <c r="Y4" s="3286" t="s">
        <v>2530</v>
      </c>
      <c r="Z4" s="3287"/>
      <c r="AA4" s="3274" t="s">
        <v>2526</v>
      </c>
      <c r="AB4" s="3274" t="s">
        <v>2527</v>
      </c>
      <c r="AC4" s="3274" t="s">
        <v>2528</v>
      </c>
    </row>
    <row r="5" spans="1:29" ht="15">
      <c r="A5" s="401"/>
      <c r="B5" s="402"/>
      <c r="C5" s="3294" t="s">
        <v>2531</v>
      </c>
      <c r="D5" s="3295"/>
      <c r="E5" s="3301" t="s">
        <v>3089</v>
      </c>
      <c r="F5" s="3302"/>
      <c r="G5" s="3294" t="s">
        <v>3091</v>
      </c>
      <c r="H5" s="3295"/>
      <c r="I5" s="3303" t="s">
        <v>3677</v>
      </c>
      <c r="J5" s="3295"/>
      <c r="K5" s="2589"/>
      <c r="L5" s="1124"/>
      <c r="M5" s="1125"/>
      <c r="N5" s="1125"/>
      <c r="O5" s="1125"/>
      <c r="P5" s="3282"/>
      <c r="Q5" s="3283"/>
      <c r="R5" s="3288"/>
      <c r="S5" s="3289"/>
      <c r="T5" s="3288"/>
      <c r="U5" s="3289"/>
      <c r="V5" s="3273"/>
      <c r="W5" s="3273"/>
      <c r="X5" s="1806"/>
      <c r="Y5" s="3288"/>
      <c r="Z5" s="3289"/>
      <c r="AA5" s="3275"/>
      <c r="AB5" s="3275"/>
      <c r="AC5" s="3275"/>
    </row>
    <row r="6" spans="1:29" ht="29.25" customHeight="1" thickBot="1">
      <c r="A6" s="403"/>
      <c r="B6" s="404"/>
      <c r="C6" s="3292" t="s">
        <v>2535</v>
      </c>
      <c r="D6" s="3293"/>
      <c r="E6" s="3299" t="s">
        <v>3090</v>
      </c>
      <c r="F6" s="3300"/>
      <c r="G6" s="3292" t="s">
        <v>3092</v>
      </c>
      <c r="H6" s="3293"/>
      <c r="I6" s="3292" t="s">
        <v>3669</v>
      </c>
      <c r="J6" s="3293"/>
      <c r="K6" s="2589" t="s">
        <v>2536</v>
      </c>
      <c r="L6" s="1124"/>
      <c r="M6" s="1125"/>
      <c r="N6" s="1125"/>
      <c r="O6" s="1125"/>
      <c r="P6" s="3284"/>
      <c r="Q6" s="3285"/>
      <c r="R6" s="3288"/>
      <c r="S6" s="3289"/>
      <c r="T6" s="3290"/>
      <c r="U6" s="3291"/>
      <c r="V6" s="3273"/>
      <c r="W6" s="3273"/>
      <c r="X6" s="1806"/>
      <c r="Y6" s="3290"/>
      <c r="Z6" s="3291"/>
      <c r="AA6" s="3276"/>
      <c r="AB6" s="3276"/>
      <c r="AC6" s="3276"/>
    </row>
    <row r="7" spans="1:29" s="116" customFormat="1" ht="15.75" thickBot="1">
      <c r="A7" s="405" t="s">
        <v>2537</v>
      </c>
      <c r="B7" s="406"/>
      <c r="C7" s="407">
        <f>'数据-取费表'!B2</f>
        <v>43782</v>
      </c>
      <c r="D7" s="408">
        <v>100</v>
      </c>
      <c r="E7" s="409">
        <v>43770</v>
      </c>
      <c r="F7" s="410">
        <f>SUMIF(58:58,YEAR(E7)&amp;"-"&amp;MONTH(E7),59:59)</f>
        <v>100</v>
      </c>
      <c r="G7" s="409">
        <f>E7</f>
        <v>43770</v>
      </c>
      <c r="H7" s="408">
        <f>SUMIF(58:58,YEAR(G7)&amp;"-"&amp;MONTH(G7),59:59)</f>
        <v>100</v>
      </c>
      <c r="I7" s="409">
        <f>E7</f>
        <v>43770</v>
      </c>
      <c r="J7" s="408">
        <f>SUMIF(58:58,YEAR(I7)&amp;"-"&amp;MONTH(I7),59:59)</f>
        <v>100</v>
      </c>
      <c r="K7" s="2590"/>
      <c r="L7" s="1126"/>
      <c r="M7" s="1127"/>
      <c r="N7" s="1127"/>
      <c r="O7" s="1127"/>
      <c r="P7" s="3296" t="s">
        <v>2538</v>
      </c>
      <c r="Q7" s="3298"/>
      <c r="R7" s="766" t="s">
        <v>23</v>
      </c>
      <c r="S7" s="767">
        <f t="shared" ref="S7:S15" si="0">F7</f>
        <v>100</v>
      </c>
      <c r="T7" s="766" t="s">
        <v>23</v>
      </c>
      <c r="U7" s="767">
        <f t="shared" ref="U7:U15" si="1">H7</f>
        <v>100</v>
      </c>
      <c r="V7" s="766" t="s">
        <v>23</v>
      </c>
      <c r="W7" s="767">
        <f t="shared" ref="W7:W15" si="2">J7</f>
        <v>100</v>
      </c>
      <c r="X7" s="768"/>
      <c r="Y7" s="3296" t="s">
        <v>2538</v>
      </c>
      <c r="Z7" s="3297"/>
      <c r="AA7" s="769">
        <f>D7/F7</f>
        <v>1</v>
      </c>
      <c r="AB7" s="769">
        <f>D7/H7</f>
        <v>1</v>
      </c>
      <c r="AC7" s="769">
        <f>D7/J7</f>
        <v>1</v>
      </c>
    </row>
    <row r="8" spans="1:29" s="116" customFormat="1" ht="15.75" thickBot="1">
      <c r="A8" s="405" t="s">
        <v>2539</v>
      </c>
      <c r="B8" s="406"/>
      <c r="C8" s="411" t="s">
        <v>2540</v>
      </c>
      <c r="D8" s="408">
        <v>100</v>
      </c>
      <c r="E8" s="2591" t="s">
        <v>3095</v>
      </c>
      <c r="F8" s="410">
        <f>SUMIF(61:61,E8,62:62)-SUMIF(61:61,C8,62:62)+100</f>
        <v>100</v>
      </c>
      <c r="G8" s="2591" t="s">
        <v>3095</v>
      </c>
      <c r="H8" s="408">
        <f>SUMIF(61:61,G8,62:62)-SUMIF(61:61,C8,62:62)+100</f>
        <v>100</v>
      </c>
      <c r="I8" s="2591" t="s">
        <v>3095</v>
      </c>
      <c r="J8" s="408">
        <f>SUMIF(61:61,I8,62:62)-SUMIF(61:61,C8,62:62)+100</f>
        <v>100</v>
      </c>
      <c r="K8" s="2590"/>
      <c r="L8" s="1126"/>
      <c r="M8" s="1127"/>
      <c r="N8" s="1127"/>
      <c r="O8" s="1127"/>
      <c r="P8" s="3296" t="s">
        <v>2541</v>
      </c>
      <c r="Q8" s="3297"/>
      <c r="R8" s="766" t="s">
        <v>23</v>
      </c>
      <c r="S8" s="767">
        <f t="shared" si="0"/>
        <v>100</v>
      </c>
      <c r="T8" s="766" t="s">
        <v>23</v>
      </c>
      <c r="U8" s="767">
        <f t="shared" si="1"/>
        <v>100</v>
      </c>
      <c r="V8" s="766" t="s">
        <v>23</v>
      </c>
      <c r="W8" s="767">
        <f t="shared" si="2"/>
        <v>100</v>
      </c>
      <c r="X8" s="768"/>
      <c r="Y8" s="3296" t="s">
        <v>2541</v>
      </c>
      <c r="Z8" s="3297"/>
      <c r="AA8" s="769">
        <f t="shared" ref="AA8:AA19" si="3">D8/F8</f>
        <v>1</v>
      </c>
      <c r="AB8" s="769">
        <f t="shared" ref="AB8:AB19" si="4">D8/H8</f>
        <v>1</v>
      </c>
      <c r="AC8" s="769">
        <f t="shared" ref="AC8:AC19" si="5">D8/J8</f>
        <v>1</v>
      </c>
    </row>
    <row r="9" spans="1:29" s="116" customFormat="1">
      <c r="A9" s="412" t="s">
        <v>2542</v>
      </c>
      <c r="B9" s="71" t="s">
        <v>2543</v>
      </c>
      <c r="C9" s="2966" t="s">
        <v>3093</v>
      </c>
      <c r="D9" s="132">
        <v>100</v>
      </c>
      <c r="E9" s="414" t="s">
        <v>3059</v>
      </c>
      <c r="F9" s="415">
        <f>SUMIF(63:63,E9,64:64)-SUMIF(63:63,C9,64:64)+100</f>
        <v>100</v>
      </c>
      <c r="G9" s="414" t="s">
        <v>3059</v>
      </c>
      <c r="H9" s="132">
        <f>SUMIF(63:63,G9,64:64)-SUMIF(63:63,C9,64:64)+100</f>
        <v>100</v>
      </c>
      <c r="I9" s="414" t="s">
        <v>3059</v>
      </c>
      <c r="J9" s="132">
        <f>SUMIF(63:63,I9,64:64)-SUMIF(63:63,C9,64:64)+100</f>
        <v>100</v>
      </c>
      <c r="K9" s="2590"/>
      <c r="L9" s="1126"/>
      <c r="M9" s="1127"/>
      <c r="N9" s="1127"/>
      <c r="O9" s="1127"/>
      <c r="P9" s="3266" t="s">
        <v>2544</v>
      </c>
      <c r="Q9" s="1788" t="str">
        <f t="shared" ref="Q9:Q15" si="6">B9</f>
        <v>用途</v>
      </c>
      <c r="R9" s="766" t="s">
        <v>17</v>
      </c>
      <c r="S9" s="767">
        <f t="shared" si="0"/>
        <v>100</v>
      </c>
      <c r="T9" s="766" t="s">
        <v>17</v>
      </c>
      <c r="U9" s="767">
        <f t="shared" si="1"/>
        <v>100</v>
      </c>
      <c r="V9" s="766" t="s">
        <v>17</v>
      </c>
      <c r="W9" s="767">
        <f t="shared" si="2"/>
        <v>100</v>
      </c>
      <c r="X9" s="768"/>
      <c r="Y9" s="3087" t="s">
        <v>2545</v>
      </c>
      <c r="Z9" s="55" t="str">
        <f t="shared" ref="Z9:Z15" si="7">Q9</f>
        <v>用途</v>
      </c>
      <c r="AA9" s="769">
        <f t="shared" si="3"/>
        <v>1</v>
      </c>
      <c r="AB9" s="769">
        <f t="shared" si="4"/>
        <v>1</v>
      </c>
      <c r="AC9" s="769">
        <f t="shared" si="5"/>
        <v>1</v>
      </c>
    </row>
    <row r="10" spans="1:29" s="424" customFormat="1" ht="27">
      <c r="A10" s="418"/>
      <c r="B10" s="419" t="s">
        <v>2546</v>
      </c>
      <c r="C10" s="420" t="s">
        <v>3094</v>
      </c>
      <c r="D10" s="133">
        <v>100</v>
      </c>
      <c r="E10" s="421" t="s">
        <v>3096</v>
      </c>
      <c r="F10" s="422">
        <f>SUMIF(65:65,E10,66:66)-SUMIF(65:65,C10,66:66)+100</f>
        <v>105</v>
      </c>
      <c r="G10" s="421" t="s">
        <v>3096</v>
      </c>
      <c r="H10" s="133">
        <f>SUMIF(65:65,G10,66:66)-SUMIF(65:65,C10,66:66)+100</f>
        <v>105</v>
      </c>
      <c r="I10" s="421" t="s">
        <v>3096</v>
      </c>
      <c r="J10" s="133">
        <f>SUMIF(65:65,I10,66:66)-SUMIF(65:65,C10,66:66)+100</f>
        <v>105</v>
      </c>
      <c r="K10" s="423">
        <v>5</v>
      </c>
      <c r="L10" s="1129"/>
      <c r="M10" s="1130"/>
      <c r="N10" s="1130"/>
      <c r="O10" s="1130"/>
      <c r="P10" s="3266"/>
      <c r="Q10" s="1788" t="str">
        <f t="shared" si="6"/>
        <v>土地使用年限（年）</v>
      </c>
      <c r="R10" s="766" t="s">
        <v>17</v>
      </c>
      <c r="S10" s="767">
        <f t="shared" si="0"/>
        <v>105</v>
      </c>
      <c r="T10" s="766" t="s">
        <v>17</v>
      </c>
      <c r="U10" s="767">
        <f t="shared" si="1"/>
        <v>105</v>
      </c>
      <c r="V10" s="766" t="s">
        <v>17</v>
      </c>
      <c r="W10" s="767">
        <f t="shared" si="2"/>
        <v>105</v>
      </c>
      <c r="X10" s="768"/>
      <c r="Y10" s="3087"/>
      <c r="Z10" s="55" t="str">
        <f t="shared" si="7"/>
        <v>土地使用年限（年）</v>
      </c>
      <c r="AA10" s="769">
        <f t="shared" si="3"/>
        <v>0.95238095238095233</v>
      </c>
      <c r="AB10" s="769">
        <f t="shared" si="4"/>
        <v>0.95238095238095233</v>
      </c>
      <c r="AC10" s="769">
        <f t="shared" si="5"/>
        <v>0.95238095238095233</v>
      </c>
    </row>
    <row r="11" spans="1:29" ht="15">
      <c r="A11" s="425"/>
      <c r="B11" s="419" t="s">
        <v>2547</v>
      </c>
      <c r="C11" s="426">
        <f>'数据-汇总表'!I6</f>
        <v>1.78</v>
      </c>
      <c r="D11" s="133">
        <v>100</v>
      </c>
      <c r="E11" s="427">
        <v>2.2999999999999998</v>
      </c>
      <c r="F11" s="422">
        <f>LOOKUP(E11,68:68,69:69)-LOOKUP(C11,68:68,69:69)+100</f>
        <v>99</v>
      </c>
      <c r="G11" s="426">
        <v>2.5</v>
      </c>
      <c r="H11" s="133">
        <f>LOOKUP(G11,68:68,69:69)-LOOKUP(C11,68:68,69:69)+100</f>
        <v>99</v>
      </c>
      <c r="I11" s="426">
        <v>2.5499999999999998</v>
      </c>
      <c r="J11" s="133">
        <f>LOOKUP(I11,68:68,69:69)-LOOKUP(C11,68:68,69:69)+100</f>
        <v>99</v>
      </c>
      <c r="K11" s="423">
        <v>1</v>
      </c>
      <c r="L11" s="1132"/>
      <c r="M11" s="1125"/>
      <c r="N11" s="1125"/>
      <c r="O11" s="1125"/>
      <c r="P11" s="3266"/>
      <c r="Q11" s="1788" t="str">
        <f t="shared" si="6"/>
        <v>容积率</v>
      </c>
      <c r="R11" s="766" t="s">
        <v>21</v>
      </c>
      <c r="S11" s="767">
        <f t="shared" si="0"/>
        <v>99</v>
      </c>
      <c r="T11" s="766" t="s">
        <v>21</v>
      </c>
      <c r="U11" s="767">
        <f t="shared" si="1"/>
        <v>99</v>
      </c>
      <c r="V11" s="766" t="s">
        <v>21</v>
      </c>
      <c r="W11" s="767">
        <f t="shared" si="2"/>
        <v>99</v>
      </c>
      <c r="X11" s="768"/>
      <c r="Y11" s="3087"/>
      <c r="Z11" s="55" t="str">
        <f t="shared" si="7"/>
        <v>容积率</v>
      </c>
      <c r="AA11" s="769">
        <f t="shared" si="3"/>
        <v>1.0101010101010102</v>
      </c>
      <c r="AB11" s="769">
        <f t="shared" si="4"/>
        <v>1.0101010101010102</v>
      </c>
      <c r="AC11" s="769">
        <f t="shared" si="5"/>
        <v>1.0101010101010102</v>
      </c>
    </row>
    <row r="12" spans="1:29" s="116" customFormat="1" ht="15">
      <c r="A12" s="428"/>
      <c r="B12" s="2592"/>
      <c r="C12" s="429"/>
      <c r="D12" s="430">
        <v>100</v>
      </c>
      <c r="E12" s="429"/>
      <c r="F12" s="422">
        <f>SUMIF(70:70,E12,71:71)-SUMIF(70:70,C12,71:71)+100</f>
        <v>100</v>
      </c>
      <c r="G12" s="429"/>
      <c r="H12" s="133">
        <f>SUMIF(70:70,G12,71:71)-SUMIF(70:70,C12,71:71)+100</f>
        <v>100</v>
      </c>
      <c r="I12" s="429"/>
      <c r="J12" s="133">
        <f>SUMIF(70:70,I12,71:71)-SUMIF(70:70,C12,71:71)+100</f>
        <v>100</v>
      </c>
      <c r="K12" s="2593"/>
      <c r="L12" s="1126"/>
      <c r="M12" s="1127"/>
      <c r="N12" s="1127"/>
      <c r="O12" s="1127"/>
      <c r="P12" s="3266"/>
      <c r="Q12" s="1788">
        <f t="shared" si="6"/>
        <v>0</v>
      </c>
      <c r="R12" s="766" t="s">
        <v>21</v>
      </c>
      <c r="S12" s="767">
        <f t="shared" si="0"/>
        <v>100</v>
      </c>
      <c r="T12" s="766" t="s">
        <v>21</v>
      </c>
      <c r="U12" s="767">
        <f t="shared" si="1"/>
        <v>100</v>
      </c>
      <c r="V12" s="766" t="s">
        <v>21</v>
      </c>
      <c r="W12" s="767">
        <f t="shared" si="2"/>
        <v>100</v>
      </c>
      <c r="X12" s="768"/>
      <c r="Y12" s="3087"/>
      <c r="Z12" s="55">
        <f t="shared" si="7"/>
        <v>0</v>
      </c>
      <c r="AA12" s="769">
        <f>D12/F12</f>
        <v>1</v>
      </c>
      <c r="AB12" s="769">
        <f>D12/H12</f>
        <v>1</v>
      </c>
      <c r="AC12" s="769">
        <f>D12/J12</f>
        <v>1</v>
      </c>
    </row>
    <row r="13" spans="1:29" ht="15">
      <c r="A13" s="425"/>
      <c r="B13" s="2592"/>
      <c r="C13" s="431"/>
      <c r="D13" s="432">
        <v>100</v>
      </c>
      <c r="E13" s="431"/>
      <c r="F13" s="422">
        <f>SUMIF(72:72,E13,73:73)-SUMIF(72:72,C13,73:73)+100</f>
        <v>100</v>
      </c>
      <c r="G13" s="431"/>
      <c r="H13" s="432">
        <f>SUMIF(72:72,G13,73:73)-SUMIF(72:72,C13,73:73)+100</f>
        <v>100</v>
      </c>
      <c r="I13" s="431"/>
      <c r="J13" s="432">
        <f>SUMIF(72:72,I13,73:73)-SUMIF(72:72,C13,73:73)+100</f>
        <v>100</v>
      </c>
      <c r="K13" s="2593"/>
      <c r="L13" s="1134"/>
      <c r="M13" s="1125"/>
      <c r="N13" s="1125"/>
      <c r="O13" s="1125"/>
      <c r="P13" s="3266"/>
      <c r="Q13" s="1788">
        <f t="shared" si="6"/>
        <v>0</v>
      </c>
      <c r="R13" s="766" t="s">
        <v>21</v>
      </c>
      <c r="S13" s="767">
        <f t="shared" si="0"/>
        <v>100</v>
      </c>
      <c r="T13" s="766" t="s">
        <v>21</v>
      </c>
      <c r="U13" s="767">
        <f t="shared" si="1"/>
        <v>100</v>
      </c>
      <c r="V13" s="766" t="s">
        <v>21</v>
      </c>
      <c r="W13" s="767">
        <f t="shared" si="2"/>
        <v>100</v>
      </c>
      <c r="X13" s="768"/>
      <c r="Y13" s="3087"/>
      <c r="Z13" s="55">
        <f t="shared" si="7"/>
        <v>0</v>
      </c>
      <c r="AA13" s="769">
        <f t="shared" si="3"/>
        <v>1</v>
      </c>
      <c r="AB13" s="769">
        <f t="shared" si="4"/>
        <v>1</v>
      </c>
      <c r="AC13" s="769">
        <f t="shared" si="5"/>
        <v>1</v>
      </c>
    </row>
    <row r="14" spans="1:29" ht="15.75" thickBot="1">
      <c r="A14" s="433"/>
      <c r="B14" s="2594"/>
      <c r="C14" s="434"/>
      <c r="D14" s="435">
        <v>100</v>
      </c>
      <c r="E14" s="434"/>
      <c r="F14" s="436">
        <f>SUMIF(74:74,E14,75:75)-SUMIF(74:74,C14,75:75)+100</f>
        <v>100</v>
      </c>
      <c r="G14" s="434"/>
      <c r="H14" s="435">
        <f>SUMIF(74:74,G14,75:75)-SUMIF(74:74,C14,75:75)+100</f>
        <v>100</v>
      </c>
      <c r="I14" s="434"/>
      <c r="J14" s="435">
        <f>SUMIF(74:74,I14,75:75)-SUMIF(74:74,C14,75:75)+100</f>
        <v>100</v>
      </c>
      <c r="K14" s="2593"/>
      <c r="L14" s="1134"/>
      <c r="M14" s="1125"/>
      <c r="N14" s="1125"/>
      <c r="O14" s="1125"/>
      <c r="P14" s="3266"/>
      <c r="Q14" s="1788">
        <f t="shared" si="6"/>
        <v>0</v>
      </c>
      <c r="R14" s="766" t="s">
        <v>21</v>
      </c>
      <c r="S14" s="767">
        <f t="shared" si="0"/>
        <v>100</v>
      </c>
      <c r="T14" s="766" t="s">
        <v>21</v>
      </c>
      <c r="U14" s="767">
        <f t="shared" si="1"/>
        <v>100</v>
      </c>
      <c r="V14" s="766" t="s">
        <v>21</v>
      </c>
      <c r="W14" s="767">
        <f t="shared" si="2"/>
        <v>100</v>
      </c>
      <c r="X14" s="768"/>
      <c r="Y14" s="3087"/>
      <c r="Z14" s="55">
        <f t="shared" si="7"/>
        <v>0</v>
      </c>
      <c r="AA14" s="769">
        <f t="shared" si="3"/>
        <v>1</v>
      </c>
      <c r="AB14" s="769">
        <f t="shared" si="4"/>
        <v>1</v>
      </c>
      <c r="AC14" s="769">
        <f t="shared" si="5"/>
        <v>1</v>
      </c>
    </row>
    <row r="15" spans="1:29" ht="99.75">
      <c r="A15" s="437" t="s">
        <v>2548</v>
      </c>
      <c r="B15" s="69" t="s">
        <v>2080</v>
      </c>
      <c r="C15" s="2595" t="str">
        <f>估价对象房地状况!C3</f>
        <v>估价对象周边居住用地比例、居住小区规模和社区发展完善程度，综合评价居住社区成熟度一般</v>
      </c>
      <c r="D15" s="438">
        <v>100</v>
      </c>
      <c r="E15" s="441"/>
      <c r="F15" s="438">
        <f>SUMIF(76:76,E16,77:77)-SUMIF(76:76,C16,77:77)+100</f>
        <v>110</v>
      </c>
      <c r="G15" s="441"/>
      <c r="H15" s="438">
        <f>SUMIF(76:76,G16,77:77)-SUMIF(76:76,C16,77:77)+100</f>
        <v>110</v>
      </c>
      <c r="I15" s="441"/>
      <c r="J15" s="438">
        <f>SUMIF(76:76,I16,77:77)-SUMIF(76:76,C16,77:77)+100</f>
        <v>110</v>
      </c>
      <c r="K15" s="442">
        <v>5</v>
      </c>
      <c r="L15" s="1134"/>
      <c r="M15" s="1125"/>
      <c r="N15" s="1125"/>
      <c r="O15" s="1125"/>
      <c r="P15" s="3305" t="s">
        <v>2549</v>
      </c>
      <c r="Q15" s="1803" t="str">
        <f t="shared" si="6"/>
        <v>居住社区成熟度</v>
      </c>
      <c r="R15" s="770" t="s">
        <v>21</v>
      </c>
      <c r="S15" s="771">
        <f t="shared" si="0"/>
        <v>110</v>
      </c>
      <c r="T15" s="770" t="s">
        <v>21</v>
      </c>
      <c r="U15" s="771">
        <f t="shared" si="1"/>
        <v>110</v>
      </c>
      <c r="V15" s="770" t="s">
        <v>21</v>
      </c>
      <c r="W15" s="771">
        <f t="shared" si="2"/>
        <v>110</v>
      </c>
      <c r="X15" s="1806"/>
      <c r="Y15" s="3269" t="s">
        <v>2549</v>
      </c>
      <c r="Z15" s="1807" t="str">
        <f t="shared" si="7"/>
        <v>居住社区成熟度</v>
      </c>
      <c r="AA15" s="1804">
        <f t="shared" si="3"/>
        <v>0.90909090909090906</v>
      </c>
      <c r="AB15" s="1804">
        <f t="shared" si="4"/>
        <v>0.90909090909090906</v>
      </c>
      <c r="AC15" s="1804">
        <f t="shared" si="5"/>
        <v>0.90909090909090906</v>
      </c>
    </row>
    <row r="16" spans="1:29" ht="15">
      <c r="A16" s="425"/>
      <c r="B16" s="443"/>
      <c r="C16" s="444" t="s">
        <v>3097</v>
      </c>
      <c r="D16" s="445"/>
      <c r="E16" s="2596" t="s">
        <v>3100</v>
      </c>
      <c r="F16" s="445"/>
      <c r="G16" s="2596" t="s">
        <v>3100</v>
      </c>
      <c r="H16" s="447"/>
      <c r="I16" s="2596" t="s">
        <v>3100</v>
      </c>
      <c r="J16" s="445"/>
      <c r="K16" s="2598"/>
      <c r="L16" s="1134"/>
      <c r="M16" s="1125"/>
      <c r="N16" s="1125"/>
      <c r="O16" s="1125"/>
      <c r="P16" s="3306"/>
      <c r="Q16" s="1803"/>
      <c r="R16" s="770"/>
      <c r="S16" s="771"/>
      <c r="T16" s="770"/>
      <c r="U16" s="771"/>
      <c r="V16" s="770"/>
      <c r="W16" s="771"/>
      <c r="X16" s="1806"/>
      <c r="Y16" s="3270"/>
      <c r="Z16" s="1807"/>
      <c r="AA16" s="1804">
        <v>1</v>
      </c>
      <c r="AB16" s="1804">
        <v>1</v>
      </c>
      <c r="AC16" s="1804">
        <v>1</v>
      </c>
    </row>
    <row r="17" spans="1:29" ht="85.5">
      <c r="A17" s="425"/>
      <c r="B17" s="448" t="s">
        <v>2092</v>
      </c>
      <c r="C17" s="2599" t="str">
        <f>估价对象房地状况!C6</f>
        <v>估价对象周边道路状况、公共交通通达情况、停车便捷程度，综合评价交通便捷度较好</v>
      </c>
      <c r="D17" s="447">
        <v>100</v>
      </c>
      <c r="E17" s="451"/>
      <c r="F17" s="447">
        <f>SUMIF(78:78,E18,79:79)-SUMIF(78:78,C18,79:79)+100</f>
        <v>100</v>
      </c>
      <c r="G17" s="451"/>
      <c r="H17" s="452">
        <f>SUMIF(78:78,G18,79:79)-SUMIF(78:78,C18,79:79)+100</f>
        <v>105</v>
      </c>
      <c r="I17" s="451"/>
      <c r="J17" s="452">
        <f>SUMIF(78:78,I18,79:79)-SUMIF(78:78,C18,79:79)+100</f>
        <v>105</v>
      </c>
      <c r="K17" s="442">
        <v>5</v>
      </c>
      <c r="L17" s="1134"/>
      <c r="M17" s="1125"/>
      <c r="N17" s="1125"/>
      <c r="O17" s="1125"/>
      <c r="P17" s="3306"/>
      <c r="Q17" s="1803" t="str">
        <f>B17</f>
        <v>交通便捷度</v>
      </c>
      <c r="R17" s="770" t="s">
        <v>21</v>
      </c>
      <c r="S17" s="771">
        <f>F17</f>
        <v>100</v>
      </c>
      <c r="T17" s="770" t="s">
        <v>21</v>
      </c>
      <c r="U17" s="771">
        <f>H17</f>
        <v>105</v>
      </c>
      <c r="V17" s="770" t="s">
        <v>21</v>
      </c>
      <c r="W17" s="771">
        <f>J17</f>
        <v>105</v>
      </c>
      <c r="X17" s="1806"/>
      <c r="Y17" s="3270"/>
      <c r="Z17" s="1807" t="str">
        <f>Q17</f>
        <v>交通便捷度</v>
      </c>
      <c r="AA17" s="1804">
        <f t="shared" si="3"/>
        <v>1</v>
      </c>
      <c r="AB17" s="1804">
        <f t="shared" si="4"/>
        <v>0.95238095238095233</v>
      </c>
      <c r="AC17" s="1804">
        <f t="shared" si="5"/>
        <v>0.95238095238095233</v>
      </c>
    </row>
    <row r="18" spans="1:29" ht="15">
      <c r="A18" s="425"/>
      <c r="B18" s="453"/>
      <c r="C18" s="2600" t="s">
        <v>3098</v>
      </c>
      <c r="D18" s="447"/>
      <c r="E18" s="2601" t="s">
        <v>3098</v>
      </c>
      <c r="F18" s="447"/>
      <c r="G18" s="2601" t="s">
        <v>3100</v>
      </c>
      <c r="H18" s="445"/>
      <c r="I18" s="2601" t="s">
        <v>3100</v>
      </c>
      <c r="J18" s="445"/>
      <c r="K18" s="2598"/>
      <c r="L18" s="1134"/>
      <c r="M18" s="1125"/>
      <c r="N18" s="1125"/>
      <c r="O18" s="1125"/>
      <c r="P18" s="3306"/>
      <c r="Q18" s="1803"/>
      <c r="R18" s="770"/>
      <c r="S18" s="771"/>
      <c r="T18" s="770"/>
      <c r="U18" s="771"/>
      <c r="V18" s="770"/>
      <c r="W18" s="771"/>
      <c r="X18" s="1806"/>
      <c r="Y18" s="3270"/>
      <c r="Z18" s="1807"/>
      <c r="AA18" s="1804">
        <v>1</v>
      </c>
      <c r="AB18" s="1804">
        <v>1</v>
      </c>
      <c r="AC18" s="1804">
        <v>1</v>
      </c>
    </row>
    <row r="19" spans="1:29" ht="42.75">
      <c r="A19" s="425"/>
      <c r="B19" s="448" t="s">
        <v>2090</v>
      </c>
      <c r="C19" s="2599" t="str">
        <f>估价对象房地状况!C7</f>
        <v>估价对象所在区域公共配套设施齐备情况</v>
      </c>
      <c r="D19" s="452">
        <v>100</v>
      </c>
      <c r="E19" s="456"/>
      <c r="F19" s="452">
        <f>SUMIF(80:80,E20,81:81)-SUMIF(80:80,C20,81:81)+100</f>
        <v>105</v>
      </c>
      <c r="G19" s="456"/>
      <c r="H19" s="447">
        <f>SUMIF(80:80,G20,81:81)-SUMIF(80:80,C20,81:81)+100</f>
        <v>105</v>
      </c>
      <c r="I19" s="456"/>
      <c r="J19" s="447">
        <f>SUMIF(80:80,I20,81:81)-SUMIF(80:80,C20,81:81)+100</f>
        <v>105</v>
      </c>
      <c r="K19" s="442">
        <v>5</v>
      </c>
      <c r="L19" s="1134"/>
      <c r="M19" s="1125"/>
      <c r="N19" s="1125"/>
      <c r="O19" s="1125"/>
      <c r="P19" s="3306"/>
      <c r="Q19" s="1803" t="str">
        <f>B19</f>
        <v>公共配套设施</v>
      </c>
      <c r="R19" s="770" t="s">
        <v>21</v>
      </c>
      <c r="S19" s="771">
        <f>F19</f>
        <v>105</v>
      </c>
      <c r="T19" s="770" t="s">
        <v>21</v>
      </c>
      <c r="U19" s="771">
        <f>H19</f>
        <v>105</v>
      </c>
      <c r="V19" s="770" t="s">
        <v>21</v>
      </c>
      <c r="W19" s="771">
        <f>J19</f>
        <v>105</v>
      </c>
      <c r="X19" s="1806"/>
      <c r="Y19" s="3270"/>
      <c r="Z19" s="1807" t="str">
        <f>Q19</f>
        <v>公共配套设施</v>
      </c>
      <c r="AA19" s="1804">
        <f t="shared" si="3"/>
        <v>0.95238095238095233</v>
      </c>
      <c r="AB19" s="1804">
        <f t="shared" si="4"/>
        <v>0.95238095238095233</v>
      </c>
      <c r="AC19" s="1804">
        <f t="shared" si="5"/>
        <v>0.95238095238095233</v>
      </c>
    </row>
    <row r="20" spans="1:29" ht="15">
      <c r="A20" s="425"/>
      <c r="B20" s="453"/>
      <c r="C20" s="444" t="s">
        <v>3098</v>
      </c>
      <c r="D20" s="445"/>
      <c r="E20" s="2596" t="s">
        <v>3100</v>
      </c>
      <c r="F20" s="445"/>
      <c r="G20" s="2596" t="s">
        <v>3100</v>
      </c>
      <c r="H20" s="445"/>
      <c r="I20" s="2596" t="s">
        <v>3100</v>
      </c>
      <c r="J20" s="445"/>
      <c r="K20" s="2598"/>
      <c r="L20" s="1134"/>
      <c r="M20" s="1125"/>
      <c r="N20" s="1125"/>
      <c r="O20" s="1125"/>
      <c r="P20" s="3306"/>
      <c r="Q20" s="1803"/>
      <c r="R20" s="770"/>
      <c r="S20" s="771"/>
      <c r="T20" s="770"/>
      <c r="U20" s="771"/>
      <c r="V20" s="770"/>
      <c r="W20" s="771"/>
      <c r="X20" s="1806"/>
      <c r="Y20" s="3270"/>
      <c r="Z20" s="1807"/>
      <c r="AA20" s="1804">
        <v>1</v>
      </c>
      <c r="AB20" s="1804">
        <v>1</v>
      </c>
      <c r="AC20" s="1804">
        <v>1</v>
      </c>
    </row>
    <row r="21" spans="1:29" ht="28.5">
      <c r="A21" s="425"/>
      <c r="B21" s="1378" t="s">
        <v>2093</v>
      </c>
      <c r="C21" s="2599" t="str">
        <f>估价对象房地状况!C8</f>
        <v>估价对象所在区域基础设施水平</v>
      </c>
      <c r="D21" s="447">
        <v>100</v>
      </c>
      <c r="E21" s="456"/>
      <c r="F21" s="452">
        <f>SUMIF(82:82,E22,83:83)-SUMIF(82:82,C22,83:83)+100</f>
        <v>100</v>
      </c>
      <c r="G21" s="456"/>
      <c r="H21" s="447">
        <f>SUMIF(82:82,G22,83:83)-SUMIF(82:82,C22,83:83)+100</f>
        <v>100</v>
      </c>
      <c r="I21" s="456"/>
      <c r="J21" s="447">
        <f>SUMIF(82:82,I22,83:83)-SUMIF(82:82,C22,83:83)+100</f>
        <v>100</v>
      </c>
      <c r="K21" s="442">
        <v>2</v>
      </c>
      <c r="L21" s="1134"/>
      <c r="M21" s="1125"/>
      <c r="N21" s="1125"/>
      <c r="O21" s="1125"/>
      <c r="P21" s="3306"/>
      <c r="Q21" s="1803" t="str">
        <f>B21</f>
        <v>基础设施水平</v>
      </c>
      <c r="R21" s="770" t="s">
        <v>17</v>
      </c>
      <c r="S21" s="771">
        <f>F21</f>
        <v>100</v>
      </c>
      <c r="T21" s="770" t="s">
        <v>17</v>
      </c>
      <c r="U21" s="771">
        <f>H21</f>
        <v>100</v>
      </c>
      <c r="V21" s="770" t="s">
        <v>17</v>
      </c>
      <c r="W21" s="771">
        <f>J21</f>
        <v>100</v>
      </c>
      <c r="X21" s="1806"/>
      <c r="Y21" s="3270"/>
      <c r="Z21" s="1807" t="str">
        <f>Q21</f>
        <v>基础设施水平</v>
      </c>
      <c r="AA21" s="1804">
        <f>D21/F21</f>
        <v>1</v>
      </c>
      <c r="AB21" s="1804">
        <f>D21/H21</f>
        <v>1</v>
      </c>
      <c r="AC21" s="1804">
        <f>D21/J21</f>
        <v>1</v>
      </c>
    </row>
    <row r="22" spans="1:29" ht="15">
      <c r="A22" s="425"/>
      <c r="B22" s="1378"/>
      <c r="C22" s="2600" t="s">
        <v>3099</v>
      </c>
      <c r="D22" s="445"/>
      <c r="E22" s="444" t="s">
        <v>3099</v>
      </c>
      <c r="F22" s="445"/>
      <c r="G22" s="444" t="s">
        <v>3099</v>
      </c>
      <c r="H22" s="445"/>
      <c r="I22" s="444" t="s">
        <v>3099</v>
      </c>
      <c r="J22" s="445"/>
      <c r="K22" s="2604"/>
      <c r="L22" s="1134"/>
      <c r="M22" s="1125"/>
      <c r="N22" s="1125"/>
      <c r="O22" s="1125"/>
      <c r="P22" s="3306"/>
      <c r="Q22" s="1803"/>
      <c r="R22" s="770"/>
      <c r="S22" s="771"/>
      <c r="T22" s="770"/>
      <c r="U22" s="771"/>
      <c r="V22" s="770"/>
      <c r="W22" s="771"/>
      <c r="X22" s="1806"/>
      <c r="Y22" s="3270"/>
      <c r="Z22" s="1807"/>
      <c r="AA22" s="1804">
        <v>1</v>
      </c>
      <c r="AB22" s="1804">
        <v>1</v>
      </c>
      <c r="AC22" s="1804">
        <v>1</v>
      </c>
    </row>
    <row r="23" spans="1:29" ht="57">
      <c r="A23" s="425"/>
      <c r="B23" s="448" t="s">
        <v>2097</v>
      </c>
      <c r="C23" s="2599" t="str">
        <f>估价对象房地状况!C9</f>
        <v>区域自然环境：；人文环境；综合评价环境状况一般</v>
      </c>
      <c r="D23" s="447">
        <v>100</v>
      </c>
      <c r="E23" s="451"/>
      <c r="F23" s="447">
        <f>SUMIF(84:84,E24,85:85)-SUMIF(84:84,C24,85:85)+100</f>
        <v>98</v>
      </c>
      <c r="G23" s="451"/>
      <c r="H23" s="447">
        <f>SUMIF(84:84,G24,85:85)-SUMIF(84:84,C24,85:85)+100</f>
        <v>98</v>
      </c>
      <c r="I23" s="451"/>
      <c r="J23" s="447">
        <f>SUMIF(84:84,I24,85:85)-SUMIF(84:84,C24,85:85)+100</f>
        <v>98</v>
      </c>
      <c r="K23" s="442">
        <v>2</v>
      </c>
      <c r="L23" s="1134"/>
      <c r="M23" s="1125"/>
      <c r="N23" s="1125"/>
      <c r="O23" s="1125"/>
      <c r="P23" s="3306"/>
      <c r="Q23" s="1803" t="str">
        <f>B23</f>
        <v>自然及人文环境</v>
      </c>
      <c r="R23" s="770" t="s">
        <v>21</v>
      </c>
      <c r="S23" s="771">
        <f>F23</f>
        <v>98</v>
      </c>
      <c r="T23" s="770" t="s">
        <v>21</v>
      </c>
      <c r="U23" s="771">
        <f>H23</f>
        <v>98</v>
      </c>
      <c r="V23" s="770" t="s">
        <v>21</v>
      </c>
      <c r="W23" s="771">
        <f>J23</f>
        <v>98</v>
      </c>
      <c r="X23" s="1806"/>
      <c r="Y23" s="3270"/>
      <c r="Z23" s="1807" t="str">
        <f>Q23</f>
        <v>自然及人文环境</v>
      </c>
      <c r="AA23" s="1804">
        <f>D23/F23</f>
        <v>1.0204081632653061</v>
      </c>
      <c r="AB23" s="1804">
        <f>D23/H23</f>
        <v>1.0204081632653061</v>
      </c>
      <c r="AC23" s="1804">
        <f>D23/J23</f>
        <v>1.0204081632653061</v>
      </c>
    </row>
    <row r="24" spans="1:29" ht="15">
      <c r="A24" s="425"/>
      <c r="B24" s="453"/>
      <c r="C24" s="444" t="s">
        <v>3100</v>
      </c>
      <c r="D24" s="445"/>
      <c r="E24" s="2596" t="s">
        <v>3098</v>
      </c>
      <c r="F24" s="445"/>
      <c r="G24" s="2596" t="s">
        <v>3098</v>
      </c>
      <c r="H24" s="445"/>
      <c r="I24" s="2596" t="s">
        <v>3098</v>
      </c>
      <c r="J24" s="445"/>
      <c r="K24" s="2598"/>
      <c r="L24" s="1134"/>
      <c r="M24" s="1125"/>
      <c r="N24" s="1125"/>
      <c r="O24" s="1125"/>
      <c r="P24" s="3306"/>
      <c r="Q24" s="1803"/>
      <c r="R24" s="770"/>
      <c r="S24" s="771"/>
      <c r="T24" s="770"/>
      <c r="U24" s="771"/>
      <c r="V24" s="770"/>
      <c r="W24" s="771"/>
      <c r="X24" s="1806"/>
      <c r="Y24" s="3270"/>
      <c r="Z24" s="1807"/>
      <c r="AA24" s="1804">
        <v>1</v>
      </c>
      <c r="AB24" s="1804">
        <v>1</v>
      </c>
      <c r="AC24" s="1804">
        <v>1</v>
      </c>
    </row>
    <row r="25" spans="1:29" ht="15">
      <c r="A25" s="425"/>
      <c r="B25" s="419" t="s">
        <v>2550</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306"/>
      <c r="Q25" s="1803" t="str">
        <f t="shared" ref="Q25:Q46" si="8">B25</f>
        <v>楼层-1</v>
      </c>
      <c r="R25" s="770" t="s">
        <v>21</v>
      </c>
      <c r="S25" s="771">
        <f t="shared" ref="S25:S46" si="9">F25</f>
        <v>100</v>
      </c>
      <c r="T25" s="770" t="s">
        <v>21</v>
      </c>
      <c r="U25" s="771">
        <f t="shared" ref="U25:U46" si="10">H25</f>
        <v>100</v>
      </c>
      <c r="V25" s="770" t="s">
        <v>21</v>
      </c>
      <c r="W25" s="771">
        <f t="shared" ref="W25:W46" si="11">J25</f>
        <v>100</v>
      </c>
      <c r="X25" s="1806"/>
      <c r="Y25" s="3270"/>
      <c r="Z25" s="1807" t="str">
        <f>Q25</f>
        <v>楼层-1</v>
      </c>
      <c r="AA25" s="1804">
        <f t="shared" ref="AA25:AA46" si="12">D25/F25</f>
        <v>1</v>
      </c>
      <c r="AB25" s="1804">
        <f t="shared" ref="AB25:AB46" si="13">D25/H25</f>
        <v>1</v>
      </c>
      <c r="AC25" s="1804">
        <f t="shared" ref="AC25:AC46" si="14">D25/J25</f>
        <v>1</v>
      </c>
    </row>
    <row r="26" spans="1:29" ht="15">
      <c r="A26" s="425"/>
      <c r="B26" s="419" t="s">
        <v>2551</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306"/>
      <c r="Q26" s="1803" t="str">
        <f t="shared" si="8"/>
        <v>朝向</v>
      </c>
      <c r="R26" s="770" t="s">
        <v>21</v>
      </c>
      <c r="S26" s="771">
        <f t="shared" si="9"/>
        <v>100</v>
      </c>
      <c r="T26" s="770" t="s">
        <v>21</v>
      </c>
      <c r="U26" s="771">
        <f t="shared" si="10"/>
        <v>100</v>
      </c>
      <c r="V26" s="770" t="s">
        <v>21</v>
      </c>
      <c r="W26" s="771">
        <f t="shared" si="11"/>
        <v>100</v>
      </c>
      <c r="X26" s="1806"/>
      <c r="Y26" s="3270"/>
      <c r="Z26" s="1807" t="str">
        <f>Q26</f>
        <v>朝向</v>
      </c>
      <c r="AA26" s="1804">
        <f t="shared" si="12"/>
        <v>1</v>
      </c>
      <c r="AB26" s="1804">
        <f t="shared" si="13"/>
        <v>1</v>
      </c>
      <c r="AC26" s="1804">
        <f t="shared" si="14"/>
        <v>1</v>
      </c>
    </row>
    <row r="27" spans="1:29" s="116" customFormat="1" ht="15">
      <c r="A27" s="428"/>
      <c r="B27" s="1380"/>
      <c r="C27" s="429"/>
      <c r="D27" s="459">
        <v>100</v>
      </c>
      <c r="E27" s="462"/>
      <c r="F27" s="459">
        <f>SUMIF(90:90,E27,91:91)-SUMIF(90:90,C27,91:91)+100</f>
        <v>100</v>
      </c>
      <c r="G27" s="460"/>
      <c r="H27" s="459">
        <f>SUMIF(90:90,G27,91:91)-SUMIF(90:90,C27,91:91)+100</f>
        <v>100</v>
      </c>
      <c r="I27" s="460"/>
      <c r="J27" s="459">
        <f>SUMIF(90:90,I27,91:91)-SUMIF(90:90,C27,91:91)+100</f>
        <v>100</v>
      </c>
      <c r="K27" s="2593"/>
      <c r="L27" s="1126"/>
      <c r="M27" s="1127"/>
      <c r="N27" s="1127"/>
      <c r="O27" s="1127"/>
      <c r="P27" s="3306"/>
      <c r="Q27" s="1788">
        <f t="shared" si="8"/>
        <v>0</v>
      </c>
      <c r="R27" s="766" t="s">
        <v>21</v>
      </c>
      <c r="S27" s="767">
        <f t="shared" si="9"/>
        <v>100</v>
      </c>
      <c r="T27" s="766" t="s">
        <v>21</v>
      </c>
      <c r="U27" s="767">
        <f t="shared" si="10"/>
        <v>100</v>
      </c>
      <c r="V27" s="766" t="s">
        <v>21</v>
      </c>
      <c r="W27" s="767">
        <f t="shared" si="11"/>
        <v>100</v>
      </c>
      <c r="X27" s="768"/>
      <c r="Y27" s="3270"/>
      <c r="Z27" s="55">
        <f>Q27</f>
        <v>0</v>
      </c>
      <c r="AA27" s="1804">
        <f t="shared" si="12"/>
        <v>1</v>
      </c>
      <c r="AB27" s="1804">
        <f t="shared" si="13"/>
        <v>1</v>
      </c>
      <c r="AC27" s="1804">
        <f t="shared" si="14"/>
        <v>1</v>
      </c>
    </row>
    <row r="28" spans="1:29" ht="15">
      <c r="A28" s="425"/>
      <c r="B28" s="1380"/>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306"/>
      <c r="Q28" s="1803">
        <f t="shared" si="8"/>
        <v>0</v>
      </c>
      <c r="R28" s="770" t="s">
        <v>21</v>
      </c>
      <c r="S28" s="771">
        <f t="shared" si="9"/>
        <v>100</v>
      </c>
      <c r="T28" s="770" t="s">
        <v>21</v>
      </c>
      <c r="U28" s="771">
        <f t="shared" si="10"/>
        <v>100</v>
      </c>
      <c r="V28" s="770" t="s">
        <v>21</v>
      </c>
      <c r="W28" s="771">
        <f t="shared" si="11"/>
        <v>100</v>
      </c>
      <c r="X28" s="1806"/>
      <c r="Y28" s="3270"/>
      <c r="Z28" s="1807">
        <f t="shared" ref="Z28:Z46" si="15">Q28</f>
        <v>0</v>
      </c>
      <c r="AA28" s="1804">
        <f t="shared" si="12"/>
        <v>1</v>
      </c>
      <c r="AB28" s="1804">
        <f t="shared" si="13"/>
        <v>1</v>
      </c>
      <c r="AC28" s="1804">
        <f t="shared" si="14"/>
        <v>1</v>
      </c>
    </row>
    <row r="29" spans="1:29" ht="15">
      <c r="A29" s="425"/>
      <c r="B29" s="1380"/>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306"/>
      <c r="Q29" s="1803">
        <f t="shared" si="8"/>
        <v>0</v>
      </c>
      <c r="R29" s="770" t="s">
        <v>21</v>
      </c>
      <c r="S29" s="771">
        <f t="shared" si="9"/>
        <v>100</v>
      </c>
      <c r="T29" s="770" t="s">
        <v>21</v>
      </c>
      <c r="U29" s="771">
        <f t="shared" si="10"/>
        <v>100</v>
      </c>
      <c r="V29" s="770" t="s">
        <v>21</v>
      </c>
      <c r="W29" s="771">
        <f t="shared" si="11"/>
        <v>100</v>
      </c>
      <c r="X29" s="1806"/>
      <c r="Y29" s="3270"/>
      <c r="Z29" s="1807">
        <f t="shared" si="15"/>
        <v>0</v>
      </c>
      <c r="AA29" s="1804">
        <f t="shared" si="12"/>
        <v>1</v>
      </c>
      <c r="AB29" s="1804">
        <f t="shared" si="13"/>
        <v>1</v>
      </c>
      <c r="AC29" s="1804">
        <f t="shared" si="14"/>
        <v>1</v>
      </c>
    </row>
    <row r="30" spans="1:29" ht="15">
      <c r="A30" s="425"/>
      <c r="B30" s="1380"/>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306"/>
      <c r="Q30" s="1803">
        <f t="shared" si="8"/>
        <v>0</v>
      </c>
      <c r="R30" s="770" t="s">
        <v>21</v>
      </c>
      <c r="S30" s="771">
        <f t="shared" si="9"/>
        <v>100</v>
      </c>
      <c r="T30" s="770" t="s">
        <v>21</v>
      </c>
      <c r="U30" s="771">
        <f t="shared" si="10"/>
        <v>100</v>
      </c>
      <c r="V30" s="770" t="s">
        <v>21</v>
      </c>
      <c r="W30" s="771">
        <f t="shared" si="11"/>
        <v>100</v>
      </c>
      <c r="X30" s="1806"/>
      <c r="Y30" s="3270"/>
      <c r="Z30" s="1807">
        <f t="shared" si="15"/>
        <v>0</v>
      </c>
      <c r="AA30" s="1804">
        <f t="shared" si="12"/>
        <v>1</v>
      </c>
      <c r="AB30" s="1804">
        <f t="shared" si="13"/>
        <v>1</v>
      </c>
      <c r="AC30" s="1804">
        <f t="shared" si="14"/>
        <v>1</v>
      </c>
    </row>
    <row r="31" spans="1:29" ht="15.75" thickBot="1">
      <c r="A31" s="433"/>
      <c r="B31" s="1380"/>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306"/>
      <c r="Q31" s="1803">
        <f t="shared" si="8"/>
        <v>0</v>
      </c>
      <c r="R31" s="770" t="s">
        <v>21</v>
      </c>
      <c r="S31" s="771">
        <f t="shared" si="9"/>
        <v>100</v>
      </c>
      <c r="T31" s="770" t="s">
        <v>21</v>
      </c>
      <c r="U31" s="771">
        <f t="shared" si="10"/>
        <v>100</v>
      </c>
      <c r="V31" s="770" t="s">
        <v>21</v>
      </c>
      <c r="W31" s="771">
        <f t="shared" si="11"/>
        <v>100</v>
      </c>
      <c r="X31" s="1806"/>
      <c r="Y31" s="3270"/>
      <c r="Z31" s="1807">
        <f t="shared" si="15"/>
        <v>0</v>
      </c>
      <c r="AA31" s="1804">
        <f t="shared" si="12"/>
        <v>1</v>
      </c>
      <c r="AB31" s="1804">
        <f t="shared" si="13"/>
        <v>1</v>
      </c>
      <c r="AC31" s="1804">
        <f t="shared" si="14"/>
        <v>1</v>
      </c>
    </row>
    <row r="32" spans="1:29" ht="15">
      <c r="A32" s="437" t="s">
        <v>2552</v>
      </c>
      <c r="B32" s="71" t="s">
        <v>2553</v>
      </c>
      <c r="C32" s="2609" t="s">
        <v>3076</v>
      </c>
      <c r="D32" s="464">
        <v>100</v>
      </c>
      <c r="E32" s="2609" t="s">
        <v>3076</v>
      </c>
      <c r="F32" s="458">
        <f>SUMIF(100:100,E32,101:101)-SUMIF(100:100,C32,101:101)+100</f>
        <v>100</v>
      </c>
      <c r="G32" s="2609" t="s">
        <v>3076</v>
      </c>
      <c r="H32" s="464">
        <f>SUMIF(100:100,G32,101:101)-SUMIF(100:100,C32,101:101)+100</f>
        <v>100</v>
      </c>
      <c r="I32" s="2609" t="s">
        <v>3076</v>
      </c>
      <c r="J32" s="432">
        <f>SUMIF(100:100,I32,101:101)-SUMIF(100:100,C32,101:101)+100</f>
        <v>100</v>
      </c>
      <c r="K32" s="423">
        <v>5</v>
      </c>
      <c r="L32" s="1134"/>
      <c r="M32" s="1125"/>
      <c r="N32" s="1125"/>
      <c r="O32" s="1125"/>
      <c r="P32" s="3307" t="s">
        <v>2554</v>
      </c>
      <c r="Q32" s="1803" t="str">
        <f t="shared" si="8"/>
        <v>建筑类型</v>
      </c>
      <c r="R32" s="770" t="s">
        <v>21</v>
      </c>
      <c r="S32" s="771">
        <f t="shared" si="9"/>
        <v>100</v>
      </c>
      <c r="T32" s="770" t="s">
        <v>21</v>
      </c>
      <c r="U32" s="771">
        <f t="shared" si="10"/>
        <v>100</v>
      </c>
      <c r="V32" s="770" t="s">
        <v>21</v>
      </c>
      <c r="W32" s="771">
        <f t="shared" si="11"/>
        <v>100</v>
      </c>
      <c r="X32" s="1806"/>
      <c r="Y32" s="3272" t="s">
        <v>2554</v>
      </c>
      <c r="Z32" s="1807" t="str">
        <f t="shared" si="15"/>
        <v>建筑类型</v>
      </c>
      <c r="AA32" s="1804">
        <f t="shared" si="12"/>
        <v>1</v>
      </c>
      <c r="AB32" s="1804">
        <f t="shared" si="13"/>
        <v>1</v>
      </c>
      <c r="AC32" s="1804">
        <f t="shared" si="14"/>
        <v>1</v>
      </c>
    </row>
    <row r="33" spans="1:29" s="468" customFormat="1" ht="15">
      <c r="A33" s="465"/>
      <c r="B33" s="419" t="s">
        <v>2555</v>
      </c>
      <c r="C33" s="466"/>
      <c r="D33" s="133">
        <v>100</v>
      </c>
      <c r="E33" s="466">
        <v>270000</v>
      </c>
      <c r="F33" s="422">
        <f>LOOKUP(E33,103:103,104:104)-LOOKUP(C33,103:103,104:104)+100</f>
        <v>100</v>
      </c>
      <c r="G33" s="466">
        <v>214675.56</v>
      </c>
      <c r="H33" s="133">
        <f>LOOKUP(G33,103:103,104:104)-LOOKUP(C33,103:103,104:104)+100</f>
        <v>100</v>
      </c>
      <c r="I33" s="466">
        <v>221000</v>
      </c>
      <c r="J33" s="133">
        <f>LOOKUP(I33,103:103,104:104)-LOOKUP(C33,103:103,104:104)+100</f>
        <v>100</v>
      </c>
      <c r="K33" s="2593"/>
      <c r="L33" s="1132"/>
      <c r="M33" s="1135"/>
      <c r="N33" s="1135"/>
      <c r="O33" s="1135"/>
      <c r="P33" s="3308"/>
      <c r="Q33" s="772" t="str">
        <f t="shared" si="8"/>
        <v>项目建筑规模</v>
      </c>
      <c r="R33" s="773" t="s">
        <v>21</v>
      </c>
      <c r="S33" s="774">
        <f t="shared" si="9"/>
        <v>100</v>
      </c>
      <c r="T33" s="773" t="s">
        <v>21</v>
      </c>
      <c r="U33" s="774">
        <f t="shared" si="10"/>
        <v>100</v>
      </c>
      <c r="V33" s="773" t="s">
        <v>21</v>
      </c>
      <c r="W33" s="774">
        <f t="shared" si="11"/>
        <v>100</v>
      </c>
      <c r="X33" s="775"/>
      <c r="Y33" s="3272"/>
      <c r="Z33" s="776" t="str">
        <f t="shared" si="15"/>
        <v>项目建筑规模</v>
      </c>
      <c r="AA33" s="1804">
        <f t="shared" si="12"/>
        <v>1</v>
      </c>
      <c r="AB33" s="1804">
        <f t="shared" si="13"/>
        <v>1</v>
      </c>
      <c r="AC33" s="1804">
        <f t="shared" si="14"/>
        <v>1</v>
      </c>
    </row>
    <row r="34" spans="1:29" ht="15">
      <c r="A34" s="469"/>
      <c r="B34" s="419" t="s">
        <v>2556</v>
      </c>
      <c r="C34" s="2610" t="s">
        <v>3084</v>
      </c>
      <c r="D34" s="432">
        <v>100</v>
      </c>
      <c r="E34" s="2610" t="s">
        <v>3084</v>
      </c>
      <c r="F34" s="458">
        <f>SUMIF(105:105,E34,106:106)-SUMIF(105:105,C34,106:106)+100</f>
        <v>100</v>
      </c>
      <c r="G34" s="2610" t="s">
        <v>3084</v>
      </c>
      <c r="H34" s="432">
        <f>SUMIF(105:105,G34,106:106)-SUMIF(105:105,C34,106:106)+100</f>
        <v>100</v>
      </c>
      <c r="I34" s="2610" t="s">
        <v>3084</v>
      </c>
      <c r="J34" s="432">
        <f>SUMIF(105:105,I34,106:106)-SUMIF(105:105,C34,106:106)+100</f>
        <v>100</v>
      </c>
      <c r="K34" s="423">
        <v>2</v>
      </c>
      <c r="L34" s="1134"/>
      <c r="M34" s="1125"/>
      <c r="N34" s="1125"/>
      <c r="O34" s="1125"/>
      <c r="P34" s="3308"/>
      <c r="Q34" s="1803" t="str">
        <f t="shared" si="8"/>
        <v>建筑结构</v>
      </c>
      <c r="R34" s="770" t="s">
        <v>21</v>
      </c>
      <c r="S34" s="771">
        <f t="shared" si="9"/>
        <v>100</v>
      </c>
      <c r="T34" s="770" t="s">
        <v>21</v>
      </c>
      <c r="U34" s="771">
        <f t="shared" si="10"/>
        <v>100</v>
      </c>
      <c r="V34" s="770" t="s">
        <v>21</v>
      </c>
      <c r="W34" s="771">
        <f t="shared" si="11"/>
        <v>100</v>
      </c>
      <c r="X34" s="1806"/>
      <c r="Y34" s="3272"/>
      <c r="Z34" s="1807" t="str">
        <f t="shared" si="15"/>
        <v>建筑结构</v>
      </c>
      <c r="AA34" s="1804">
        <f t="shared" si="12"/>
        <v>1</v>
      </c>
      <c r="AB34" s="1804">
        <f t="shared" si="13"/>
        <v>1</v>
      </c>
      <c r="AC34" s="1804">
        <f t="shared" si="14"/>
        <v>1</v>
      </c>
    </row>
    <row r="35" spans="1:29" ht="15">
      <c r="A35" s="469"/>
      <c r="B35" s="419" t="s">
        <v>2557</v>
      </c>
      <c r="C35" s="2605" t="s">
        <v>3104</v>
      </c>
      <c r="D35" s="432">
        <v>100</v>
      </c>
      <c r="E35" s="2605" t="s">
        <v>3104</v>
      </c>
      <c r="F35" s="458">
        <f>SUMIF(107:107,E35,108:108)-SUMIF(107:107,C35,108:108)+100</f>
        <v>100</v>
      </c>
      <c r="G35" s="2605" t="s">
        <v>3104</v>
      </c>
      <c r="H35" s="432">
        <f>SUMIF(107:107,G35,108:108)-SUMIF(107:107,C35,108:108)+100</f>
        <v>100</v>
      </c>
      <c r="I35" s="2605" t="s">
        <v>3104</v>
      </c>
      <c r="J35" s="432">
        <f>SUMIF(107:107,I35,108:108)-SUMIF(107:107,C35,108:108)+100</f>
        <v>100</v>
      </c>
      <c r="K35" s="423">
        <v>2</v>
      </c>
      <c r="L35" s="1134"/>
      <c r="M35" s="1125"/>
      <c r="N35" s="1125"/>
      <c r="O35" s="1125"/>
      <c r="P35" s="3308"/>
      <c r="Q35" s="1803" t="str">
        <f t="shared" si="8"/>
        <v>建筑品质</v>
      </c>
      <c r="R35" s="770" t="s">
        <v>21</v>
      </c>
      <c r="S35" s="771">
        <f t="shared" si="9"/>
        <v>100</v>
      </c>
      <c r="T35" s="770" t="s">
        <v>21</v>
      </c>
      <c r="U35" s="771">
        <f t="shared" si="10"/>
        <v>100</v>
      </c>
      <c r="V35" s="770" t="s">
        <v>21</v>
      </c>
      <c r="W35" s="771">
        <f t="shared" si="11"/>
        <v>100</v>
      </c>
      <c r="X35" s="1806"/>
      <c r="Y35" s="3272"/>
      <c r="Z35" s="1807" t="str">
        <f t="shared" si="15"/>
        <v>建筑品质</v>
      </c>
      <c r="AA35" s="1804">
        <f t="shared" si="12"/>
        <v>1</v>
      </c>
      <c r="AB35" s="1804">
        <f t="shared" si="13"/>
        <v>1</v>
      </c>
      <c r="AC35" s="1804">
        <f t="shared" si="14"/>
        <v>1</v>
      </c>
    </row>
    <row r="36" spans="1:29" ht="15">
      <c r="A36" s="469"/>
      <c r="B36" s="419" t="s">
        <v>2558</v>
      </c>
      <c r="C36" s="2605" t="s">
        <v>3106</v>
      </c>
      <c r="D36" s="432">
        <v>100</v>
      </c>
      <c r="E36" s="2605" t="s">
        <v>3106</v>
      </c>
      <c r="F36" s="458">
        <f>SUMIF(109:109,E36,110:110)-SUMIF(109:109,C36,110:110)+100</f>
        <v>100</v>
      </c>
      <c r="G36" s="2605" t="s">
        <v>3106</v>
      </c>
      <c r="H36" s="432">
        <f>SUMIF(109:109,G36,110:110)-SUMIF(109:109,C36,110:110)+100</f>
        <v>100</v>
      </c>
      <c r="I36" s="2605" t="s">
        <v>3106</v>
      </c>
      <c r="J36" s="432">
        <f>SUMIF(109:109,I36,110:110)-SUMIF(109:109,C36,110:110)+100</f>
        <v>100</v>
      </c>
      <c r="K36" s="423">
        <v>2</v>
      </c>
      <c r="L36" s="1134"/>
      <c r="M36" s="1125"/>
      <c r="N36" s="1125"/>
      <c r="O36" s="1125"/>
      <c r="P36" s="3308"/>
      <c r="Q36" s="1803" t="str">
        <f t="shared" si="8"/>
        <v>公共部分装修</v>
      </c>
      <c r="R36" s="770" t="s">
        <v>21</v>
      </c>
      <c r="S36" s="771">
        <f t="shared" si="9"/>
        <v>100</v>
      </c>
      <c r="T36" s="770" t="s">
        <v>21</v>
      </c>
      <c r="U36" s="771">
        <f t="shared" si="10"/>
        <v>100</v>
      </c>
      <c r="V36" s="770" t="s">
        <v>21</v>
      </c>
      <c r="W36" s="771">
        <f t="shared" si="11"/>
        <v>100</v>
      </c>
      <c r="X36" s="1806"/>
      <c r="Y36" s="3272"/>
      <c r="Z36" s="1807" t="str">
        <f t="shared" si="15"/>
        <v>公共部分装修</v>
      </c>
      <c r="AA36" s="1804">
        <f t="shared" si="12"/>
        <v>1</v>
      </c>
      <c r="AB36" s="1804">
        <f t="shared" si="13"/>
        <v>1</v>
      </c>
      <c r="AC36" s="1804">
        <f t="shared" si="14"/>
        <v>1</v>
      </c>
    </row>
    <row r="37" spans="1:29" s="116" customFormat="1" ht="15">
      <c r="A37" s="470"/>
      <c r="B37" s="419" t="s">
        <v>2559</v>
      </c>
      <c r="C37" s="471">
        <v>1</v>
      </c>
      <c r="D37" s="133">
        <v>100</v>
      </c>
      <c r="E37" s="471">
        <v>1</v>
      </c>
      <c r="F37" s="422">
        <f>LOOKUP(E37,112:112,113:113)-LOOKUP(C37,112:112,113:113)+100</f>
        <v>100</v>
      </c>
      <c r="G37" s="471">
        <v>1</v>
      </c>
      <c r="H37" s="133">
        <f>LOOKUP(G37,112:112,113:113)-LOOKUP(C37,112:112,113:113)+100</f>
        <v>100</v>
      </c>
      <c r="I37" s="471">
        <v>1</v>
      </c>
      <c r="J37" s="133">
        <f>LOOKUP(I37,112:112,113:113)-LOOKUP(C37,112:112,113:113)+100</f>
        <v>100</v>
      </c>
      <c r="K37" s="423">
        <v>2</v>
      </c>
      <c r="L37" s="1126"/>
      <c r="M37" s="1127"/>
      <c r="N37" s="1127"/>
      <c r="O37" s="1127"/>
      <c r="P37" s="3308"/>
      <c r="Q37" s="1788" t="str">
        <f t="shared" si="8"/>
        <v>成新度</v>
      </c>
      <c r="R37" s="766" t="s">
        <v>21</v>
      </c>
      <c r="S37" s="767">
        <f t="shared" si="9"/>
        <v>100</v>
      </c>
      <c r="T37" s="766" t="s">
        <v>21</v>
      </c>
      <c r="U37" s="767">
        <f t="shared" si="10"/>
        <v>100</v>
      </c>
      <c r="V37" s="766" t="s">
        <v>21</v>
      </c>
      <c r="W37" s="767">
        <f t="shared" si="11"/>
        <v>100</v>
      </c>
      <c r="X37" s="768"/>
      <c r="Y37" s="3272"/>
      <c r="Z37" s="55" t="str">
        <f t="shared" si="15"/>
        <v>成新度</v>
      </c>
      <c r="AA37" s="769">
        <f t="shared" si="12"/>
        <v>1</v>
      </c>
      <c r="AB37" s="769">
        <f t="shared" si="13"/>
        <v>1</v>
      </c>
      <c r="AC37" s="769">
        <f t="shared" si="14"/>
        <v>1</v>
      </c>
    </row>
    <row r="38" spans="1:29" ht="15">
      <c r="A38" s="469"/>
      <c r="B38" s="419" t="s">
        <v>2560</v>
      </c>
      <c r="C38" s="2605" t="s">
        <v>3108</v>
      </c>
      <c r="D38" s="432">
        <v>100</v>
      </c>
      <c r="E38" s="2605" t="s">
        <v>3108</v>
      </c>
      <c r="F38" s="458">
        <f>SUMIF(114:114,E38,115:115)-SUMIF(114:114,C38,115:115)+100</f>
        <v>100</v>
      </c>
      <c r="G38" s="2605" t="s">
        <v>3108</v>
      </c>
      <c r="H38" s="432">
        <f>SUMIF(114:114,G38,115:115)-SUMIF(114:114,C38,115:115)+100</f>
        <v>100</v>
      </c>
      <c r="I38" s="2605" t="s">
        <v>3108</v>
      </c>
      <c r="J38" s="432">
        <f>SUMIF(114:114,I38,115:115)-SUMIF(114:114,C38,115:115)+100</f>
        <v>100</v>
      </c>
      <c r="K38" s="423">
        <v>2</v>
      </c>
      <c r="L38" s="1134"/>
      <c r="M38" s="1125"/>
      <c r="N38" s="1125"/>
      <c r="O38" s="1125"/>
      <c r="P38" s="3308" t="s">
        <v>2554</v>
      </c>
      <c r="Q38" s="1803" t="str">
        <f t="shared" si="8"/>
        <v>物业管理</v>
      </c>
      <c r="R38" s="770" t="s">
        <v>21</v>
      </c>
      <c r="S38" s="771">
        <f t="shared" si="9"/>
        <v>100</v>
      </c>
      <c r="T38" s="770" t="s">
        <v>21</v>
      </c>
      <c r="U38" s="771">
        <f t="shared" si="10"/>
        <v>100</v>
      </c>
      <c r="V38" s="770" t="s">
        <v>21</v>
      </c>
      <c r="W38" s="771">
        <f t="shared" si="11"/>
        <v>100</v>
      </c>
      <c r="X38" s="1806"/>
      <c r="Y38" s="3272" t="s">
        <v>2554</v>
      </c>
      <c r="Z38" s="1807" t="str">
        <f t="shared" si="15"/>
        <v>物业管理</v>
      </c>
      <c r="AA38" s="1804">
        <f t="shared" si="12"/>
        <v>1</v>
      </c>
      <c r="AB38" s="1804">
        <f t="shared" si="13"/>
        <v>1</v>
      </c>
      <c r="AC38" s="1804">
        <f t="shared" si="14"/>
        <v>1</v>
      </c>
    </row>
    <row r="39" spans="1:29" ht="15">
      <c r="A39" s="469"/>
      <c r="B39" s="419" t="s">
        <v>2561</v>
      </c>
      <c r="C39" s="2605" t="s">
        <v>3099</v>
      </c>
      <c r="D39" s="432">
        <v>100</v>
      </c>
      <c r="E39" s="2605" t="s">
        <v>3099</v>
      </c>
      <c r="F39" s="458">
        <f>SUMIF(116:116,E39,117:117)-SUMIF(116:116,C39,117:117)+100</f>
        <v>100</v>
      </c>
      <c r="G39" s="2605" t="s">
        <v>3099</v>
      </c>
      <c r="H39" s="432">
        <f>SUMIF(116:116,G39,117:117)-SUMIF(116:116,C39,117:117)+100</f>
        <v>100</v>
      </c>
      <c r="I39" s="2605" t="s">
        <v>3099</v>
      </c>
      <c r="J39" s="432">
        <f>SUMIF(116:116,I39,117:117)-SUMIF(116:116,C39,117:117)+100</f>
        <v>100</v>
      </c>
      <c r="K39" s="423">
        <v>2</v>
      </c>
      <c r="L39" s="1134"/>
      <c r="M39" s="1125"/>
      <c r="N39" s="1125"/>
      <c r="O39" s="1125"/>
      <c r="P39" s="3308"/>
      <c r="Q39" s="1803" t="str">
        <f t="shared" si="8"/>
        <v>市政基础设施</v>
      </c>
      <c r="R39" s="770" t="s">
        <v>21</v>
      </c>
      <c r="S39" s="771">
        <f t="shared" si="9"/>
        <v>100</v>
      </c>
      <c r="T39" s="770" t="s">
        <v>21</v>
      </c>
      <c r="U39" s="771">
        <f t="shared" si="10"/>
        <v>100</v>
      </c>
      <c r="V39" s="770" t="s">
        <v>21</v>
      </c>
      <c r="W39" s="771">
        <f t="shared" si="11"/>
        <v>100</v>
      </c>
      <c r="X39" s="1806"/>
      <c r="Y39" s="3272"/>
      <c r="Z39" s="1807" t="str">
        <f t="shared" si="15"/>
        <v>市政基础设施</v>
      </c>
      <c r="AA39" s="1804">
        <f t="shared" si="12"/>
        <v>1</v>
      </c>
      <c r="AB39" s="1804">
        <f t="shared" si="13"/>
        <v>1</v>
      </c>
      <c r="AC39" s="1804">
        <f t="shared" si="14"/>
        <v>1</v>
      </c>
    </row>
    <row r="40" spans="1:29" ht="15">
      <c r="A40" s="469"/>
      <c r="B40" s="419" t="s">
        <v>2562</v>
      </c>
      <c r="C40" s="2605" t="s">
        <v>3111</v>
      </c>
      <c r="D40" s="432">
        <v>100</v>
      </c>
      <c r="E40" s="2605" t="s">
        <v>3111</v>
      </c>
      <c r="F40" s="458">
        <f>SUMIF(118:118,E40,119:119)-SUMIF(118:118,C40,119:119)+100</f>
        <v>100</v>
      </c>
      <c r="G40" s="2605" t="s">
        <v>3111</v>
      </c>
      <c r="H40" s="432">
        <f>SUMIF(118:118,G40,119:119)-SUMIF(118:118,C40,119:119)+100</f>
        <v>100</v>
      </c>
      <c r="I40" s="2605" t="s">
        <v>3111</v>
      </c>
      <c r="J40" s="432">
        <f>SUMIF(118:118,I40,119:119)-SUMIF(118:118,C40,119:119)+100</f>
        <v>100</v>
      </c>
      <c r="K40" s="423">
        <v>2</v>
      </c>
      <c r="L40" s="1134"/>
      <c r="M40" s="1125"/>
      <c r="N40" s="1125"/>
      <c r="O40" s="1125"/>
      <c r="P40" s="3308"/>
      <c r="Q40" s="1803" t="str">
        <f t="shared" si="8"/>
        <v>房型</v>
      </c>
      <c r="R40" s="770" t="s">
        <v>21</v>
      </c>
      <c r="S40" s="771">
        <f t="shared" si="9"/>
        <v>100</v>
      </c>
      <c r="T40" s="770" t="s">
        <v>21</v>
      </c>
      <c r="U40" s="771">
        <f t="shared" si="10"/>
        <v>100</v>
      </c>
      <c r="V40" s="770" t="s">
        <v>21</v>
      </c>
      <c r="W40" s="771">
        <f t="shared" si="11"/>
        <v>100</v>
      </c>
      <c r="X40" s="1806"/>
      <c r="Y40" s="3272"/>
      <c r="Z40" s="1807" t="str">
        <f t="shared" si="15"/>
        <v>房型</v>
      </c>
      <c r="AA40" s="1804">
        <f t="shared" si="12"/>
        <v>1</v>
      </c>
      <c r="AB40" s="1804">
        <f t="shared" si="13"/>
        <v>1</v>
      </c>
      <c r="AC40" s="1804">
        <f t="shared" si="14"/>
        <v>1</v>
      </c>
    </row>
    <row r="41" spans="1:29" s="468" customFormat="1" ht="28.5">
      <c r="A41" s="465"/>
      <c r="B41" s="419" t="s">
        <v>2563</v>
      </c>
      <c r="C41" s="466"/>
      <c r="D41" s="133">
        <v>100</v>
      </c>
      <c r="E41" s="466"/>
      <c r="F41" s="422">
        <f>SUMIF(120:120,E41,121:121)-SUMIF(120:120,C41,121:121)+100</f>
        <v>100</v>
      </c>
      <c r="G41" s="466"/>
      <c r="H41" s="133">
        <f>SUMIF(120:120,G41,121:121)-SUMIF(120:120,C41,121:121)+100</f>
        <v>100</v>
      </c>
      <c r="I41" s="466"/>
      <c r="J41" s="432">
        <f>SUMIF(120:120,I41,121:121)-SUMIF(120:120,C41,121:121)+100</f>
        <v>100</v>
      </c>
      <c r="K41" s="2593"/>
      <c r="L41" s="1132"/>
      <c r="M41" s="1135"/>
      <c r="N41" s="1135"/>
      <c r="O41" s="1135"/>
      <c r="P41" s="3308"/>
      <c r="Q41" s="772" t="str">
        <f t="shared" si="8"/>
        <v>单套/主力户型建筑面积</v>
      </c>
      <c r="R41" s="773" t="s">
        <v>21</v>
      </c>
      <c r="S41" s="774">
        <f t="shared" si="9"/>
        <v>100</v>
      </c>
      <c r="T41" s="773" t="s">
        <v>21</v>
      </c>
      <c r="U41" s="774">
        <f t="shared" si="10"/>
        <v>100</v>
      </c>
      <c r="V41" s="773" t="s">
        <v>21</v>
      </c>
      <c r="W41" s="774">
        <f t="shared" si="11"/>
        <v>100</v>
      </c>
      <c r="X41" s="775"/>
      <c r="Y41" s="3272"/>
      <c r="Z41" s="776" t="str">
        <f t="shared" si="15"/>
        <v>单套/主力户型建筑面积</v>
      </c>
      <c r="AA41" s="1804">
        <f t="shared" si="12"/>
        <v>1</v>
      </c>
      <c r="AB41" s="1804">
        <f t="shared" si="13"/>
        <v>1</v>
      </c>
      <c r="AC41" s="1804">
        <f t="shared" si="14"/>
        <v>1</v>
      </c>
    </row>
    <row r="42" spans="1:29" ht="15">
      <c r="A42" s="469"/>
      <c r="B42" s="419" t="s">
        <v>2564</v>
      </c>
      <c r="C42" s="2605" t="s">
        <v>3115</v>
      </c>
      <c r="D42" s="432">
        <v>100</v>
      </c>
      <c r="E42" s="2605" t="s">
        <v>3115</v>
      </c>
      <c r="F42" s="458">
        <f>SUMIF(122:122,E42,123:123)-SUMIF(122:122,C42,123:123)+100</f>
        <v>100</v>
      </c>
      <c r="G42" s="2605" t="s">
        <v>3115</v>
      </c>
      <c r="H42" s="432">
        <f>SUMIF(122:122,G42,123:123)-SUMIF(122:122,C42,123:123)+100</f>
        <v>100</v>
      </c>
      <c r="I42" s="2605" t="s">
        <v>3115</v>
      </c>
      <c r="J42" s="432">
        <f>SUMIF(122:122,I42,123:123)-SUMIF(122:122,C42,123:123)+100</f>
        <v>100</v>
      </c>
      <c r="K42" s="423">
        <v>5</v>
      </c>
      <c r="L42" s="1134"/>
      <c r="M42" s="1125"/>
      <c r="N42" s="1125"/>
      <c r="O42" s="1125"/>
      <c r="P42" s="3308"/>
      <c r="Q42" s="1803" t="str">
        <f t="shared" si="8"/>
        <v>内部装修</v>
      </c>
      <c r="R42" s="770" t="s">
        <v>21</v>
      </c>
      <c r="S42" s="771">
        <f t="shared" si="9"/>
        <v>100</v>
      </c>
      <c r="T42" s="770" t="s">
        <v>21</v>
      </c>
      <c r="U42" s="771">
        <f t="shared" si="10"/>
        <v>100</v>
      </c>
      <c r="V42" s="770" t="s">
        <v>21</v>
      </c>
      <c r="W42" s="771">
        <f t="shared" si="11"/>
        <v>100</v>
      </c>
      <c r="X42" s="1806"/>
      <c r="Y42" s="3272"/>
      <c r="Z42" s="1807" t="str">
        <f t="shared" si="15"/>
        <v>内部装修</v>
      </c>
      <c r="AA42" s="1804">
        <f t="shared" si="12"/>
        <v>1</v>
      </c>
      <c r="AB42" s="1804">
        <f t="shared" si="13"/>
        <v>1</v>
      </c>
      <c r="AC42" s="1804">
        <f t="shared" si="14"/>
        <v>1</v>
      </c>
    </row>
    <row r="43" spans="1:29" ht="15">
      <c r="A43" s="469"/>
      <c r="B43" s="419" t="s">
        <v>2565</v>
      </c>
      <c r="C43" s="2605" t="s">
        <v>3100</v>
      </c>
      <c r="D43" s="432">
        <v>100</v>
      </c>
      <c r="E43" s="2605" t="s">
        <v>3100</v>
      </c>
      <c r="F43" s="458">
        <f>SUMIF(124:124,E43,125:125)-SUMIF(124:124,C43,125:125)+100</f>
        <v>100</v>
      </c>
      <c r="G43" s="2605" t="s">
        <v>3100</v>
      </c>
      <c r="H43" s="432">
        <f>SUMIF(124:124,G43,125:125)-SUMIF(124:124,C43,125:125)+100</f>
        <v>100</v>
      </c>
      <c r="I43" s="2605" t="s">
        <v>3100</v>
      </c>
      <c r="J43" s="432">
        <f>SUMIF(124:124,I43,125:125)-SUMIF(124:124,C43,125:125)+100</f>
        <v>100</v>
      </c>
      <c r="K43" s="423">
        <v>2</v>
      </c>
      <c r="L43" s="1134"/>
      <c r="M43" s="1125"/>
      <c r="N43" s="1125"/>
      <c r="O43" s="1125"/>
      <c r="P43" s="3308"/>
      <c r="Q43" s="1803" t="str">
        <f t="shared" si="8"/>
        <v>内部装修维护情况</v>
      </c>
      <c r="R43" s="770" t="s">
        <v>21</v>
      </c>
      <c r="S43" s="771">
        <f t="shared" si="9"/>
        <v>100</v>
      </c>
      <c r="T43" s="770" t="s">
        <v>21</v>
      </c>
      <c r="U43" s="771">
        <f t="shared" si="10"/>
        <v>100</v>
      </c>
      <c r="V43" s="770" t="s">
        <v>21</v>
      </c>
      <c r="W43" s="771">
        <f t="shared" si="11"/>
        <v>100</v>
      </c>
      <c r="X43" s="1806"/>
      <c r="Y43" s="3272"/>
      <c r="Z43" s="1807" t="str">
        <f t="shared" si="15"/>
        <v>内部装修维护情况</v>
      </c>
      <c r="AA43" s="1804">
        <f t="shared" si="12"/>
        <v>1</v>
      </c>
      <c r="AB43" s="1804">
        <f t="shared" si="13"/>
        <v>1</v>
      </c>
      <c r="AC43" s="1804">
        <f t="shared" si="14"/>
        <v>1</v>
      </c>
    </row>
    <row r="44" spans="1:29" s="116" customFormat="1" ht="15">
      <c r="A44" s="470"/>
      <c r="B44" s="1380"/>
      <c r="C44" s="466"/>
      <c r="D44" s="133">
        <v>100</v>
      </c>
      <c r="E44" s="466"/>
      <c r="F44" s="422">
        <f>SUMIF(126:126,E44,127:127)-SUMIF(126:126,C44,127:127)+100</f>
        <v>100</v>
      </c>
      <c r="G44" s="466"/>
      <c r="H44" s="133">
        <f>SUMIF(126:126,G44,127:127)-SUMIF(126:126,C44,127:127)+100</f>
        <v>100</v>
      </c>
      <c r="I44" s="466"/>
      <c r="J44" s="133">
        <f>SUMIF(126:126,I44,127:127)-SUMIF(126:126,C44,127:127)+100</f>
        <v>100</v>
      </c>
      <c r="K44" s="2593"/>
      <c r="L44" s="1126"/>
      <c r="M44" s="1127"/>
      <c r="N44" s="1127"/>
      <c r="O44" s="1127"/>
      <c r="P44" s="3308"/>
      <c r="Q44" s="1788">
        <f t="shared" si="8"/>
        <v>0</v>
      </c>
      <c r="R44" s="766" t="s">
        <v>21</v>
      </c>
      <c r="S44" s="767">
        <f t="shared" si="9"/>
        <v>100</v>
      </c>
      <c r="T44" s="766" t="s">
        <v>21</v>
      </c>
      <c r="U44" s="767">
        <f t="shared" si="10"/>
        <v>100</v>
      </c>
      <c r="V44" s="766" t="s">
        <v>21</v>
      </c>
      <c r="W44" s="767">
        <f t="shared" si="11"/>
        <v>100</v>
      </c>
      <c r="X44" s="768"/>
      <c r="Y44" s="3272"/>
      <c r="Z44" s="55">
        <f t="shared" si="15"/>
        <v>0</v>
      </c>
      <c r="AA44" s="769">
        <f t="shared" si="12"/>
        <v>1</v>
      </c>
      <c r="AB44" s="769">
        <f t="shared" si="13"/>
        <v>1</v>
      </c>
      <c r="AC44" s="769">
        <f t="shared" si="14"/>
        <v>1</v>
      </c>
    </row>
    <row r="45" spans="1:29" ht="15">
      <c r="A45" s="469"/>
      <c r="B45" s="1380"/>
      <c r="C45" s="431"/>
      <c r="D45" s="432">
        <v>100</v>
      </c>
      <c r="E45" s="431"/>
      <c r="F45" s="458">
        <f>SUMIF(128:128,E45,129:129)-SUMIF(128:128,C45,129:129)+100</f>
        <v>100</v>
      </c>
      <c r="G45" s="431"/>
      <c r="H45" s="432">
        <f>SUMIF(128:128,G45,129:129)-SUMIF(128:128,C45,129:129)+100</f>
        <v>100</v>
      </c>
      <c r="I45" s="431"/>
      <c r="J45" s="432">
        <f>SUMIF(128:128,I45,129:129)-SUMIF(128:128,C45,129:129)+100</f>
        <v>100</v>
      </c>
      <c r="K45" s="2593"/>
      <c r="L45" s="1134"/>
      <c r="M45" s="1125"/>
      <c r="N45" s="1125"/>
      <c r="O45" s="1125"/>
      <c r="P45" s="3308"/>
      <c r="Q45" s="1803">
        <f t="shared" si="8"/>
        <v>0</v>
      </c>
      <c r="R45" s="770" t="s">
        <v>21</v>
      </c>
      <c r="S45" s="771">
        <f t="shared" si="9"/>
        <v>100</v>
      </c>
      <c r="T45" s="770" t="s">
        <v>21</v>
      </c>
      <c r="U45" s="771">
        <f t="shared" si="10"/>
        <v>100</v>
      </c>
      <c r="V45" s="770" t="s">
        <v>21</v>
      </c>
      <c r="W45" s="771">
        <f t="shared" si="11"/>
        <v>100</v>
      </c>
      <c r="X45" s="1806"/>
      <c r="Y45" s="3272"/>
      <c r="Z45" s="1807">
        <f t="shared" si="15"/>
        <v>0</v>
      </c>
      <c r="AA45" s="1804">
        <f t="shared" si="12"/>
        <v>1</v>
      </c>
      <c r="AB45" s="1804">
        <f t="shared" si="13"/>
        <v>1</v>
      </c>
      <c r="AC45" s="1804">
        <f t="shared" si="14"/>
        <v>1</v>
      </c>
    </row>
    <row r="46" spans="1:29" ht="29.25" thickBot="1">
      <c r="A46" s="475"/>
      <c r="B46" s="2594"/>
      <c r="C46" s="434"/>
      <c r="D46" s="435">
        <v>100</v>
      </c>
      <c r="E46" s="434" t="s">
        <v>3661</v>
      </c>
      <c r="F46" s="436">
        <f>SUMIF(130:130,E46,131:131)-SUMIF(130:130,C46,131:131)+100</f>
        <v>100</v>
      </c>
      <c r="G46" s="434" t="s">
        <v>3660</v>
      </c>
      <c r="H46" s="435">
        <f>SUMIF(130:130,G46,131:131)-SUMIF(130:130,C46,131:131)+100</f>
        <v>100</v>
      </c>
      <c r="I46" s="434" t="s">
        <v>3659</v>
      </c>
      <c r="J46" s="435">
        <f>SUMIF(130:130,I46,131:131)-SUMIF(130:130,C46,131:131)+100</f>
        <v>100</v>
      </c>
      <c r="K46" s="2593"/>
      <c r="L46" s="1134"/>
      <c r="M46" s="1125"/>
      <c r="N46" s="1125"/>
      <c r="O46" s="1125"/>
      <c r="P46" s="3309"/>
      <c r="Q46" s="1803">
        <f t="shared" si="8"/>
        <v>0</v>
      </c>
      <c r="R46" s="770" t="s">
        <v>20</v>
      </c>
      <c r="S46" s="771">
        <f t="shared" si="9"/>
        <v>100</v>
      </c>
      <c r="T46" s="770" t="s">
        <v>20</v>
      </c>
      <c r="U46" s="771">
        <f t="shared" si="10"/>
        <v>100</v>
      </c>
      <c r="V46" s="770" t="s">
        <v>20</v>
      </c>
      <c r="W46" s="771">
        <f t="shared" si="11"/>
        <v>100</v>
      </c>
      <c r="X46" s="1806"/>
      <c r="Y46" s="3310"/>
      <c r="Z46" s="1807">
        <f t="shared" si="15"/>
        <v>0</v>
      </c>
      <c r="AA46" s="1804">
        <f t="shared" si="12"/>
        <v>1</v>
      </c>
      <c r="AB46" s="1804">
        <f t="shared" si="13"/>
        <v>1</v>
      </c>
      <c r="AC46" s="1804">
        <f t="shared" si="14"/>
        <v>1</v>
      </c>
    </row>
    <row r="47" spans="1:29" ht="15">
      <c r="A47" s="476" t="s">
        <v>2566</v>
      </c>
      <c r="B47" s="477"/>
      <c r="C47" s="1401" t="s">
        <v>19</v>
      </c>
      <c r="D47" s="1402"/>
      <c r="E47" s="1403">
        <v>15500</v>
      </c>
      <c r="F47" s="1404"/>
      <c r="G47" s="1405">
        <v>18600</v>
      </c>
      <c r="H47" s="1406"/>
      <c r="I47" s="1403">
        <v>18500</v>
      </c>
      <c r="J47" s="1406"/>
      <c r="K47" s="2611"/>
      <c r="L47" s="1137"/>
      <c r="M47" s="1138"/>
      <c r="N47" s="1125"/>
      <c r="O47" s="1138"/>
      <c r="P47" s="3267" t="str">
        <f>A47</f>
        <v>成交单价（元/平方米）</v>
      </c>
      <c r="Q47" s="3267"/>
      <c r="R47" s="3311">
        <f>E47</f>
        <v>15500</v>
      </c>
      <c r="S47" s="3311"/>
      <c r="T47" s="3311">
        <f>G47</f>
        <v>18600</v>
      </c>
      <c r="U47" s="3311"/>
      <c r="V47" s="3311">
        <f>I47</f>
        <v>18500</v>
      </c>
      <c r="W47" s="3311"/>
      <c r="X47" s="755"/>
      <c r="Y47" s="777"/>
      <c r="Z47" s="755"/>
      <c r="AA47" s="755"/>
      <c r="AB47" s="755"/>
      <c r="AC47" s="755"/>
    </row>
    <row r="48" spans="1:29" ht="15.75" thickBot="1">
      <c r="A48" s="483" t="s">
        <v>2567</v>
      </c>
      <c r="B48" s="484"/>
      <c r="C48" s="1407">
        <f>R49</f>
        <v>14401</v>
      </c>
      <c r="D48" s="1408"/>
      <c r="E48" s="1409">
        <f>R48</f>
        <v>13173</v>
      </c>
      <c r="F48" s="1409"/>
      <c r="G48" s="1407">
        <f>T48</f>
        <v>15055</v>
      </c>
      <c r="H48" s="1408"/>
      <c r="I48" s="1409">
        <f>V48</f>
        <v>14974</v>
      </c>
      <c r="J48" s="1408"/>
      <c r="K48" s="2612"/>
      <c r="L48" s="1137"/>
      <c r="M48" s="1138"/>
      <c r="N48" s="1138"/>
      <c r="O48" s="1138"/>
      <c r="P48" s="3267" t="str">
        <f>A48</f>
        <v>比较价值（元/平方米）</v>
      </c>
      <c r="Q48" s="3267"/>
      <c r="R48" s="3311">
        <f>IF(F1="售价",ROUND(PRODUCT(R47,AA7:AA46),0),ROUND(PRODUCT(R47,AA7:AA46),1))</f>
        <v>13173</v>
      </c>
      <c r="S48" s="3311"/>
      <c r="T48" s="3311">
        <f>IF(F1="售价",ROUND(PRODUCT(T47,AB7:AB46),0),ROUND(PRODUCT(T47,AB7:AB46),1))</f>
        <v>15055</v>
      </c>
      <c r="U48" s="3311"/>
      <c r="V48" s="3311">
        <f>IF(F1="售价",ROUND(PRODUCT(V47,AC7:AC46),0),ROUND(PRODUCT(V47,AC7:AC46),1))</f>
        <v>14974</v>
      </c>
      <c r="W48" s="3311"/>
      <c r="X48" s="755"/>
      <c r="Y48" s="755"/>
      <c r="Z48" s="755"/>
      <c r="AA48" s="755"/>
      <c r="AB48" s="755"/>
      <c r="AC48" s="755"/>
    </row>
    <row r="49" spans="1:29" ht="15.75" thickBot="1">
      <c r="A49" s="489" t="s">
        <v>2568</v>
      </c>
      <c r="B49" s="490"/>
      <c r="C49" s="1410">
        <f>R49</f>
        <v>14401</v>
      </c>
      <c r="D49" s="1411"/>
      <c r="E49" s="1411"/>
      <c r="F49" s="1411"/>
      <c r="G49" s="1411"/>
      <c r="H49" s="1411"/>
      <c r="I49" s="1411"/>
      <c r="J49" s="1411"/>
      <c r="K49" s="2613"/>
      <c r="L49" s="1137"/>
      <c r="M49" s="1138"/>
      <c r="N49" s="1138"/>
      <c r="O49" s="1138"/>
      <c r="P49" s="3261" t="str">
        <f>A49</f>
        <v>估价对象XX用房的比较价值（楼面单价，元/平方米）</v>
      </c>
      <c r="Q49" s="3262"/>
      <c r="R49" s="3312">
        <f>IF(F1="售价",ROUND(AVERAGE(R48:V48),0),ROUND(AVERAGE(R48:V48),1))</f>
        <v>14401</v>
      </c>
      <c r="S49" s="3312"/>
      <c r="T49" s="3312"/>
      <c r="U49" s="3312"/>
      <c r="V49" s="3312"/>
      <c r="W49" s="3312"/>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2569</v>
      </c>
      <c r="D52" s="495"/>
      <c r="E52" s="496">
        <f>IF(E47&lt;E48,E48/E47-1,E47/E48-1)</f>
        <v>0.17664920671069617</v>
      </c>
      <c r="F52" s="497" t="str">
        <f>IF(OR(E52&gt;=0.3,E52&lt;=-0.3),"超过30%","")</f>
        <v/>
      </c>
      <c r="G52" s="496">
        <f>IF(G47&lt;G48,G48/G47-1,G47/G48-1)</f>
        <v>0.235469943540352</v>
      </c>
      <c r="H52" s="497" t="str">
        <f>IF(OR(G52&gt;=0.3,G52&lt;=-0.3),"超过30%","")</f>
        <v/>
      </c>
      <c r="I52" s="496">
        <f>IF(I47&lt;I48,I48/I47-1,I47/I48-1)</f>
        <v>0.23547482302657929</v>
      </c>
      <c r="J52" s="497" t="str">
        <f>IF(OR(I52&gt;=0.3,I52&lt;=-0.3),"超过30%","")</f>
        <v/>
      </c>
      <c r="K52" s="1099"/>
      <c r="L52" s="1100"/>
      <c r="M52" s="1138"/>
      <c r="N52" s="1138"/>
      <c r="O52" s="1138"/>
    </row>
    <row r="53" spans="1:29" ht="13.5" customHeight="1">
      <c r="A53" s="1138"/>
      <c r="B53" s="1138"/>
      <c r="C53" s="494" t="s">
        <v>2570</v>
      </c>
      <c r="D53" s="498"/>
      <c r="E53" s="496">
        <f>IF(E48&lt;G48,G48/E48-1,E48/G48-1)</f>
        <v>0.14286798755029229</v>
      </c>
      <c r="F53" s="497" t="str">
        <f>IF(OR(E53&gt;=0.2,E53&lt;=-0.2),"超过20%","")</f>
        <v/>
      </c>
      <c r="G53" s="496">
        <f>IF(G48&lt;I48,I48/G48-1,G48/I48-1)</f>
        <v>5.409376252170528E-3</v>
      </c>
      <c r="H53" s="497" t="str">
        <f>IF(OR(G53&gt;=0.2,G53&lt;=-0.2),"超过20%","")</f>
        <v/>
      </c>
      <c r="I53" s="496">
        <f>IF(I48&lt;E48,E48/I48-1,I48/E48-1)</f>
        <v>0.13671904653457823</v>
      </c>
      <c r="J53" s="497" t="str">
        <f>IF(OR(I53&gt;=0.2,I53&lt;=-0.2),"超过20%","")</f>
        <v/>
      </c>
      <c r="K53" s="1099"/>
      <c r="L53" s="1100"/>
      <c r="M53" s="1138"/>
      <c r="N53" s="1138"/>
      <c r="O53" s="1138"/>
    </row>
    <row r="54" spans="1:29" s="499" customFormat="1" ht="13.5" customHeight="1">
      <c r="A54" s="1139"/>
      <c r="B54" s="1139"/>
      <c r="C54" s="494" t="s">
        <v>2571</v>
      </c>
      <c r="D54" s="498"/>
      <c r="E54" s="496">
        <f>IF(E47&lt;G47,G47/E47-1,E47/G47-1)</f>
        <v>0.19999999999999996</v>
      </c>
      <c r="F54" s="497" t="str">
        <f>IF(OR(E54&gt;=0.3,E54&lt;=-0.3),"超过30%","")</f>
        <v/>
      </c>
      <c r="G54" s="496">
        <f>IF(G47&lt;I47,I47/G47-1,G47/I47-1)</f>
        <v>5.4054054054053502E-3</v>
      </c>
      <c r="H54" s="497" t="str">
        <f>IF(OR(G54&gt;=0.3,G54&lt;=-0.3),"超过30%","")</f>
        <v/>
      </c>
      <c r="I54" s="496">
        <f>IF(I47&lt;E47,E47/I47-1,I47/E47-1)</f>
        <v>0.19354838709677424</v>
      </c>
      <c r="J54" s="497" t="str">
        <f>IF(OR(I54&gt;=0.3,I54&lt;=-0.3),"超过30%","")</f>
        <v/>
      </c>
      <c r="K54" s="1142"/>
      <c r="L54" s="1143"/>
      <c r="M54" s="1139"/>
      <c r="N54" s="1139"/>
      <c r="O54" s="1139"/>
      <c r="P54" s="2615"/>
    </row>
    <row r="55" spans="1:29" s="499" customFormat="1">
      <c r="A55" s="1139"/>
      <c r="B55" s="1140"/>
      <c r="C55" s="1144"/>
      <c r="D55" s="1139"/>
      <c r="E55" s="1139"/>
      <c r="F55" s="1139"/>
      <c r="G55" s="1139"/>
      <c r="H55" s="1139"/>
      <c r="I55" s="1139"/>
      <c r="J55" s="1139"/>
      <c r="K55" s="1142"/>
      <c r="L55" s="1143"/>
      <c r="M55" s="1139"/>
      <c r="N55" s="1139"/>
      <c r="O55" s="1139"/>
      <c r="P55" s="2615"/>
    </row>
    <row r="56" spans="1:29">
      <c r="A56" s="1138"/>
      <c r="B56" s="1140"/>
      <c r="C56" s="1144"/>
      <c r="D56" s="1138"/>
      <c r="E56" s="1138"/>
      <c r="F56" s="1138"/>
      <c r="G56" s="1138"/>
      <c r="H56" s="1138"/>
      <c r="I56" s="1138"/>
      <c r="J56" s="1138"/>
      <c r="K56" s="1099"/>
      <c r="L56" s="1100"/>
      <c r="M56" s="1138"/>
      <c r="N56" s="1138"/>
      <c r="O56" s="1138"/>
    </row>
    <row r="57" spans="1:29" ht="21.75" thickBot="1">
      <c r="A57" s="759" t="s">
        <v>2572</v>
      </c>
      <c r="B57" s="755"/>
      <c r="C57" s="760"/>
      <c r="D57" s="760"/>
      <c r="E57" s="760"/>
      <c r="F57" s="761"/>
      <c r="G57" s="761"/>
      <c r="H57" s="760"/>
      <c r="I57" s="760"/>
      <c r="J57" s="760"/>
      <c r="K57" s="1154"/>
      <c r="L57" s="1155"/>
      <c r="M57" s="1153"/>
      <c r="N57" s="1153"/>
      <c r="O57" s="1153"/>
      <c r="P57" s="2616"/>
      <c r="Q57" s="501"/>
    </row>
    <row r="58" spans="1:29" s="505" customFormat="1" ht="15">
      <c r="A58" s="502" t="s">
        <v>2573</v>
      </c>
      <c r="B58" s="503"/>
      <c r="C58" s="1569" t="str">
        <f>YEAR(C7)&amp;"-"&amp;MONTH(C7)</f>
        <v>2019-11</v>
      </c>
      <c r="D58" s="1568">
        <f>EDATE(C58,-1)</f>
        <v>43739</v>
      </c>
      <c r="E58" s="1568">
        <f>EDATE(D58,-1)</f>
        <v>43709</v>
      </c>
      <c r="F58" s="1568">
        <f t="shared" ref="F58:O58" si="16">EDATE(E58,-1)</f>
        <v>43678</v>
      </c>
      <c r="G58" s="1568">
        <f t="shared" si="16"/>
        <v>43647</v>
      </c>
      <c r="H58" s="1568">
        <f t="shared" si="16"/>
        <v>43617</v>
      </c>
      <c r="I58" s="1568">
        <f t="shared" si="16"/>
        <v>43586</v>
      </c>
      <c r="J58" s="1568">
        <f t="shared" si="16"/>
        <v>43556</v>
      </c>
      <c r="K58" s="1568">
        <f t="shared" si="16"/>
        <v>43525</v>
      </c>
      <c r="L58" s="1568">
        <f t="shared" si="16"/>
        <v>43497</v>
      </c>
      <c r="M58" s="1568">
        <f t="shared" si="16"/>
        <v>43466</v>
      </c>
      <c r="N58" s="1568">
        <f t="shared" si="16"/>
        <v>43435</v>
      </c>
      <c r="O58" s="1568">
        <f t="shared" si="16"/>
        <v>43405</v>
      </c>
      <c r="P58" s="1563"/>
    </row>
    <row r="59" spans="1:29" s="116" customFormat="1" ht="15">
      <c r="A59" s="506"/>
      <c r="B59" s="2617"/>
      <c r="C59" s="1566">
        <v>100</v>
      </c>
      <c r="D59" s="508"/>
      <c r="E59" s="509"/>
      <c r="F59" s="509"/>
      <c r="G59" s="509"/>
      <c r="H59" s="509"/>
      <c r="I59" s="509"/>
      <c r="J59" s="509"/>
      <c r="K59" s="509"/>
      <c r="L59" s="509"/>
      <c r="M59" s="510"/>
      <c r="N59" s="509"/>
      <c r="O59" s="510"/>
      <c r="P59" s="2618"/>
    </row>
    <row r="60" spans="1:29" s="116" customFormat="1" ht="15.75" thickBot="1">
      <c r="A60" s="512" t="s">
        <v>2574</v>
      </c>
      <c r="B60" s="513"/>
      <c r="C60" s="514"/>
      <c r="D60" s="515"/>
      <c r="E60" s="515"/>
      <c r="F60" s="515"/>
      <c r="G60" s="515"/>
      <c r="H60" s="515"/>
      <c r="I60" s="515"/>
      <c r="J60" s="515"/>
      <c r="K60" s="515"/>
      <c r="L60" s="515"/>
      <c r="M60" s="516"/>
      <c r="N60" s="515"/>
      <c r="O60" s="516"/>
      <c r="P60" s="2618"/>
      <c r="Q60" s="501"/>
    </row>
    <row r="61" spans="1:29" s="116" customFormat="1" ht="15">
      <c r="A61" s="518" t="s">
        <v>2575</v>
      </c>
      <c r="B61" s="507"/>
      <c r="C61" s="519" t="s">
        <v>2576</v>
      </c>
      <c r="D61" s="520"/>
      <c r="E61" s="520"/>
      <c r="F61" s="520"/>
      <c r="G61" s="520"/>
      <c r="H61" s="520"/>
      <c r="I61" s="520"/>
      <c r="J61" s="520"/>
      <c r="K61" s="520"/>
      <c r="L61" s="521"/>
      <c r="M61" s="522"/>
      <c r="N61" s="1145"/>
      <c r="O61" s="1145"/>
      <c r="P61" s="2619"/>
      <c r="Q61" s="501"/>
    </row>
    <row r="62" spans="1:29" s="116" customFormat="1" ht="15.75" thickBot="1">
      <c r="A62" s="518"/>
      <c r="B62" s="507"/>
      <c r="C62" s="508">
        <v>100</v>
      </c>
      <c r="D62" s="509"/>
      <c r="E62" s="509"/>
      <c r="F62" s="509"/>
      <c r="G62" s="509"/>
      <c r="H62" s="509"/>
      <c r="I62" s="509"/>
      <c r="J62" s="509"/>
      <c r="K62" s="509"/>
      <c r="L62" s="509"/>
      <c r="M62" s="511"/>
      <c r="N62" s="1145"/>
      <c r="O62" s="1145"/>
      <c r="P62" s="2618"/>
      <c r="Q62" s="501"/>
    </row>
    <row r="63" spans="1:29">
      <c r="A63" s="524" t="s">
        <v>2577</v>
      </c>
      <c r="B63" s="525" t="s">
        <v>2543</v>
      </c>
      <c r="C63" s="526" t="str">
        <f>C9</f>
        <v>住宅</v>
      </c>
      <c r="D63" s="527"/>
      <c r="E63" s="527"/>
      <c r="F63" s="527"/>
      <c r="G63" s="527"/>
      <c r="H63" s="527"/>
      <c r="I63" s="527"/>
      <c r="J63" s="527"/>
      <c r="K63" s="528"/>
      <c r="L63" s="529"/>
      <c r="M63" s="530"/>
      <c r="N63" s="1146"/>
      <c r="O63" s="1146"/>
      <c r="P63" s="2620"/>
      <c r="Q63" s="501"/>
    </row>
    <row r="64" spans="1:29" ht="15.75" thickBot="1">
      <c r="A64" s="531"/>
      <c r="B64" s="532"/>
      <c r="C64" s="533">
        <v>100</v>
      </c>
      <c r="D64" s="533"/>
      <c r="E64" s="533"/>
      <c r="F64" s="533"/>
      <c r="G64" s="533"/>
      <c r="H64" s="533"/>
      <c r="I64" s="533"/>
      <c r="J64" s="533"/>
      <c r="K64" s="533"/>
      <c r="L64" s="533"/>
      <c r="M64" s="534"/>
      <c r="N64" s="1147"/>
      <c r="O64" s="1147"/>
      <c r="P64" s="2620"/>
      <c r="Q64" s="501"/>
    </row>
    <row r="65" spans="1:17" ht="27.75" thickTop="1">
      <c r="A65" s="531"/>
      <c r="B65" s="535" t="s">
        <v>2546</v>
      </c>
      <c r="C65" s="536" t="s">
        <v>2578</v>
      </c>
      <c r="D65" s="536" t="s">
        <v>2579</v>
      </c>
      <c r="E65" s="536" t="s">
        <v>2580</v>
      </c>
      <c r="F65" s="536" t="s">
        <v>2581</v>
      </c>
      <c r="G65" s="536" t="s">
        <v>2582</v>
      </c>
      <c r="H65" s="536" t="s">
        <v>2583</v>
      </c>
      <c r="I65" s="536" t="s">
        <v>2584</v>
      </c>
      <c r="J65" s="536"/>
      <c r="K65" s="537"/>
      <c r="L65" s="538"/>
      <c r="M65" s="539"/>
      <c r="N65" s="1146"/>
      <c r="O65" s="1146"/>
      <c r="P65" s="2620"/>
      <c r="Q65" s="501"/>
    </row>
    <row r="66" spans="1:17" ht="15.75" thickBot="1">
      <c r="A66" s="531"/>
      <c r="B66" s="540"/>
      <c r="C66" s="541">
        <v>100</v>
      </c>
      <c r="D66" s="541">
        <f t="shared" ref="D66:I66" si="17">C66-$K10</f>
        <v>95</v>
      </c>
      <c r="E66" s="541">
        <f t="shared" si="17"/>
        <v>90</v>
      </c>
      <c r="F66" s="541">
        <f t="shared" si="17"/>
        <v>85</v>
      </c>
      <c r="G66" s="541">
        <f t="shared" si="17"/>
        <v>80</v>
      </c>
      <c r="H66" s="541">
        <f t="shared" si="17"/>
        <v>75</v>
      </c>
      <c r="I66" s="541">
        <f t="shared" si="17"/>
        <v>70</v>
      </c>
      <c r="J66" s="541"/>
      <c r="K66" s="541"/>
      <c r="L66" s="541"/>
      <c r="M66" s="542"/>
      <c r="N66" s="1147"/>
      <c r="O66" s="1147"/>
      <c r="P66" s="2620"/>
      <c r="Q66" s="501"/>
    </row>
    <row r="67" spans="1:17" ht="15.75" thickTop="1">
      <c r="A67" s="531"/>
      <c r="B67" s="543" t="s">
        <v>2547</v>
      </c>
      <c r="C67" s="544" t="str">
        <f>C68&amp;"（含）"&amp;"-"&amp;D68</f>
        <v>1（含）-2</v>
      </c>
      <c r="D67" s="544" t="str">
        <f t="shared" ref="D67:L67" si="18">D68&amp;"（含）"&amp;"-"&amp;E68</f>
        <v>2（含）-3</v>
      </c>
      <c r="E67" s="544" t="str">
        <f t="shared" si="18"/>
        <v>3（含）-4</v>
      </c>
      <c r="F67" s="544" t="str">
        <f t="shared" si="18"/>
        <v>4（含）-</v>
      </c>
      <c r="G67" s="544" t="str">
        <f t="shared" si="18"/>
        <v>（含）-</v>
      </c>
      <c r="H67" s="544" t="str">
        <f t="shared" si="18"/>
        <v>（含）-</v>
      </c>
      <c r="I67" s="544" t="str">
        <f t="shared" si="18"/>
        <v>（含）-</v>
      </c>
      <c r="J67" s="544" t="str">
        <f t="shared" si="18"/>
        <v>（含）-</v>
      </c>
      <c r="K67" s="544" t="str">
        <f>K68&amp;"（含）"&amp;"-"&amp;L68</f>
        <v>（含）-</v>
      </c>
      <c r="L67" s="544" t="str">
        <f t="shared" si="18"/>
        <v>（含）-</v>
      </c>
      <c r="M67" s="445" t="str">
        <f>M68&amp;"（含）"&amp;"-"&amp;P68</f>
        <v>（含）-</v>
      </c>
      <c r="N67" s="1147"/>
      <c r="O67" s="1147"/>
      <c r="P67" s="2620"/>
      <c r="Q67" s="501"/>
    </row>
    <row r="68" spans="1:17" ht="15">
      <c r="A68" s="531"/>
      <c r="B68" s="545"/>
      <c r="C68" s="546">
        <v>1</v>
      </c>
      <c r="D68" s="546">
        <v>2</v>
      </c>
      <c r="E68" s="546">
        <v>3</v>
      </c>
      <c r="F68" s="546">
        <v>4</v>
      </c>
      <c r="G68" s="546"/>
      <c r="H68" s="546"/>
      <c r="I68" s="546"/>
      <c r="J68" s="546"/>
      <c r="K68" s="547"/>
      <c r="L68" s="548"/>
      <c r="M68" s="549"/>
      <c r="N68" s="1146"/>
      <c r="O68" s="1146"/>
      <c r="P68" s="2620"/>
      <c r="Q68" s="501"/>
    </row>
    <row r="69" spans="1:17" ht="15.75" thickBot="1">
      <c r="A69" s="531"/>
      <c r="B69" s="532"/>
      <c r="C69" s="541">
        <v>100</v>
      </c>
      <c r="D69" s="541">
        <f t="shared" ref="D69:M69" si="19">C69-$K11</f>
        <v>99</v>
      </c>
      <c r="E69" s="541">
        <f t="shared" si="19"/>
        <v>98</v>
      </c>
      <c r="F69" s="541">
        <f t="shared" si="19"/>
        <v>97</v>
      </c>
      <c r="G69" s="541">
        <f t="shared" si="19"/>
        <v>96</v>
      </c>
      <c r="H69" s="541">
        <f t="shared" si="19"/>
        <v>95</v>
      </c>
      <c r="I69" s="541">
        <f t="shared" si="19"/>
        <v>94</v>
      </c>
      <c r="J69" s="541">
        <f t="shared" si="19"/>
        <v>93</v>
      </c>
      <c r="K69" s="541">
        <f t="shared" si="19"/>
        <v>92</v>
      </c>
      <c r="L69" s="541">
        <f t="shared" si="19"/>
        <v>91</v>
      </c>
      <c r="M69" s="542">
        <f t="shared" si="19"/>
        <v>90</v>
      </c>
      <c r="N69" s="1147"/>
      <c r="O69" s="1147"/>
      <c r="P69" s="2620"/>
      <c r="Q69" s="501"/>
    </row>
    <row r="70" spans="1:17" s="468" customFormat="1" ht="15.75" thickTop="1">
      <c r="A70" s="550"/>
      <c r="B70" s="535">
        <f>B12</f>
        <v>0</v>
      </c>
      <c r="C70" s="551"/>
      <c r="D70" s="551"/>
      <c r="E70" s="551"/>
      <c r="F70" s="551"/>
      <c r="G70" s="551"/>
      <c r="H70" s="552"/>
      <c r="I70" s="552"/>
      <c r="J70" s="552"/>
      <c r="K70" s="552"/>
      <c r="L70" s="553"/>
      <c r="M70" s="554"/>
      <c r="N70" s="1148"/>
      <c r="O70" s="1148"/>
      <c r="P70" s="2621"/>
      <c r="Q70" s="556"/>
    </row>
    <row r="71" spans="1:17" s="468" customFormat="1" ht="15.75" thickBot="1">
      <c r="A71" s="550"/>
      <c r="B71" s="540"/>
      <c r="C71" s="557"/>
      <c r="D71" s="533"/>
      <c r="E71" s="533"/>
      <c r="F71" s="533"/>
      <c r="G71" s="533"/>
      <c r="H71" s="533"/>
      <c r="I71" s="533"/>
      <c r="J71" s="533"/>
      <c r="K71" s="533"/>
      <c r="L71" s="533"/>
      <c r="M71" s="534"/>
      <c r="N71" s="1147"/>
      <c r="O71" s="1147"/>
      <c r="P71" s="2621"/>
      <c r="Q71" s="556"/>
    </row>
    <row r="72" spans="1:17" s="468" customFormat="1" ht="15.75" thickTop="1">
      <c r="A72" s="550"/>
      <c r="B72" s="535">
        <f>B13</f>
        <v>0</v>
      </c>
      <c r="C72" s="551"/>
      <c r="D72" s="551"/>
      <c r="E72" s="551"/>
      <c r="F72" s="551"/>
      <c r="G72" s="551"/>
      <c r="H72" s="552"/>
      <c r="I72" s="552"/>
      <c r="J72" s="552"/>
      <c r="K72" s="552"/>
      <c r="L72" s="553"/>
      <c r="M72" s="554"/>
      <c r="N72" s="1148"/>
      <c r="O72" s="1148"/>
      <c r="P72" s="2622"/>
      <c r="Q72" s="558"/>
    </row>
    <row r="73" spans="1:17" s="468" customFormat="1" ht="15.75" thickBot="1">
      <c r="A73" s="550"/>
      <c r="B73" s="540"/>
      <c r="C73" s="557"/>
      <c r="D73" s="557"/>
      <c r="E73" s="557"/>
      <c r="F73" s="557"/>
      <c r="G73" s="557"/>
      <c r="H73" s="559"/>
      <c r="I73" s="559"/>
      <c r="J73" s="559"/>
      <c r="K73" s="559"/>
      <c r="L73" s="559"/>
      <c r="M73" s="560"/>
      <c r="N73" s="1148"/>
      <c r="O73" s="1148"/>
      <c r="P73" s="2621"/>
      <c r="Q73" s="556"/>
    </row>
    <row r="74" spans="1:17" s="468" customFormat="1" ht="15.75" thickTop="1">
      <c r="A74" s="550"/>
      <c r="B74" s="543">
        <f>B14</f>
        <v>0</v>
      </c>
      <c r="C74" s="551"/>
      <c r="D74" s="551"/>
      <c r="E74" s="551"/>
      <c r="F74" s="551"/>
      <c r="G74" s="520"/>
      <c r="H74" s="561"/>
      <c r="I74" s="561"/>
      <c r="J74" s="561"/>
      <c r="K74" s="561"/>
      <c r="L74" s="562"/>
      <c r="M74" s="563"/>
      <c r="N74" s="1148"/>
      <c r="O74" s="1148"/>
      <c r="P74" s="2623"/>
      <c r="Q74" s="556"/>
    </row>
    <row r="75" spans="1:17" s="468" customFormat="1" ht="15.75" thickBot="1">
      <c r="A75" s="565"/>
      <c r="B75" s="566"/>
      <c r="C75" s="567"/>
      <c r="D75" s="567"/>
      <c r="E75" s="567"/>
      <c r="F75" s="567"/>
      <c r="G75" s="567"/>
      <c r="H75" s="568"/>
      <c r="I75" s="568"/>
      <c r="J75" s="568"/>
      <c r="K75" s="568"/>
      <c r="L75" s="568"/>
      <c r="M75" s="569"/>
      <c r="N75" s="1148"/>
      <c r="O75" s="1148"/>
      <c r="P75" s="2621"/>
      <c r="Q75" s="556"/>
    </row>
    <row r="76" spans="1:17">
      <c r="A76" s="524" t="s">
        <v>2548</v>
      </c>
      <c r="B76" s="525" t="s">
        <v>2585</v>
      </c>
      <c r="C76" s="570" t="s">
        <v>2586</v>
      </c>
      <c r="D76" s="570" t="s">
        <v>2587</v>
      </c>
      <c r="E76" s="570" t="s">
        <v>2588</v>
      </c>
      <c r="F76" s="570" t="s">
        <v>2589</v>
      </c>
      <c r="G76" s="570" t="s">
        <v>2590</v>
      </c>
      <c r="H76" s="526"/>
      <c r="I76" s="526"/>
      <c r="J76" s="526"/>
      <c r="K76" s="571"/>
      <c r="L76" s="572"/>
      <c r="M76" s="573"/>
      <c r="N76" s="1146"/>
      <c r="O76" s="1146"/>
      <c r="P76" s="2624"/>
      <c r="Q76" s="501"/>
    </row>
    <row r="77" spans="1:17" ht="15.75" thickBot="1">
      <c r="A77" s="531"/>
      <c r="B77" s="540"/>
      <c r="C77" s="541">
        <v>100</v>
      </c>
      <c r="D77" s="541">
        <f>C77-$K15</f>
        <v>95</v>
      </c>
      <c r="E77" s="541">
        <f>D77-$K15</f>
        <v>90</v>
      </c>
      <c r="F77" s="541">
        <f>E77-$K15</f>
        <v>85</v>
      </c>
      <c r="G77" s="541">
        <f>F77-$K15</f>
        <v>80</v>
      </c>
      <c r="H77" s="541"/>
      <c r="I77" s="541"/>
      <c r="J77" s="541"/>
      <c r="K77" s="541"/>
      <c r="L77" s="541"/>
      <c r="M77" s="542"/>
      <c r="N77" s="1147"/>
      <c r="O77" s="1147"/>
      <c r="P77" s="2620"/>
      <c r="Q77" s="501"/>
    </row>
    <row r="78" spans="1:17" ht="15.75" thickTop="1">
      <c r="A78" s="531"/>
      <c r="B78" s="535" t="s">
        <v>2591</v>
      </c>
      <c r="C78" s="575" t="s">
        <v>2586</v>
      </c>
      <c r="D78" s="575" t="s">
        <v>2587</v>
      </c>
      <c r="E78" s="575" t="s">
        <v>2588</v>
      </c>
      <c r="F78" s="575" t="s">
        <v>2589</v>
      </c>
      <c r="G78" s="575" t="s">
        <v>2590</v>
      </c>
      <c r="H78" s="536"/>
      <c r="I78" s="536"/>
      <c r="J78" s="536"/>
      <c r="K78" s="537"/>
      <c r="L78" s="538"/>
      <c r="M78" s="539"/>
      <c r="N78" s="1146"/>
      <c r="O78" s="1146"/>
      <c r="P78" s="2620"/>
      <c r="Q78" s="501"/>
    </row>
    <row r="79" spans="1:17" ht="15.75" thickBot="1">
      <c r="A79" s="531"/>
      <c r="B79" s="540"/>
      <c r="C79" s="541">
        <v>100</v>
      </c>
      <c r="D79" s="541">
        <f>C79-$K17</f>
        <v>95</v>
      </c>
      <c r="E79" s="541">
        <f>D79-$K17</f>
        <v>90</v>
      </c>
      <c r="F79" s="541">
        <f>E79-$K17</f>
        <v>85</v>
      </c>
      <c r="G79" s="541">
        <f>F79-$K17</f>
        <v>80</v>
      </c>
      <c r="H79" s="541"/>
      <c r="I79" s="541"/>
      <c r="J79" s="541"/>
      <c r="K79" s="541"/>
      <c r="L79" s="541"/>
      <c r="M79" s="542"/>
      <c r="N79" s="1147"/>
      <c r="O79" s="1147"/>
      <c r="P79" s="2620"/>
      <c r="Q79" s="501"/>
    </row>
    <row r="80" spans="1:17" ht="15.75" thickTop="1">
      <c r="A80" s="531"/>
      <c r="B80" s="535" t="s">
        <v>2592</v>
      </c>
      <c r="C80" s="575" t="s">
        <v>2586</v>
      </c>
      <c r="D80" s="575" t="s">
        <v>2587</v>
      </c>
      <c r="E80" s="575" t="s">
        <v>2588</v>
      </c>
      <c r="F80" s="575" t="s">
        <v>2589</v>
      </c>
      <c r="G80" s="575" t="s">
        <v>2590</v>
      </c>
      <c r="H80" s="536"/>
      <c r="I80" s="536"/>
      <c r="J80" s="536"/>
      <c r="K80" s="537"/>
      <c r="L80" s="538"/>
      <c r="M80" s="539"/>
      <c r="N80" s="1146"/>
      <c r="O80" s="1146"/>
      <c r="P80" s="2620"/>
      <c r="Q80" s="501"/>
    </row>
    <row r="81" spans="1:17" ht="15.75" thickBot="1">
      <c r="A81" s="531"/>
      <c r="B81" s="540"/>
      <c r="C81" s="541">
        <v>100</v>
      </c>
      <c r="D81" s="541">
        <f>C81-$K19</f>
        <v>95</v>
      </c>
      <c r="E81" s="541">
        <f>D81-$K19</f>
        <v>90</v>
      </c>
      <c r="F81" s="541">
        <f>E81-$K19</f>
        <v>85</v>
      </c>
      <c r="G81" s="541">
        <f>F81-$K19</f>
        <v>80</v>
      </c>
      <c r="H81" s="541"/>
      <c r="I81" s="541"/>
      <c r="J81" s="541"/>
      <c r="K81" s="541"/>
      <c r="L81" s="541"/>
      <c r="M81" s="542"/>
      <c r="N81" s="1147"/>
      <c r="O81" s="1147"/>
      <c r="P81" s="2620"/>
      <c r="Q81" s="501"/>
    </row>
    <row r="82" spans="1:17" ht="15.75" thickTop="1">
      <c r="A82" s="531"/>
      <c r="B82" s="543" t="s">
        <v>2093</v>
      </c>
      <c r="C82" s="536" t="s">
        <v>2593</v>
      </c>
      <c r="D82" s="536" t="s">
        <v>2594</v>
      </c>
      <c r="E82" s="536" t="s">
        <v>2595</v>
      </c>
      <c r="F82" s="536" t="s">
        <v>2596</v>
      </c>
      <c r="G82" s="536" t="s">
        <v>2597</v>
      </c>
      <c r="H82" s="536"/>
      <c r="I82" s="536"/>
      <c r="J82" s="536"/>
      <c r="K82" s="536"/>
      <c r="L82" s="536"/>
      <c r="M82" s="1376"/>
      <c r="N82" s="1147"/>
      <c r="O82" s="1147"/>
      <c r="P82" s="2620"/>
      <c r="Q82" s="501"/>
    </row>
    <row r="83" spans="1:17" ht="15.75" thickBot="1">
      <c r="A83" s="531"/>
      <c r="B83" s="543"/>
      <c r="C83" s="657">
        <v>100</v>
      </c>
      <c r="D83" s="657">
        <f>C83-$K21</f>
        <v>98</v>
      </c>
      <c r="E83" s="657">
        <f>D83-$K21</f>
        <v>96</v>
      </c>
      <c r="F83" s="657">
        <f>E83-$K21</f>
        <v>94</v>
      </c>
      <c r="G83" s="657">
        <f>F83-$K21</f>
        <v>92</v>
      </c>
      <c r="H83" s="657"/>
      <c r="I83" s="657"/>
      <c r="J83" s="657"/>
      <c r="K83" s="657"/>
      <c r="L83" s="657"/>
      <c r="M83" s="447"/>
      <c r="N83" s="1147"/>
      <c r="O83" s="1147"/>
      <c r="P83" s="2620"/>
      <c r="Q83" s="501"/>
    </row>
    <row r="84" spans="1:17" ht="15.75" thickTop="1">
      <c r="A84" s="531"/>
      <c r="B84" s="535" t="s">
        <v>2598</v>
      </c>
      <c r="C84" s="575" t="s">
        <v>2586</v>
      </c>
      <c r="D84" s="575" t="s">
        <v>2587</v>
      </c>
      <c r="E84" s="575" t="s">
        <v>2588</v>
      </c>
      <c r="F84" s="575" t="s">
        <v>2589</v>
      </c>
      <c r="G84" s="575" t="s">
        <v>2590</v>
      </c>
      <c r="H84" s="536"/>
      <c r="I84" s="536"/>
      <c r="J84" s="536"/>
      <c r="K84" s="537"/>
      <c r="L84" s="538"/>
      <c r="M84" s="539"/>
      <c r="N84" s="1146"/>
      <c r="O84" s="1146"/>
      <c r="P84" s="2620"/>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7"/>
      <c r="O85" s="1147"/>
      <c r="P85" s="2620"/>
      <c r="Q85" s="501"/>
    </row>
    <row r="86" spans="1:17" s="116" customFormat="1" ht="15.75" thickTop="1">
      <c r="A86" s="576"/>
      <c r="B86" s="535" t="s">
        <v>2599</v>
      </c>
      <c r="C86" s="551"/>
      <c r="D86" s="551"/>
      <c r="E86" s="551"/>
      <c r="F86" s="551"/>
      <c r="G86" s="551"/>
      <c r="H86" s="551"/>
      <c r="I86" s="551"/>
      <c r="J86" s="551"/>
      <c r="K86" s="551"/>
      <c r="L86" s="577"/>
      <c r="M86" s="578"/>
      <c r="N86" s="1145"/>
      <c r="O86" s="1145"/>
      <c r="P86" s="2620"/>
      <c r="Q86" s="501"/>
    </row>
    <row r="87" spans="1:17" s="116" customFormat="1" ht="15.75" thickBot="1">
      <c r="A87" s="576"/>
      <c r="B87" s="540"/>
      <c r="C87" s="579">
        <v>100</v>
      </c>
      <c r="D87" s="541">
        <f t="shared" ref="D87:M87" si="20">$C$87-($C$86-D86)*$K$25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7"/>
      <c r="O87" s="1147"/>
      <c r="P87" s="2620"/>
      <c r="Q87" s="501"/>
    </row>
    <row r="88" spans="1:17" s="116" customFormat="1" ht="15.75" thickTop="1">
      <c r="A88" s="576"/>
      <c r="B88" s="535" t="s">
        <v>2600</v>
      </c>
      <c r="C88" s="551"/>
      <c r="D88" s="551"/>
      <c r="E88" s="551"/>
      <c r="F88" s="2625"/>
      <c r="G88" s="551"/>
      <c r="H88" s="551"/>
      <c r="I88" s="551"/>
      <c r="J88" s="551"/>
      <c r="K88" s="551"/>
      <c r="L88" s="551"/>
      <c r="M88" s="578"/>
      <c r="N88" s="1145"/>
      <c r="O88" s="1145"/>
      <c r="P88" s="2620"/>
      <c r="Q88" s="501"/>
    </row>
    <row r="89" spans="1:17" s="116" customFormat="1" ht="15.75" thickBot="1">
      <c r="A89" s="576"/>
      <c r="B89" s="540"/>
      <c r="C89" s="579">
        <v>100</v>
      </c>
      <c r="D89" s="541">
        <f t="shared" ref="D89:M89" si="21">C89-$K26</f>
        <v>100</v>
      </c>
      <c r="E89" s="541">
        <f t="shared" si="21"/>
        <v>100</v>
      </c>
      <c r="F89" s="541">
        <f t="shared" si="21"/>
        <v>100</v>
      </c>
      <c r="G89" s="541">
        <f t="shared" si="21"/>
        <v>100</v>
      </c>
      <c r="H89" s="541">
        <f t="shared" si="21"/>
        <v>100</v>
      </c>
      <c r="I89" s="541">
        <f t="shared" si="21"/>
        <v>100</v>
      </c>
      <c r="J89" s="541">
        <f t="shared" si="21"/>
        <v>100</v>
      </c>
      <c r="K89" s="541">
        <f t="shared" si="21"/>
        <v>100</v>
      </c>
      <c r="L89" s="541">
        <f t="shared" si="21"/>
        <v>100</v>
      </c>
      <c r="M89" s="541">
        <f t="shared" si="21"/>
        <v>100</v>
      </c>
      <c r="N89" s="1147"/>
      <c r="O89" s="1147"/>
      <c r="P89" s="2620"/>
      <c r="Q89" s="501"/>
    </row>
    <row r="90" spans="1:17" s="468" customFormat="1" ht="15.75" thickTop="1">
      <c r="A90" s="550"/>
      <c r="B90" s="535">
        <f>B27</f>
        <v>0</v>
      </c>
      <c r="C90" s="551"/>
      <c r="D90" s="551"/>
      <c r="E90" s="551"/>
      <c r="F90" s="551"/>
      <c r="G90" s="551"/>
      <c r="H90" s="552"/>
      <c r="I90" s="552"/>
      <c r="J90" s="552"/>
      <c r="K90" s="552"/>
      <c r="L90" s="553"/>
      <c r="M90" s="554"/>
      <c r="N90" s="1148"/>
      <c r="O90" s="1148"/>
      <c r="P90" s="2621"/>
      <c r="Q90" s="556"/>
    </row>
    <row r="91" spans="1:17" s="468" customFormat="1" ht="15.75" thickBot="1">
      <c r="A91" s="550"/>
      <c r="B91" s="540"/>
      <c r="C91" s="557"/>
      <c r="D91" s="557"/>
      <c r="E91" s="557"/>
      <c r="F91" s="557"/>
      <c r="G91" s="557"/>
      <c r="H91" s="559"/>
      <c r="I91" s="559"/>
      <c r="J91" s="559"/>
      <c r="K91" s="559"/>
      <c r="L91" s="559"/>
      <c r="M91" s="560"/>
      <c r="N91" s="1148"/>
      <c r="O91" s="1148"/>
      <c r="P91" s="2621"/>
      <c r="Q91" s="556"/>
    </row>
    <row r="92" spans="1:17" ht="15.75" thickTop="1">
      <c r="A92" s="531"/>
      <c r="B92" s="535">
        <f>B28</f>
        <v>0</v>
      </c>
      <c r="C92" s="551"/>
      <c r="D92" s="551"/>
      <c r="E92" s="551"/>
      <c r="F92" s="551"/>
      <c r="G92" s="580"/>
      <c r="H92" s="580"/>
      <c r="I92" s="580"/>
      <c r="J92" s="580"/>
      <c r="K92" s="581"/>
      <c r="L92" s="582"/>
      <c r="M92" s="583"/>
      <c r="N92" s="1146"/>
      <c r="O92" s="1146"/>
      <c r="P92" s="2620"/>
      <c r="Q92" s="501"/>
    </row>
    <row r="93" spans="1:17" ht="15.75" thickBot="1">
      <c r="A93" s="531"/>
      <c r="B93" s="540"/>
      <c r="C93" s="557"/>
      <c r="D93" s="533"/>
      <c r="E93" s="533"/>
      <c r="F93" s="533"/>
      <c r="G93" s="533"/>
      <c r="H93" s="533"/>
      <c r="I93" s="533"/>
      <c r="J93" s="533"/>
      <c r="K93" s="533"/>
      <c r="L93" s="533"/>
      <c r="M93" s="534"/>
      <c r="N93" s="1147"/>
      <c r="O93" s="1147"/>
      <c r="P93" s="2620"/>
      <c r="Q93" s="501"/>
    </row>
    <row r="94" spans="1:17" ht="15.75" thickTop="1">
      <c r="A94" s="531"/>
      <c r="B94" s="535">
        <f>B29</f>
        <v>0</v>
      </c>
      <c r="C94" s="551"/>
      <c r="D94" s="551"/>
      <c r="E94" s="551"/>
      <c r="F94" s="551"/>
      <c r="G94" s="580"/>
      <c r="H94" s="580"/>
      <c r="I94" s="580"/>
      <c r="J94" s="580"/>
      <c r="K94" s="581"/>
      <c r="L94" s="582"/>
      <c r="M94" s="583"/>
      <c r="N94" s="1146"/>
      <c r="O94" s="1146"/>
      <c r="P94" s="2620"/>
      <c r="Q94" s="501"/>
    </row>
    <row r="95" spans="1:17" ht="15.75" thickBot="1">
      <c r="A95" s="531"/>
      <c r="B95" s="540"/>
      <c r="C95" s="557"/>
      <c r="D95" s="557"/>
      <c r="E95" s="557"/>
      <c r="F95" s="557"/>
      <c r="G95" s="533"/>
      <c r="H95" s="533"/>
      <c r="I95" s="533"/>
      <c r="J95" s="533"/>
      <c r="K95" s="533"/>
      <c r="L95" s="533"/>
      <c r="M95" s="534"/>
      <c r="N95" s="1147"/>
      <c r="O95" s="1147"/>
      <c r="P95" s="2620"/>
      <c r="Q95" s="501"/>
    </row>
    <row r="96" spans="1:17" ht="15.75" thickTop="1">
      <c r="A96" s="531"/>
      <c r="B96" s="535">
        <f>B30</f>
        <v>0</v>
      </c>
      <c r="C96" s="551"/>
      <c r="D96" s="551"/>
      <c r="E96" s="551"/>
      <c r="F96" s="551"/>
      <c r="G96" s="580"/>
      <c r="H96" s="580"/>
      <c r="I96" s="580"/>
      <c r="J96" s="580"/>
      <c r="K96" s="581"/>
      <c r="L96" s="582"/>
      <c r="M96" s="583"/>
      <c r="N96" s="1146"/>
      <c r="O96" s="1146"/>
      <c r="P96" s="2620"/>
      <c r="Q96" s="501"/>
    </row>
    <row r="97" spans="1:17" ht="15.75" thickBot="1">
      <c r="A97" s="531"/>
      <c r="B97" s="540"/>
      <c r="C97" s="567"/>
      <c r="D97" s="567"/>
      <c r="E97" s="567"/>
      <c r="F97" s="567"/>
      <c r="G97" s="533"/>
      <c r="H97" s="533"/>
      <c r="I97" s="533"/>
      <c r="J97" s="533"/>
      <c r="K97" s="533"/>
      <c r="L97" s="533"/>
      <c r="M97" s="534"/>
      <c r="N97" s="1147"/>
      <c r="O97" s="1147"/>
      <c r="P97" s="2620"/>
      <c r="Q97" s="501"/>
    </row>
    <row r="98" spans="1:17" ht="15.75" thickTop="1">
      <c r="A98" s="531"/>
      <c r="B98" s="543">
        <f>B31</f>
        <v>0</v>
      </c>
      <c r="C98" s="584"/>
      <c r="D98" s="584"/>
      <c r="E98" s="584"/>
      <c r="F98" s="584"/>
      <c r="G98" s="584"/>
      <c r="H98" s="584"/>
      <c r="I98" s="584"/>
      <c r="J98" s="584"/>
      <c r="K98" s="585"/>
      <c r="L98" s="586"/>
      <c r="M98" s="587"/>
      <c r="N98" s="1146"/>
      <c r="O98" s="1146"/>
      <c r="P98" s="2620"/>
      <c r="Q98" s="501"/>
    </row>
    <row r="99" spans="1:17" ht="15.75" thickBot="1">
      <c r="A99" s="2626"/>
      <c r="B99" s="566"/>
      <c r="C99" s="588"/>
      <c r="D99" s="588"/>
      <c r="E99" s="588"/>
      <c r="F99" s="588"/>
      <c r="G99" s="588"/>
      <c r="H99" s="588"/>
      <c r="I99" s="588"/>
      <c r="J99" s="588"/>
      <c r="K99" s="588"/>
      <c r="L99" s="588"/>
      <c r="M99" s="589"/>
      <c r="N99" s="1147"/>
      <c r="O99" s="1147"/>
      <c r="P99" s="2620"/>
      <c r="Q99" s="501"/>
    </row>
    <row r="100" spans="1:17">
      <c r="A100" s="524" t="s">
        <v>2552</v>
      </c>
      <c r="B100" s="525" t="s">
        <v>2601</v>
      </c>
      <c r="C100" s="2967" t="s">
        <v>3102</v>
      </c>
      <c r="D100" s="2967" t="s">
        <v>3101</v>
      </c>
      <c r="E100" s="2967"/>
      <c r="F100" s="527"/>
      <c r="G100" s="527"/>
      <c r="H100" s="527"/>
      <c r="I100" s="527"/>
      <c r="J100" s="527"/>
      <c r="K100" s="528"/>
      <c r="L100" s="529"/>
      <c r="M100" s="530"/>
      <c r="N100" s="1146"/>
      <c r="O100" s="1146"/>
      <c r="P100" s="2620"/>
      <c r="Q100" s="501"/>
    </row>
    <row r="101" spans="1:17" ht="15.75" thickBot="1">
      <c r="A101" s="531"/>
      <c r="B101" s="540"/>
      <c r="C101" s="541">
        <v>100</v>
      </c>
      <c r="D101" s="541">
        <f t="shared" ref="D101:M101" si="22">C101-$K32</f>
        <v>95</v>
      </c>
      <c r="E101" s="541">
        <f t="shared" si="22"/>
        <v>90</v>
      </c>
      <c r="F101" s="541">
        <f t="shared" si="22"/>
        <v>85</v>
      </c>
      <c r="G101" s="541">
        <f t="shared" si="22"/>
        <v>80</v>
      </c>
      <c r="H101" s="541">
        <f t="shared" si="22"/>
        <v>75</v>
      </c>
      <c r="I101" s="541">
        <f t="shared" si="22"/>
        <v>70</v>
      </c>
      <c r="J101" s="541">
        <f t="shared" si="22"/>
        <v>65</v>
      </c>
      <c r="K101" s="541">
        <f t="shared" si="22"/>
        <v>60</v>
      </c>
      <c r="L101" s="541">
        <f t="shared" si="22"/>
        <v>55</v>
      </c>
      <c r="M101" s="541">
        <f t="shared" si="22"/>
        <v>50</v>
      </c>
      <c r="N101" s="1147"/>
      <c r="O101" s="1147"/>
      <c r="P101" s="2620"/>
      <c r="Q101" s="501"/>
    </row>
    <row r="102" spans="1:17" ht="15.75" thickTop="1">
      <c r="A102" s="531"/>
      <c r="B102" s="535" t="s">
        <v>2602</v>
      </c>
      <c r="C102" s="575" t="str">
        <f>C103&amp;"(含)"&amp;"-"&amp;D103</f>
        <v>0(含)-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K103&amp;"(含)"&amp;"-"&amp;L103</f>
        <v>(含)-</v>
      </c>
      <c r="L102" s="575" t="str">
        <f t="shared" si="23"/>
        <v>(含)-</v>
      </c>
      <c r="M102" s="575" t="str">
        <f>M103&amp;"(含)"&amp;"-"&amp;P103</f>
        <v>(含)-</v>
      </c>
      <c r="N102" s="1145"/>
      <c r="O102" s="1145"/>
      <c r="P102" s="2620"/>
      <c r="Q102" s="501"/>
    </row>
    <row r="103" spans="1:17" s="468" customFormat="1">
      <c r="A103" s="590"/>
      <c r="B103" s="591"/>
      <c r="C103" s="592">
        <v>0</v>
      </c>
      <c r="D103" s="592"/>
      <c r="E103" s="592"/>
      <c r="F103" s="592"/>
      <c r="G103" s="592"/>
      <c r="H103" s="592"/>
      <c r="I103" s="592"/>
      <c r="J103" s="593"/>
      <c r="K103" s="593"/>
      <c r="L103" s="594"/>
      <c r="M103" s="595"/>
      <c r="N103" s="1148"/>
      <c r="O103" s="1148"/>
      <c r="P103" s="2621"/>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1"/>
      <c r="Q104" s="556"/>
    </row>
    <row r="105" spans="1:17" ht="15" thickTop="1">
      <c r="A105" s="596"/>
      <c r="B105" s="535" t="s">
        <v>2603</v>
      </c>
      <c r="C105" s="2968" t="s">
        <v>3103</v>
      </c>
      <c r="D105" s="551"/>
      <c r="E105" s="580"/>
      <c r="F105" s="580"/>
      <c r="G105" s="580"/>
      <c r="H105" s="580"/>
      <c r="I105" s="580"/>
      <c r="J105" s="580"/>
      <c r="K105" s="581"/>
      <c r="L105" s="582"/>
      <c r="M105" s="583"/>
      <c r="N105" s="1146"/>
      <c r="O105" s="1146"/>
      <c r="P105" s="2620"/>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1">
        <f t="shared" si="24"/>
        <v>80</v>
      </c>
      <c r="N106" s="1147"/>
      <c r="O106" s="1147"/>
      <c r="P106" s="2620"/>
      <c r="Q106" s="501"/>
    </row>
    <row r="107" spans="1:17" ht="15" thickTop="1">
      <c r="A107" s="596"/>
      <c r="B107" s="535" t="s">
        <v>2604</v>
      </c>
      <c r="C107" s="2969" t="s">
        <v>3105</v>
      </c>
      <c r="D107" s="580"/>
      <c r="E107" s="580"/>
      <c r="F107" s="580"/>
      <c r="G107" s="580"/>
      <c r="H107" s="580"/>
      <c r="I107" s="580"/>
      <c r="J107" s="580"/>
      <c r="K107" s="581"/>
      <c r="L107" s="582"/>
      <c r="M107" s="583"/>
      <c r="N107" s="1146"/>
      <c r="O107" s="1146"/>
      <c r="P107" s="2620"/>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1">
        <f t="shared" si="25"/>
        <v>80</v>
      </c>
      <c r="N108" s="1147"/>
      <c r="O108" s="1147"/>
      <c r="P108" s="2620"/>
      <c r="Q108" s="501"/>
    </row>
    <row r="109" spans="1:17" ht="15" thickTop="1">
      <c r="A109" s="596"/>
      <c r="B109" s="535" t="s">
        <v>2605</v>
      </c>
      <c r="C109" s="2968" t="s">
        <v>3107</v>
      </c>
      <c r="D109" s="551"/>
      <c r="E109" s="551"/>
      <c r="F109" s="580"/>
      <c r="G109" s="580"/>
      <c r="H109" s="580"/>
      <c r="I109" s="580"/>
      <c r="J109" s="580"/>
      <c r="K109" s="581"/>
      <c r="L109" s="582"/>
      <c r="M109" s="583"/>
      <c r="N109" s="1146"/>
      <c r="O109" s="1146"/>
      <c r="P109" s="2620"/>
      <c r="Q109" s="501"/>
    </row>
    <row r="110" spans="1:17" ht="15.75" thickBot="1">
      <c r="A110" s="531"/>
      <c r="B110" s="540"/>
      <c r="C110" s="541">
        <v>100</v>
      </c>
      <c r="D110" s="541">
        <f t="shared" ref="D110:M110" si="26">C110-$K36</f>
        <v>98</v>
      </c>
      <c r="E110" s="541">
        <f t="shared" si="26"/>
        <v>96</v>
      </c>
      <c r="F110" s="541">
        <f t="shared" si="26"/>
        <v>94</v>
      </c>
      <c r="G110" s="541">
        <f t="shared" si="26"/>
        <v>92</v>
      </c>
      <c r="H110" s="541">
        <f t="shared" si="26"/>
        <v>90</v>
      </c>
      <c r="I110" s="541">
        <f t="shared" si="26"/>
        <v>88</v>
      </c>
      <c r="J110" s="541">
        <f t="shared" si="26"/>
        <v>86</v>
      </c>
      <c r="K110" s="541">
        <f t="shared" si="26"/>
        <v>84</v>
      </c>
      <c r="L110" s="541">
        <f t="shared" si="26"/>
        <v>82</v>
      </c>
      <c r="M110" s="541">
        <f t="shared" si="26"/>
        <v>80</v>
      </c>
      <c r="N110" s="1147"/>
      <c r="O110" s="1147"/>
      <c r="P110" s="2620"/>
      <c r="Q110" s="501"/>
    </row>
    <row r="111" spans="1:17" s="468" customFormat="1" ht="15" thickTop="1">
      <c r="A111" s="590"/>
      <c r="B111" s="535" t="s">
        <v>1991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1"/>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1"/>
      <c r="Q112" s="556"/>
    </row>
    <row r="113" spans="1:17" s="468" customFormat="1" ht="15.75" thickBot="1">
      <c r="A113" s="550"/>
      <c r="B113" s="540"/>
      <c r="C113" s="579">
        <v>100</v>
      </c>
      <c r="D113" s="541">
        <f>C113+$K37</f>
        <v>102</v>
      </c>
      <c r="E113" s="541">
        <f>D113+$K37</f>
        <v>104</v>
      </c>
      <c r="F113" s="541">
        <f>E113+$K37</f>
        <v>106</v>
      </c>
      <c r="G113" s="541">
        <f>F113+$K37</f>
        <v>108</v>
      </c>
      <c r="H113" s="541">
        <f>G113+$K37</f>
        <v>110</v>
      </c>
      <c r="I113" s="579"/>
      <c r="J113" s="604"/>
      <c r="K113" s="604"/>
      <c r="L113" s="604"/>
      <c r="M113" s="605"/>
      <c r="N113" s="1148"/>
      <c r="O113" s="1148"/>
      <c r="P113" s="2621"/>
      <c r="Q113" s="556"/>
    </row>
    <row r="114" spans="1:17" ht="15" thickTop="1">
      <c r="A114" s="596"/>
      <c r="B114" s="535" t="s">
        <v>2606</v>
      </c>
      <c r="C114" s="2968" t="s">
        <v>3109</v>
      </c>
      <c r="D114" s="551"/>
      <c r="E114" s="580"/>
      <c r="F114" s="580"/>
      <c r="G114" s="580"/>
      <c r="H114" s="580"/>
      <c r="I114" s="580"/>
      <c r="J114" s="580"/>
      <c r="K114" s="581"/>
      <c r="L114" s="582"/>
      <c r="M114" s="583"/>
      <c r="N114" s="1146"/>
      <c r="O114" s="1146"/>
      <c r="P114" s="2620"/>
      <c r="Q114" s="501"/>
    </row>
    <row r="115" spans="1:17" ht="15.75" thickBot="1">
      <c r="A115" s="531"/>
      <c r="B115" s="540"/>
      <c r="C115" s="541">
        <v>100</v>
      </c>
      <c r="D115" s="541">
        <f t="shared" ref="D115:M115" si="27">C115-$K38</f>
        <v>98</v>
      </c>
      <c r="E115" s="541">
        <f t="shared" si="27"/>
        <v>96</v>
      </c>
      <c r="F115" s="541">
        <f t="shared" si="27"/>
        <v>94</v>
      </c>
      <c r="G115" s="541">
        <f t="shared" si="27"/>
        <v>92</v>
      </c>
      <c r="H115" s="541">
        <f t="shared" si="27"/>
        <v>90</v>
      </c>
      <c r="I115" s="541">
        <f t="shared" si="27"/>
        <v>88</v>
      </c>
      <c r="J115" s="541">
        <f t="shared" si="27"/>
        <v>86</v>
      </c>
      <c r="K115" s="541">
        <f t="shared" si="27"/>
        <v>84</v>
      </c>
      <c r="L115" s="541">
        <f t="shared" si="27"/>
        <v>82</v>
      </c>
      <c r="M115" s="541">
        <f t="shared" si="27"/>
        <v>80</v>
      </c>
      <c r="N115" s="1147"/>
      <c r="O115" s="1147"/>
      <c r="P115" s="2620"/>
      <c r="Q115" s="501"/>
    </row>
    <row r="116" spans="1:17" ht="15" thickTop="1">
      <c r="A116" s="596"/>
      <c r="B116" s="535" t="s">
        <v>2607</v>
      </c>
      <c r="C116" s="2968" t="s">
        <v>3110</v>
      </c>
      <c r="D116" s="551"/>
      <c r="E116" s="551"/>
      <c r="F116" s="551"/>
      <c r="G116" s="551"/>
      <c r="H116" s="580"/>
      <c r="I116" s="580"/>
      <c r="J116" s="580"/>
      <c r="K116" s="581"/>
      <c r="L116" s="582"/>
      <c r="M116" s="583"/>
      <c r="N116" s="1146"/>
      <c r="O116" s="1146"/>
      <c r="P116" s="2620"/>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0"/>
      <c r="Q117" s="501"/>
    </row>
    <row r="118" spans="1:17" ht="15" thickTop="1">
      <c r="A118" s="596"/>
      <c r="B118" s="535" t="s">
        <v>2608</v>
      </c>
      <c r="C118" s="2969" t="s">
        <v>3112</v>
      </c>
      <c r="D118" s="580"/>
      <c r="E118" s="580"/>
      <c r="F118" s="580"/>
      <c r="G118" s="580"/>
      <c r="H118" s="580"/>
      <c r="I118" s="580"/>
      <c r="J118" s="580"/>
      <c r="K118" s="581"/>
      <c r="L118" s="582"/>
      <c r="M118" s="583"/>
      <c r="N118" s="1146"/>
      <c r="O118" s="1146"/>
      <c r="P118" s="2620"/>
      <c r="Q118" s="501"/>
    </row>
    <row r="119" spans="1:17" ht="15.75" thickBot="1">
      <c r="A119" s="531"/>
      <c r="B119" s="540"/>
      <c r="C119" s="541">
        <v>100</v>
      </c>
      <c r="D119" s="541">
        <f t="shared" ref="D119:M119" si="28">C119-$K40</f>
        <v>98</v>
      </c>
      <c r="E119" s="541">
        <f t="shared" si="28"/>
        <v>96</v>
      </c>
      <c r="F119" s="541">
        <f t="shared" si="28"/>
        <v>94</v>
      </c>
      <c r="G119" s="541">
        <f t="shared" si="28"/>
        <v>92</v>
      </c>
      <c r="H119" s="541">
        <f t="shared" si="28"/>
        <v>90</v>
      </c>
      <c r="I119" s="541">
        <f t="shared" si="28"/>
        <v>88</v>
      </c>
      <c r="J119" s="541">
        <f t="shared" si="28"/>
        <v>86</v>
      </c>
      <c r="K119" s="541">
        <f t="shared" si="28"/>
        <v>84</v>
      </c>
      <c r="L119" s="541">
        <f t="shared" si="28"/>
        <v>82</v>
      </c>
      <c r="M119" s="541">
        <f t="shared" si="28"/>
        <v>80</v>
      </c>
      <c r="N119" s="1147"/>
      <c r="O119" s="1147"/>
      <c r="P119" s="2620"/>
      <c r="Q119" s="501"/>
    </row>
    <row r="120" spans="1:17" s="468" customFormat="1" ht="28.5" thickTop="1">
      <c r="A120" s="590"/>
      <c r="B120" s="535" t="s">
        <v>2563</v>
      </c>
      <c r="C120" s="551"/>
      <c r="D120" s="551"/>
      <c r="E120" s="551"/>
      <c r="F120" s="551"/>
      <c r="G120" s="551"/>
      <c r="H120" s="551"/>
      <c r="I120" s="551"/>
      <c r="J120" s="551"/>
      <c r="K120" s="551"/>
      <c r="L120" s="577"/>
      <c r="M120" s="578"/>
      <c r="N120" s="1148"/>
      <c r="O120" s="1148"/>
      <c r="P120" s="2621"/>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1"/>
      <c r="Q121" s="556"/>
    </row>
    <row r="122" spans="1:17" ht="15" thickTop="1">
      <c r="A122" s="596"/>
      <c r="B122" s="535" t="s">
        <v>2609</v>
      </c>
      <c r="C122" s="2968" t="s">
        <v>3113</v>
      </c>
      <c r="D122" s="2968" t="s">
        <v>3114</v>
      </c>
      <c r="E122" s="2968" t="s">
        <v>3116</v>
      </c>
      <c r="F122" s="580"/>
      <c r="G122" s="580"/>
      <c r="H122" s="580"/>
      <c r="I122" s="580"/>
      <c r="J122" s="580"/>
      <c r="K122" s="581"/>
      <c r="L122" s="582"/>
      <c r="M122" s="583"/>
      <c r="N122" s="1146"/>
      <c r="O122" s="1146"/>
      <c r="P122" s="2620"/>
      <c r="Q122" s="501"/>
    </row>
    <row r="123" spans="1:17" ht="15.75" thickBot="1">
      <c r="A123" s="531"/>
      <c r="B123" s="540"/>
      <c r="C123" s="541">
        <v>100</v>
      </c>
      <c r="D123" s="541">
        <f t="shared" ref="D123:M123" si="29">C123-$K42</f>
        <v>95</v>
      </c>
      <c r="E123" s="541">
        <f t="shared" si="29"/>
        <v>90</v>
      </c>
      <c r="F123" s="541">
        <f t="shared" si="29"/>
        <v>85</v>
      </c>
      <c r="G123" s="541">
        <f t="shared" si="29"/>
        <v>80</v>
      </c>
      <c r="H123" s="541">
        <f t="shared" si="29"/>
        <v>75</v>
      </c>
      <c r="I123" s="541">
        <f t="shared" si="29"/>
        <v>70</v>
      </c>
      <c r="J123" s="541">
        <f t="shared" si="29"/>
        <v>65</v>
      </c>
      <c r="K123" s="541">
        <f t="shared" si="29"/>
        <v>60</v>
      </c>
      <c r="L123" s="541">
        <f t="shared" si="29"/>
        <v>55</v>
      </c>
      <c r="M123" s="541">
        <f t="shared" si="29"/>
        <v>50</v>
      </c>
      <c r="N123" s="1147"/>
      <c r="O123" s="1147"/>
      <c r="P123" s="2620"/>
      <c r="Q123" s="501"/>
    </row>
    <row r="124" spans="1:17" ht="15" thickTop="1">
      <c r="A124" s="596"/>
      <c r="B124" s="535" t="s">
        <v>2610</v>
      </c>
      <c r="C124" s="575" t="s">
        <v>2586</v>
      </c>
      <c r="D124" s="575" t="s">
        <v>2587</v>
      </c>
      <c r="E124" s="575" t="s">
        <v>2588</v>
      </c>
      <c r="F124" s="575" t="s">
        <v>2589</v>
      </c>
      <c r="G124" s="575" t="s">
        <v>2590</v>
      </c>
      <c r="H124" s="536"/>
      <c r="I124" s="536"/>
      <c r="J124" s="536"/>
      <c r="K124" s="537"/>
      <c r="L124" s="538"/>
      <c r="M124" s="539"/>
      <c r="N124" s="1146"/>
      <c r="O124" s="1146"/>
      <c r="P124" s="2621"/>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7"/>
      <c r="O125" s="1147"/>
      <c r="P125" s="2620"/>
      <c r="Q125" s="501"/>
    </row>
    <row r="126" spans="1:17" s="468" customFormat="1" ht="15" thickTop="1">
      <c r="A126" s="590"/>
      <c r="B126" s="535">
        <f>B44</f>
        <v>0</v>
      </c>
      <c r="C126" s="551"/>
      <c r="D126" s="551"/>
      <c r="E126" s="551"/>
      <c r="F126" s="551"/>
      <c r="G126" s="551"/>
      <c r="H126" s="552"/>
      <c r="I126" s="552"/>
      <c r="J126" s="552"/>
      <c r="K126" s="552"/>
      <c r="L126" s="553"/>
      <c r="M126" s="554"/>
      <c r="N126" s="1148"/>
      <c r="O126" s="1148"/>
      <c r="P126" s="2621"/>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1"/>
      <c r="Q127" s="556"/>
    </row>
    <row r="128" spans="1:17" ht="15" thickTop="1">
      <c r="A128" s="596"/>
      <c r="B128" s="535">
        <f>B45</f>
        <v>0</v>
      </c>
      <c r="C128" s="551"/>
      <c r="D128" s="551"/>
      <c r="E128" s="551"/>
      <c r="F128" s="551"/>
      <c r="G128" s="580"/>
      <c r="H128" s="580"/>
      <c r="I128" s="580"/>
      <c r="J128" s="580"/>
      <c r="K128" s="581"/>
      <c r="L128" s="582"/>
      <c r="M128" s="583"/>
      <c r="N128" s="1146"/>
      <c r="O128" s="1146"/>
      <c r="P128" s="2620"/>
      <c r="Q128" s="501"/>
    </row>
    <row r="129" spans="1:17" ht="15.75" thickBot="1">
      <c r="A129" s="531"/>
      <c r="B129" s="540"/>
      <c r="C129" s="557"/>
      <c r="D129" s="557"/>
      <c r="E129" s="557"/>
      <c r="F129" s="557"/>
      <c r="G129" s="533"/>
      <c r="H129" s="533"/>
      <c r="I129" s="533"/>
      <c r="J129" s="533"/>
      <c r="K129" s="533"/>
      <c r="L129" s="533"/>
      <c r="M129" s="534"/>
      <c r="N129" s="1147"/>
      <c r="O129" s="1147"/>
      <c r="P129" s="2620"/>
      <c r="Q129" s="501"/>
    </row>
    <row r="130" spans="1:17" ht="15" thickTop="1">
      <c r="A130" s="596"/>
      <c r="B130" s="543">
        <f>B46</f>
        <v>0</v>
      </c>
      <c r="C130" s="551"/>
      <c r="D130" s="551"/>
      <c r="E130" s="551"/>
      <c r="F130" s="551"/>
      <c r="G130" s="584"/>
      <c r="H130" s="584"/>
      <c r="I130" s="584"/>
      <c r="J130" s="584"/>
      <c r="K130" s="520"/>
      <c r="L130" s="521"/>
      <c r="M130" s="587"/>
      <c r="N130" s="1146"/>
      <c r="O130" s="1146"/>
      <c r="P130" s="2620"/>
      <c r="Q130" s="501"/>
    </row>
    <row r="131" spans="1:17" ht="15.75" thickBot="1">
      <c r="A131" s="2626"/>
      <c r="B131" s="566"/>
      <c r="C131" s="567"/>
      <c r="D131" s="567"/>
      <c r="E131" s="567"/>
      <c r="F131" s="567"/>
      <c r="G131" s="588"/>
      <c r="H131" s="588"/>
      <c r="I131" s="588"/>
      <c r="J131" s="588"/>
      <c r="K131" s="588"/>
      <c r="L131" s="588"/>
      <c r="M131" s="589"/>
      <c r="N131" s="1147"/>
      <c r="O131" s="1147"/>
      <c r="P131" s="2620"/>
      <c r="Q131" s="501"/>
    </row>
    <row r="136" spans="1:17" ht="15" thickBot="1">
      <c r="B136" s="2627" t="s">
        <v>2611</v>
      </c>
    </row>
    <row r="137" spans="1:17" ht="15">
      <c r="B137" s="2628" t="s">
        <v>2612</v>
      </c>
      <c r="C137" s="2629"/>
      <c r="D137" s="2629"/>
      <c r="E137" s="2629"/>
      <c r="F137" s="2629"/>
      <c r="G137" s="2630"/>
      <c r="H137" s="2631"/>
      <c r="I137" s="2632" t="s">
        <v>2613</v>
      </c>
      <c r="J137" s="2629"/>
      <c r="K137" s="2633"/>
    </row>
    <row r="138" spans="1:17" ht="15">
      <c r="B138" s="2634"/>
      <c r="C138" s="143" t="s">
        <v>2614</v>
      </c>
      <c r="D138" s="143" t="s">
        <v>2615</v>
      </c>
      <c r="E138" s="2635" t="s">
        <v>2616</v>
      </c>
      <c r="F138" s="2636" t="s">
        <v>2617</v>
      </c>
      <c r="G138" s="143" t="s">
        <v>2615</v>
      </c>
      <c r="H138" s="144" t="s">
        <v>2616</v>
      </c>
      <c r="I138" s="2637"/>
      <c r="J138" s="143" t="s">
        <v>2618</v>
      </c>
      <c r="K138" s="144" t="s">
        <v>2619</v>
      </c>
    </row>
    <row r="139" spans="1:17" ht="15">
      <c r="B139" s="1078">
        <v>6</v>
      </c>
      <c r="C139" s="1079">
        <v>96</v>
      </c>
      <c r="D139" s="2638" t="s">
        <v>2620</v>
      </c>
      <c r="E139" s="1080">
        <v>100</v>
      </c>
      <c r="F139" s="1081">
        <v>102.5</v>
      </c>
      <c r="G139" s="2638" t="s">
        <v>2620</v>
      </c>
      <c r="H139" s="1082">
        <v>105</v>
      </c>
      <c r="I139" s="2639" t="s">
        <v>2621</v>
      </c>
      <c r="J139" s="1079">
        <v>20</v>
      </c>
      <c r="K139" s="1083">
        <f>C145/(J139-2)</f>
        <v>4.0555555555555553E-3</v>
      </c>
    </row>
    <row r="140" spans="1:17" ht="15">
      <c r="B140" s="1084">
        <v>5</v>
      </c>
      <c r="C140" s="1085">
        <v>100</v>
      </c>
      <c r="D140" s="1085"/>
      <c r="E140" s="1086"/>
      <c r="F140" s="1087">
        <v>102</v>
      </c>
      <c r="G140" s="1085"/>
      <c r="H140" s="1088"/>
      <c r="I140" s="2640" t="s">
        <v>2622</v>
      </c>
      <c r="J140" s="312">
        <f>ROUNDUP((J139-1)/2,0)</f>
        <v>10</v>
      </c>
      <c r="K140" s="1089">
        <v>100</v>
      </c>
    </row>
    <row r="141" spans="1:17" ht="15">
      <c r="B141" s="1084">
        <v>4</v>
      </c>
      <c r="C141" s="1085">
        <v>102</v>
      </c>
      <c r="D141" s="1085"/>
      <c r="E141" s="1086"/>
      <c r="F141" s="1087">
        <v>101.5</v>
      </c>
      <c r="G141" s="1085"/>
      <c r="H141" s="1088"/>
      <c r="I141" s="2640" t="s">
        <v>2623</v>
      </c>
      <c r="J141" s="312">
        <v>1</v>
      </c>
      <c r="K141" s="1090">
        <f>ROUND(100+(J141-J140)*K139*100,1)</f>
        <v>96.4</v>
      </c>
    </row>
    <row r="142" spans="1:17" ht="15">
      <c r="B142" s="1084">
        <v>3</v>
      </c>
      <c r="C142" s="1085">
        <v>103</v>
      </c>
      <c r="D142" s="1085"/>
      <c r="E142" s="1086"/>
      <c r="F142" s="1087">
        <v>101</v>
      </c>
      <c r="G142" s="1085"/>
      <c r="H142" s="1088"/>
      <c r="I142" s="2640" t="s">
        <v>2624</v>
      </c>
      <c r="J142" s="312">
        <f>J139</f>
        <v>20</v>
      </c>
      <c r="K142" s="1091">
        <v>95</v>
      </c>
    </row>
    <row r="143" spans="1:17" ht="15">
      <c r="B143" s="1084">
        <v>2</v>
      </c>
      <c r="C143" s="1085">
        <v>100</v>
      </c>
      <c r="D143" s="1085"/>
      <c r="E143" s="1086"/>
      <c r="F143" s="1087">
        <v>100.5</v>
      </c>
      <c r="G143" s="1085"/>
      <c r="H143" s="1088"/>
      <c r="I143" s="2640" t="s">
        <v>2625</v>
      </c>
      <c r="J143" s="1085">
        <v>15</v>
      </c>
      <c r="K143" s="1090">
        <f>ROUND(100+(J143-J140)*K139*100,1)</f>
        <v>102</v>
      </c>
    </row>
    <row r="144" spans="1:17" ht="15">
      <c r="B144" s="1084">
        <v>1</v>
      </c>
      <c r="C144" s="1085">
        <v>98</v>
      </c>
      <c r="D144" s="2641" t="s">
        <v>2626</v>
      </c>
      <c r="E144" s="1086">
        <v>102</v>
      </c>
      <c r="F144" s="1092">
        <v>100</v>
      </c>
      <c r="G144" s="2641" t="s">
        <v>2626</v>
      </c>
      <c r="H144" s="1088">
        <v>105</v>
      </c>
      <c r="I144" s="2640" t="s">
        <v>2625</v>
      </c>
      <c r="J144" s="1085">
        <v>18</v>
      </c>
      <c r="K144" s="1090">
        <f>ROUND(100+(J144-J140)*K139*100,1)</f>
        <v>103.2</v>
      </c>
    </row>
    <row r="145" spans="2:11" ht="15.75" thickBot="1">
      <c r="B145" s="2642" t="s">
        <v>2627</v>
      </c>
      <c r="C145" s="1093">
        <f>ROUND(MAX(C139:C144)/MIN(C139:C144)-1,3)</f>
        <v>7.2999999999999995E-2</v>
      </c>
      <c r="D145" s="1094"/>
      <c r="E145" s="1094"/>
      <c r="F145" s="2643" t="s">
        <v>2628</v>
      </c>
      <c r="G145" s="2644"/>
      <c r="H145" s="2645"/>
      <c r="I145" s="2646" t="s">
        <v>2625</v>
      </c>
      <c r="J145" s="1095">
        <v>8</v>
      </c>
      <c r="K145" s="1096">
        <f>ROUND(100+(J145-J140)*K139*100,1)</f>
        <v>99.2</v>
      </c>
    </row>
    <row r="147" spans="2:11">
      <c r="B147" s="2627" t="s">
        <v>2629</v>
      </c>
    </row>
    <row r="148" spans="2:11">
      <c r="B148" s="2627"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625" style="299" customWidth="1"/>
    <col min="6" max="6" width="10.625" style="299" customWidth="1"/>
    <col min="7" max="7" width="4.875" style="299" customWidth="1"/>
    <col min="8" max="8" width="8.5" style="299" customWidth="1"/>
    <col min="9" max="9" width="21.125" style="299" customWidth="1"/>
    <col min="10" max="10" width="12.125" style="299" customWidth="1"/>
    <col min="11" max="11" width="45.125" style="1927" customWidth="1"/>
    <col min="12" max="12" width="16.375" style="299" customWidth="1"/>
    <col min="13" max="13" width="13" style="299" customWidth="1"/>
    <col min="14" max="14" width="13.625" style="1835" customWidth="1"/>
    <col min="15" max="15" width="5.125" style="1835" customWidth="1"/>
    <col min="16" max="16" width="25.625" style="1835" customWidth="1"/>
    <col min="17" max="17" width="13.625" style="1835" customWidth="1"/>
    <col min="18" max="18" width="20.5" style="1835" customWidth="1"/>
    <col min="19" max="19" width="13.125" style="1835" customWidth="1"/>
    <col min="20" max="37" width="9" style="1835"/>
    <col min="38" max="16384" width="9" style="299"/>
  </cols>
  <sheetData>
    <row r="1" spans="1:37" s="334" customFormat="1" ht="21">
      <c r="A1" s="1826" t="s">
        <v>1584</v>
      </c>
      <c r="B1" s="778"/>
      <c r="C1" s="1830" t="s">
        <v>1373</v>
      </c>
      <c r="D1" s="1813" t="s">
        <v>3082</v>
      </c>
      <c r="E1" s="1814" t="s">
        <v>1382</v>
      </c>
      <c r="F1" s="1277" t="e">
        <f ca="1">J53</f>
        <v>#N/A</v>
      </c>
      <c r="G1" s="1829" t="e">
        <f>MATCH(C1,'数据-取费表'!A6:A16,0)+5</f>
        <v>#N/A</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1510</v>
      </c>
      <c r="B2" s="1837" t="e">
        <f ca="1">C40+J29+L46</f>
        <v>#N/A</v>
      </c>
      <c r="C2" s="1838" t="s">
        <v>1511</v>
      </c>
      <c r="D2" s="1838"/>
      <c r="E2" s="1839"/>
      <c r="F2" s="1840"/>
      <c r="G2" s="1841"/>
      <c r="H2" s="1833"/>
      <c r="I2" s="1833"/>
      <c r="J2" s="1833"/>
      <c r="K2" s="1834"/>
      <c r="L2" s="1833"/>
      <c r="M2" s="1833"/>
    </row>
    <row r="3" spans="1:37" ht="18" customHeight="1" thickBot="1">
      <c r="A3" s="1842" t="s">
        <v>1512</v>
      </c>
      <c r="B3" s="1843">
        <f ca="1">IF(ISERROR(B2*10000/F43),0,ROUND(B2*10000/F43,0))</f>
        <v>0</v>
      </c>
      <c r="C3" s="1838" t="s">
        <v>1513</v>
      </c>
      <c r="D3" s="1838"/>
      <c r="E3" s="1839"/>
      <c r="F3" s="1840"/>
      <c r="G3" s="1841"/>
      <c r="H3" s="740" t="s">
        <v>1583</v>
      </c>
      <c r="I3" s="1833"/>
      <c r="J3" s="1833"/>
      <c r="K3" s="1834"/>
      <c r="L3" s="1833"/>
      <c r="M3" s="1833"/>
    </row>
    <row r="4" spans="1:37" ht="18" customHeight="1">
      <c r="A4" s="337" t="s">
        <v>1391</v>
      </c>
      <c r="B4" s="338" t="s">
        <v>1392</v>
      </c>
      <c r="C4" s="338" t="s">
        <v>1393</v>
      </c>
      <c r="D4" s="338" t="s">
        <v>1394</v>
      </c>
      <c r="E4" s="339" t="s">
        <v>1395</v>
      </c>
      <c r="F4" s="340"/>
      <c r="G4" s="1844"/>
      <c r="H4" s="337" t="s">
        <v>1391</v>
      </c>
      <c r="I4" s="338" t="s">
        <v>1392</v>
      </c>
      <c r="J4" s="338" t="s">
        <v>1393</v>
      </c>
      <c r="K4" s="338" t="s">
        <v>1394</v>
      </c>
      <c r="L4" s="339" t="s">
        <v>1395</v>
      </c>
      <c r="M4" s="340"/>
    </row>
    <row r="5" spans="1:37" ht="18" customHeight="1">
      <c r="A5" s="341">
        <v>1</v>
      </c>
      <c r="B5" s="342" t="s">
        <v>1396</v>
      </c>
      <c r="C5" s="1286" t="e">
        <f ca="1">C6+C10+C12</f>
        <v>#N/A</v>
      </c>
      <c r="D5" s="1815" t="s">
        <v>1397</v>
      </c>
      <c r="E5" s="1287"/>
      <c r="F5" s="1288"/>
      <c r="G5" s="1844"/>
      <c r="H5" s="341">
        <v>1</v>
      </c>
      <c r="I5" s="342" t="s">
        <v>1396</v>
      </c>
      <c r="J5" s="1286" t="e">
        <f ca="1">J6+J10+J12</f>
        <v>#N/A</v>
      </c>
      <c r="K5" s="1815" t="s">
        <v>1397</v>
      </c>
      <c r="L5" s="1287"/>
      <c r="M5" s="1288"/>
    </row>
    <row r="6" spans="1:37" ht="18" customHeight="1">
      <c r="A6" s="1285" t="s">
        <v>1032</v>
      </c>
      <c r="B6" s="3313" t="s">
        <v>1398</v>
      </c>
      <c r="C6" s="1290" t="e">
        <f ca="1">ROUND(F6*F8*F7*(1-F9)/10000,0)</f>
        <v>#N/A</v>
      </c>
      <c r="D6" s="161" t="s">
        <v>3021</v>
      </c>
      <c r="E6" s="344" t="s">
        <v>1400</v>
      </c>
      <c r="F6" s="345" t="e">
        <f ca="1">INDIRECT("'数据-取费表'!u"&amp;$G$1)</f>
        <v>#N/A</v>
      </c>
      <c r="G6" s="1844"/>
      <c r="H6" s="1285" t="s">
        <v>1032</v>
      </c>
      <c r="I6" s="3313" t="s">
        <v>1398</v>
      </c>
      <c r="J6" s="343" t="e">
        <f ca="1">ROUND(M6*M8*M7*(1-M9)/10000,0)</f>
        <v>#N/A</v>
      </c>
      <c r="K6" s="161" t="s">
        <v>3020</v>
      </c>
      <c r="L6" s="344" t="s">
        <v>1400</v>
      </c>
      <c r="M6" s="345" t="e">
        <f ca="1">INDIRECT("'数据-取费表'!z"&amp;$G$1)</f>
        <v>#N/A</v>
      </c>
    </row>
    <row r="7" spans="1:37" ht="18" customHeight="1">
      <c r="A7" s="1289"/>
      <c r="B7" s="3314"/>
      <c r="C7" s="1291"/>
      <c r="D7" s="349"/>
      <c r="E7" s="2950" t="s">
        <v>1401</v>
      </c>
      <c r="F7" s="345" t="e">
        <f ca="1">IF(INDIRECT("'数据-取费表'!ah"&amp;$G$1)="",INDIRECT("'数据-取费表'!k"&amp;$G$1),INDIRECT("'数据-取费表'!ah"&amp;$G$1))</f>
        <v>#N/A</v>
      </c>
      <c r="G7" s="1844"/>
      <c r="H7" s="346"/>
      <c r="I7" s="3314"/>
      <c r="J7" s="348"/>
      <c r="K7" s="349"/>
      <c r="L7" s="344" t="s">
        <v>1401</v>
      </c>
      <c r="M7" s="345" t="e">
        <f ca="1">F7</f>
        <v>#N/A</v>
      </c>
    </row>
    <row r="8" spans="1:37" ht="18" customHeight="1">
      <c r="A8" s="346"/>
      <c r="B8" s="3314"/>
      <c r="C8" s="348"/>
      <c r="D8" s="349"/>
      <c r="E8" s="344" t="s">
        <v>1402</v>
      </c>
      <c r="F8" s="345" t="e">
        <f ca="1">INDIRECT("'数据-取费表'!ai"&amp;$G$1)</f>
        <v>#N/A</v>
      </c>
      <c r="G8" s="1844"/>
      <c r="H8" s="346"/>
      <c r="I8" s="3314"/>
      <c r="J8" s="348"/>
      <c r="K8" s="349"/>
      <c r="L8" s="344" t="s">
        <v>1402</v>
      </c>
      <c r="M8" s="345" t="e">
        <f ca="1">INDIRECT("'数据-取费表'!ai"&amp;$G$1)</f>
        <v>#N/A</v>
      </c>
    </row>
    <row r="9" spans="1:37" ht="18" customHeight="1">
      <c r="A9" s="346"/>
      <c r="B9" s="3315"/>
      <c r="C9" s="348"/>
      <c r="D9" s="349"/>
      <c r="E9" s="344" t="s">
        <v>1403</v>
      </c>
      <c r="F9" s="354" t="e">
        <f ca="1">INDIRECT("'数据-取费表'!w"&amp;$G$1)</f>
        <v>#N/A</v>
      </c>
      <c r="G9" s="1844"/>
      <c r="H9" s="346"/>
      <c r="I9" s="3315"/>
      <c r="J9" s="348"/>
      <c r="K9" s="349"/>
      <c r="L9" s="355" t="s">
        <v>1403</v>
      </c>
      <c r="M9" s="356" t="e">
        <f ca="1">INDIRECT("'数据-取费表'!ab"&amp;$G$1)</f>
        <v>#N/A</v>
      </c>
    </row>
    <row r="10" spans="1:37" ht="18" customHeight="1">
      <c r="A10" s="1285" t="s">
        <v>1036</v>
      </c>
      <c r="B10" s="1816" t="s">
        <v>1404</v>
      </c>
      <c r="C10" s="358">
        <f ca="1">ROUND(IF(F10="押一",C6/12*F11,IF(F10="押二",C6/12*2*F11,IF(F10="押三",C6/12*3*F11,C11*F11))),0)</f>
        <v>0</v>
      </c>
      <c r="D10" s="1817" t="s">
        <v>3029</v>
      </c>
      <c r="E10" s="355" t="s">
        <v>1405</v>
      </c>
      <c r="F10" s="1360"/>
      <c r="G10" s="1844"/>
      <c r="H10" s="1285" t="s">
        <v>1036</v>
      </c>
      <c r="I10" s="1816" t="s">
        <v>1404</v>
      </c>
      <c r="J10" s="343" t="e">
        <f ca="1">ROUND(IF(M10="押一",J6/12*M11,IF(M10="押二",J6/12*2*M11,IF(M10="押三",J6/12*3*M11,J11*M11))),0)</f>
        <v>#N/A</v>
      </c>
      <c r="K10" s="1817" t="s">
        <v>3029</v>
      </c>
      <c r="L10" s="355" t="s">
        <v>1405</v>
      </c>
      <c r="M10" s="1360" t="s">
        <v>1406</v>
      </c>
    </row>
    <row r="11" spans="1:37" ht="18" customHeight="1">
      <c r="A11" s="350"/>
      <c r="B11" s="1818" t="s">
        <v>1383</v>
      </c>
      <c r="C11" s="1172"/>
      <c r="D11" s="1819"/>
      <c r="E11" s="355" t="s">
        <v>1407</v>
      </c>
      <c r="F11" s="356">
        <f ca="1">'数据-取费表'!B39</f>
        <v>1.4999999999999999E-2</v>
      </c>
      <c r="G11" s="1844"/>
      <c r="H11" s="1293"/>
      <c r="I11" s="1818" t="s">
        <v>1383</v>
      </c>
      <c r="J11" s="1172"/>
      <c r="K11" s="744"/>
      <c r="L11" s="355" t="s">
        <v>1407</v>
      </c>
      <c r="M11" s="1050">
        <f ca="1">'数据-取费表'!B39</f>
        <v>1.4999999999999999E-2</v>
      </c>
    </row>
    <row r="12" spans="1:37" ht="18" customHeight="1" thickBot="1">
      <c r="A12" s="1327" t="s">
        <v>1072</v>
      </c>
      <c r="B12" s="1820" t="s">
        <v>1408</v>
      </c>
      <c r="C12" s="1328"/>
      <c r="D12" s="1329"/>
      <c r="E12" s="1334"/>
      <c r="F12" s="1330"/>
      <c r="G12" s="1844"/>
      <c r="H12" s="1327" t="s">
        <v>1072</v>
      </c>
      <c r="I12" s="1820" t="s">
        <v>1408</v>
      </c>
      <c r="J12" s="1328"/>
      <c r="K12" s="1342"/>
      <c r="L12" s="1334"/>
      <c r="M12" s="1343"/>
    </row>
    <row r="13" spans="1:37" ht="18" customHeight="1" thickTop="1">
      <c r="A13" s="1323">
        <v>2</v>
      </c>
      <c r="B13" s="1324" t="s">
        <v>1409</v>
      </c>
      <c r="C13" s="352" t="e">
        <f ca="1">ROUND(C29*F13,0)</f>
        <v>#N/A</v>
      </c>
      <c r="D13" s="1325" t="s">
        <v>1410</v>
      </c>
      <c r="E13" s="1325" t="s">
        <v>1411</v>
      </c>
      <c r="F13" s="1326" t="e">
        <f ca="1">INDIRECT("'数据-取费表'!y"&amp;$G$1)</f>
        <v>#N/A</v>
      </c>
      <c r="G13" s="1844"/>
      <c r="H13" s="1323">
        <v>2</v>
      </c>
      <c r="I13" s="1324" t="s">
        <v>1409</v>
      </c>
      <c r="J13" s="1284" t="e">
        <f ca="1">ROUND(J14*J15,0)</f>
        <v>#N/A</v>
      </c>
      <c r="K13" s="1331" t="s">
        <v>1410</v>
      </c>
      <c r="L13" s="1845"/>
      <c r="M13" s="1846"/>
    </row>
    <row r="14" spans="1:37" ht="18" customHeight="1">
      <c r="A14" s="1195" t="s">
        <v>1031</v>
      </c>
      <c r="B14" s="344" t="s">
        <v>1412</v>
      </c>
      <c r="C14" s="360" t="e">
        <f ca="1">INDIRECT("'数据-取费表'!m"&amp;$G$1)+INDIRECT("'数据-取费表'!t"&amp;$G$1)</f>
        <v>#N/A</v>
      </c>
      <c r="D14" s="2944" t="s">
        <v>1413</v>
      </c>
      <c r="E14" s="2942"/>
      <c r="F14" s="361"/>
      <c r="G14" s="1844"/>
      <c r="H14" s="1195" t="s">
        <v>1032</v>
      </c>
      <c r="I14" s="344" t="s">
        <v>1414</v>
      </c>
      <c r="J14" s="24" t="e">
        <f ca="1">C29</f>
        <v>#N/A</v>
      </c>
      <c r="K14" s="2949"/>
      <c r="L14" s="974"/>
      <c r="M14" s="975"/>
    </row>
    <row r="15" spans="1:37" s="1851" customFormat="1" ht="18" customHeight="1" thickBot="1">
      <c r="A15" s="1195" t="s">
        <v>1033</v>
      </c>
      <c r="B15" s="344" t="s">
        <v>1415</v>
      </c>
      <c r="C15" s="24" t="e">
        <f ca="1">ROUND(C14*F15,0)</f>
        <v>#N/A</v>
      </c>
      <c r="D15" s="362" t="s">
        <v>1416</v>
      </c>
      <c r="E15" s="362" t="s">
        <v>1417</v>
      </c>
      <c r="F15" s="363">
        <f>'数据-取费表'!B33</f>
        <v>0.03</v>
      </c>
      <c r="G15" s="1847"/>
      <c r="H15" s="1333" t="s">
        <v>1036</v>
      </c>
      <c r="I15" s="1334" t="s">
        <v>1411</v>
      </c>
      <c r="J15" s="1343" t="e">
        <f ca="1">INDIRECT("'数据-取费表'!ad"&amp;$G$1)</f>
        <v>#N/A</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1384</v>
      </c>
      <c r="B16" s="344" t="s">
        <v>1418</v>
      </c>
      <c r="C16" s="24" t="e">
        <f ca="1">ROUND(INDIRECT("'数据-取费表'!m"&amp;$G$1)*F16,0)</f>
        <v>#N/A</v>
      </c>
      <c r="D16" s="344" t="s">
        <v>1416</v>
      </c>
      <c r="E16" s="344" t="s">
        <v>1417</v>
      </c>
      <c r="F16" s="364" t="e">
        <f ca="1">IF(INDIRECT("'数据-取费表'!c"&amp;$G$1)="住宅",'数据-取费表'!B34,0)</f>
        <v>#N/A</v>
      </c>
      <c r="G16" s="1844"/>
      <c r="H16" s="1323" t="s">
        <v>1027</v>
      </c>
      <c r="I16" s="1324" t="s">
        <v>1419</v>
      </c>
      <c r="J16" s="352" t="e">
        <f ca="1">ROUND(J17+J22+J23+J24,0)</f>
        <v>#N/A</v>
      </c>
      <c r="K16" s="1331" t="s">
        <v>1420</v>
      </c>
      <c r="L16" s="2945"/>
      <c r="M16" s="1288"/>
    </row>
    <row r="17" spans="1:37" s="1851" customFormat="1" ht="18" customHeight="1">
      <c r="A17" s="1195" t="s">
        <v>1385</v>
      </c>
      <c r="B17" s="344" t="s">
        <v>1421</v>
      </c>
      <c r="C17" s="24" t="e">
        <f ca="1">ROUND(F17*(F43+INDIRECT("'数据-取费表'!S"&amp;$G$1))/10000,0)</f>
        <v>#N/A</v>
      </c>
      <c r="D17" s="344" t="s">
        <v>1422</v>
      </c>
      <c r="E17" s="344" t="s">
        <v>1423</v>
      </c>
      <c r="F17" s="26">
        <f>'数据-取费表'!B35</f>
        <v>200</v>
      </c>
      <c r="G17" s="1847"/>
      <c r="H17" s="1195" t="s">
        <v>1032</v>
      </c>
      <c r="I17" s="344" t="s">
        <v>1424</v>
      </c>
      <c r="J17" s="24" t="e">
        <f ca="1">ROUND(IF(项目基本情况!B11="自然人",J6*M17/(1+'数据-取费表'!C42),J18+J19+J20),1)</f>
        <v>#N/A</v>
      </c>
      <c r="K17" s="2944" t="s">
        <v>1425</v>
      </c>
      <c r="L17" s="2943" t="s">
        <v>1426</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1386</v>
      </c>
      <c r="B18" s="344" t="s">
        <v>1427</v>
      </c>
      <c r="C18" s="24" t="e">
        <f ca="1">ROUND(C14*F18,0)</f>
        <v>#N/A</v>
      </c>
      <c r="D18" s="344" t="s">
        <v>1416</v>
      </c>
      <c r="E18" s="344" t="s">
        <v>1417</v>
      </c>
      <c r="F18" s="364">
        <f>'数据-取费表'!B36</f>
        <v>1.4999999999999999E-2</v>
      </c>
      <c r="G18" s="1847"/>
      <c r="H18" s="1195" t="s">
        <v>1031</v>
      </c>
      <c r="I18" s="344" t="s">
        <v>1428</v>
      </c>
      <c r="J18" s="24" t="e">
        <f ca="1">ROUND(J6*M18/(1+'数据-取费表'!C42),2)</f>
        <v>#N/A</v>
      </c>
      <c r="K18" s="2943" t="s">
        <v>1429</v>
      </c>
      <c r="L18" s="344" t="s">
        <v>1417</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1430</v>
      </c>
      <c r="C19" s="24" t="e">
        <f ca="1">SUM(C14:C18)</f>
        <v>#N/A</v>
      </c>
      <c r="D19" s="137" t="s">
        <v>1431</v>
      </c>
      <c r="E19" s="2948"/>
      <c r="F19" s="26"/>
      <c r="G19" s="1844"/>
      <c r="H19" s="1195" t="s">
        <v>1033</v>
      </c>
      <c r="I19" s="344" t="s">
        <v>1432</v>
      </c>
      <c r="J19" s="24" t="e">
        <f ca="1">IF(K19="按租金收入计税",ROUND(J6*M19/(1+'数据-取费表'!C42),2),ROUND(C29*M19*0.7,2))</f>
        <v>#N/A</v>
      </c>
      <c r="K19" s="1821" t="s">
        <v>1433</v>
      </c>
      <c r="L19" s="344" t="s">
        <v>1417</v>
      </c>
      <c r="M19" s="364">
        <f>IF(K19="按租金收入计税",'数据-取费表'!B51,'数据-取费表'!B50)</f>
        <v>1.2E-2</v>
      </c>
    </row>
    <row r="20" spans="1:37" s="1851" customFormat="1" ht="18" customHeight="1">
      <c r="A20" s="1195" t="s">
        <v>1036</v>
      </c>
      <c r="B20" s="344" t="s">
        <v>1434</v>
      </c>
      <c r="C20" s="24" t="e">
        <f ca="1">ROUND(C19*F20,0)</f>
        <v>#N/A</v>
      </c>
      <c r="D20" s="366" t="s">
        <v>1435</v>
      </c>
      <c r="E20" s="344" t="s">
        <v>1417</v>
      </c>
      <c r="F20" s="364">
        <f>'数据-取费表'!B37</f>
        <v>0.02</v>
      </c>
      <c r="G20" s="1847"/>
      <c r="H20" s="1195" t="s">
        <v>1384</v>
      </c>
      <c r="I20" s="161" t="s">
        <v>1436</v>
      </c>
      <c r="J20" s="25" t="e">
        <f ca="1">ROUND(M20*M21/10000,2)</f>
        <v>#N/A</v>
      </c>
      <c r="K20" s="367" t="s">
        <v>1437</v>
      </c>
      <c r="L20" s="344" t="s">
        <v>1438</v>
      </c>
      <c r="M20" s="368">
        <f>'数据-取费表'!B52</f>
        <v>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1439</v>
      </c>
      <c r="C21" s="24" t="s">
        <v>1</v>
      </c>
      <c r="D21" s="366" t="s">
        <v>1440</v>
      </c>
      <c r="E21" s="344" t="s">
        <v>1441</v>
      </c>
      <c r="F21" s="364">
        <f>'数据-取费表'!B38</f>
        <v>0.02</v>
      </c>
      <c r="G21" s="1847"/>
      <c r="H21" s="369"/>
      <c r="I21" s="353"/>
      <c r="J21" s="29"/>
      <c r="K21" s="370"/>
      <c r="L21" s="344" t="s">
        <v>1442</v>
      </c>
      <c r="M21" s="345"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1387</v>
      </c>
      <c r="B22" s="344" t="s">
        <v>1443</v>
      </c>
      <c r="C22" s="24"/>
      <c r="D22" s="137" t="str">
        <f>IF(F23&lt;=1,"单利计息。","复利计息。")&amp;"建造成本、管理费用、销售费用产生的利息。"</f>
        <v>复利计息。建造成本、管理费用、销售费用产生的利息。</v>
      </c>
      <c r="E22" s="2948"/>
      <c r="F22" s="26"/>
      <c r="G22" s="1844"/>
      <c r="H22" s="1195" t="s">
        <v>1036</v>
      </c>
      <c r="I22" s="344" t="s">
        <v>1444</v>
      </c>
      <c r="J22" s="24" t="e">
        <f ca="1">ROUND(J14*M22,1)</f>
        <v>#N/A</v>
      </c>
      <c r="K22" s="2943" t="s">
        <v>1445</v>
      </c>
      <c r="L22" s="344" t="s">
        <v>1417</v>
      </c>
      <c r="M22" s="371" t="e">
        <f ca="1">INDIRECT("'数据-取费表'!Ak"&amp;$G$1)</f>
        <v>#N/A</v>
      </c>
    </row>
    <row r="23" spans="1:37" s="1851" customFormat="1" ht="18" customHeight="1">
      <c r="A23" s="1195"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4</v>
      </c>
      <c r="G23" s="1847"/>
      <c r="H23" s="1195" t="s">
        <v>1072</v>
      </c>
      <c r="I23" s="344" t="s">
        <v>1448</v>
      </c>
      <c r="J23" s="24" t="e">
        <f ca="1">ROUND(J13*M23,1)</f>
        <v>#N/A</v>
      </c>
      <c r="K23" s="2943" t="s">
        <v>1449</v>
      </c>
      <c r="L23" s="344" t="s">
        <v>1417</v>
      </c>
      <c r="M23" s="373"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1033</v>
      </c>
      <c r="B24" s="344" t="s">
        <v>1452</v>
      </c>
      <c r="C24" s="24">
        <f ca="1">ROUND(IF('数据-取费表'!B22&lt;=1,F21*F24*F23/2,F21*(POWER((1+F24),F23/2)-1)),4)</f>
        <v>1.9E-3</v>
      </c>
      <c r="D24" s="372" t="str">
        <f>IF(F23&lt;=1,"销售费用×利率×(建设周期÷2)","销售费用×((1+利率)^(建设周期÷2)-1)")</f>
        <v>销售费用×((1+利率)^(建设周期÷2)-1)</v>
      </c>
      <c r="E24" s="344" t="s">
        <v>1453</v>
      </c>
      <c r="F24" s="374">
        <f ca="1">'数据-取费表'!B40</f>
        <v>4.7500000000000001E-2</v>
      </c>
      <c r="G24" s="1847"/>
      <c r="H24" s="1333" t="s">
        <v>1387</v>
      </c>
      <c r="I24" s="1334" t="s">
        <v>1434</v>
      </c>
      <c r="J24" s="1335" t="e">
        <f ca="1">ROUND(J5*M24,1)</f>
        <v>#N/A</v>
      </c>
      <c r="K24" s="1336" t="s">
        <v>1454</v>
      </c>
      <c r="L24" s="1334" t="s">
        <v>1417</v>
      </c>
      <c r="M24" s="1330"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1455</v>
      </c>
      <c r="B25" s="344" t="s">
        <v>1456</v>
      </c>
      <c r="C25" s="24"/>
      <c r="D25" s="137" t="s">
        <v>1457</v>
      </c>
      <c r="E25" s="2948"/>
      <c r="F25" s="26"/>
      <c r="G25" s="1844"/>
      <c r="H25" s="1323" t="s">
        <v>1028</v>
      </c>
      <c r="I25" s="1338" t="s">
        <v>1458</v>
      </c>
      <c r="J25" s="352" t="e">
        <f ca="1">J5-J16</f>
        <v>#N/A</v>
      </c>
      <c r="K25" s="1339" t="s">
        <v>1459</v>
      </c>
      <c r="L25" s="1340"/>
      <c r="M25" s="1341"/>
    </row>
    <row r="26" spans="1:37">
      <c r="A26" s="1195" t="s">
        <v>1031</v>
      </c>
      <c r="B26" s="344" t="s">
        <v>1460</v>
      </c>
      <c r="C26" s="24" t="e">
        <f ca="1">ROUND((C19+C20)*F26,0)</f>
        <v>#N/A</v>
      </c>
      <c r="D26" s="366" t="s">
        <v>1461</v>
      </c>
      <c r="E26" s="355" t="s">
        <v>1462</v>
      </c>
      <c r="F26" s="354" t="e">
        <f ca="1">INDIRECT("'数据-取费表'!q"&amp;$G$1)</f>
        <v>#N/A</v>
      </c>
      <c r="G26" s="1844"/>
      <c r="H26" s="341" t="s">
        <v>1029</v>
      </c>
      <c r="I26" s="342" t="s">
        <v>1463</v>
      </c>
      <c r="J26" s="343" t="e">
        <f ca="1">IF(J5&lt;&gt;0,ROUND(J25*(1-((1+M28)/(1+M26))^M27)/(M26-M28),0),0)</f>
        <v>#N/A</v>
      </c>
      <c r="K26" s="367" t="s">
        <v>1464</v>
      </c>
      <c r="L26" s="344" t="s">
        <v>1465</v>
      </c>
      <c r="M26" s="354" t="e">
        <f ca="1">INDIRECT("'数据-取费表'!I"&amp;$G$1)</f>
        <v>#N/A</v>
      </c>
    </row>
    <row r="27" spans="1:37" ht="18" customHeight="1">
      <c r="A27" s="1195" t="s">
        <v>1033</v>
      </c>
      <c r="B27" s="344" t="s">
        <v>1466</v>
      </c>
      <c r="C27" s="24" t="e">
        <f ca="1">ROUND(F21*F26,4)</f>
        <v>#N/A</v>
      </c>
      <c r="D27" s="366" t="s">
        <v>1467</v>
      </c>
      <c r="E27" s="362"/>
      <c r="F27" s="363"/>
      <c r="G27" s="1844"/>
      <c r="H27" s="346"/>
      <c r="I27" s="347"/>
      <c r="J27" s="348"/>
      <c r="K27" s="375" t="s">
        <v>1468</v>
      </c>
      <c r="L27" s="344" t="s">
        <v>1469</v>
      </c>
      <c r="M27" s="376" t="e">
        <f ca="1">INDIRECT("'数据-取费表'!ag"&amp;$G$1)</f>
        <v>#N/A</v>
      </c>
    </row>
    <row r="28" spans="1:37" s="1851" customFormat="1" ht="18" customHeight="1">
      <c r="A28" s="1195" t="s">
        <v>1034</v>
      </c>
      <c r="B28" s="344" t="s">
        <v>1470</v>
      </c>
      <c r="C28" s="24">
        <f>ROUND(F28/(1+'数据-取费表'!C42),4)</f>
        <v>5.33E-2</v>
      </c>
      <c r="D28" s="366" t="s">
        <v>1471</v>
      </c>
      <c r="E28" s="344" t="s">
        <v>1417</v>
      </c>
      <c r="F28" s="364">
        <f>'数据-取费表'!B41</f>
        <v>5.6000000000000001E-2</v>
      </c>
      <c r="G28" s="1847"/>
      <c r="H28" s="350"/>
      <c r="I28" s="351"/>
      <c r="J28" s="352"/>
      <c r="K28" s="370"/>
      <c r="L28" s="344" t="s">
        <v>1472</v>
      </c>
      <c r="M28" s="354"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1473</v>
      </c>
      <c r="C29" s="1335" t="e">
        <f ca="1">ROUND((C19+C20+C23+C26)/(1-F21-C24-C27-C28),0)</f>
        <v>#N/A</v>
      </c>
      <c r="D29" s="1336"/>
      <c r="E29" s="1334"/>
      <c r="F29" s="1337"/>
      <c r="G29" s="1847"/>
      <c r="H29" s="377" t="s">
        <v>1030</v>
      </c>
      <c r="I29" s="378" t="s">
        <v>1474</v>
      </c>
      <c r="J29" s="379" t="e">
        <f ca="1">ROUND(J26/(1+F40)^F41,0)</f>
        <v>#N/A</v>
      </c>
      <c r="K29" s="380" t="s">
        <v>1475</v>
      </c>
      <c r="L29" s="381"/>
      <c r="M29" s="382"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1419</v>
      </c>
      <c r="C30" s="352" t="e">
        <f ca="1">ROUND(C31+C36+C37+C38,0)</f>
        <v>#N/A</v>
      </c>
      <c r="D30" s="1331" t="s">
        <v>1420</v>
      </c>
      <c r="E30" s="2945"/>
      <c r="F30" s="1288"/>
      <c r="G30" s="1844"/>
      <c r="H30" s="741"/>
      <c r="I30" s="742"/>
      <c r="J30" s="743"/>
      <c r="K30" s="744"/>
      <c r="L30" s="745"/>
      <c r="M30" s="746"/>
    </row>
    <row r="31" spans="1:37" ht="18" customHeight="1">
      <c r="A31" s="1195" t="s">
        <v>1032</v>
      </c>
      <c r="B31" s="344" t="s">
        <v>1424</v>
      </c>
      <c r="C31" s="24" t="e">
        <f ca="1">ROUND(IF(项目基本情况!B11="自然人",C6*F31/(1+'数据-取费表'!C42),C32+C33+C34),1)</f>
        <v>#N/A</v>
      </c>
      <c r="D31" s="2944" t="s">
        <v>1425</v>
      </c>
      <c r="E31" s="2943" t="s">
        <v>1476</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1031</v>
      </c>
      <c r="B32" s="344" t="s">
        <v>1428</v>
      </c>
      <c r="C32" s="24" t="e">
        <f ca="1">IF(项目基本情况!B11="自然人","——",ROUND(C6*F32/(1+'数据-取费表'!C42),2))</f>
        <v>#N/A</v>
      </c>
      <c r="D32" s="2943" t="s">
        <v>1429</v>
      </c>
      <c r="E32" s="344" t="s">
        <v>1417</v>
      </c>
      <c r="F32" s="374">
        <f>'数据-取费表'!B41</f>
        <v>5.6000000000000001E-2</v>
      </c>
      <c r="G32" s="1844"/>
      <c r="H32" s="741"/>
      <c r="I32" s="742"/>
      <c r="J32" s="743"/>
      <c r="K32" s="744"/>
      <c r="L32" s="745"/>
      <c r="M32" s="746"/>
    </row>
    <row r="33" spans="1:18" ht="18" customHeight="1">
      <c r="A33" s="1195" t="s">
        <v>1033</v>
      </c>
      <c r="B33" s="344" t="s">
        <v>1432</v>
      </c>
      <c r="C33" s="24" t="e">
        <f ca="1">IF(项目基本情况!B11="自然人","——",IF(D33="按租金收入计税",ROUND(C6*F33/(1+'数据-取费表'!C42),2),IF(D33="按房产原值计税",ROUND(C29*F33*0.7,2),INDIRECT("'数据-取费表'!Aj"&amp;$G$1))))</f>
        <v>#N/A</v>
      </c>
      <c r="D33" s="1821" t="s">
        <v>3083</v>
      </c>
      <c r="E33" s="344" t="s">
        <v>1417</v>
      </c>
      <c r="F33" s="364">
        <f>IF(D33="按票据","——",IF(D33="按租金收入计税",'数据-取费表'!B51,'数据-取费表'!B50))</f>
        <v>0.12</v>
      </c>
      <c r="G33" s="1844"/>
      <c r="H33" s="1852"/>
      <c r="I33" s="1853"/>
      <c r="J33" s="1854"/>
      <c r="K33" s="1855"/>
      <c r="L33" s="1852"/>
      <c r="M33" s="1852"/>
    </row>
    <row r="34" spans="1:18" ht="18" customHeight="1">
      <c r="A34" s="1285" t="s">
        <v>1384</v>
      </c>
      <c r="B34" s="161" t="s">
        <v>1436</v>
      </c>
      <c r="C34" s="25" t="e">
        <f ca="1">IF(项目基本情况!B11="自然人","——",ROUND(F34*F35/10000,2))</f>
        <v>#N/A</v>
      </c>
      <c r="D34" s="367" t="s">
        <v>1437</v>
      </c>
      <c r="E34" s="344" t="s">
        <v>1438</v>
      </c>
      <c r="F34" s="368">
        <f>'数据-取费表'!B52</f>
        <v>5</v>
      </c>
      <c r="G34" s="1844"/>
      <c r="H34" s="741"/>
      <c r="I34" s="1853"/>
      <c r="J34" s="1854"/>
      <c r="K34" s="1856"/>
      <c r="L34" s="1857"/>
      <c r="M34" s="1857"/>
    </row>
    <row r="35" spans="1:18" ht="18" customHeight="1">
      <c r="A35" s="1347"/>
      <c r="B35" s="1345"/>
      <c r="C35" s="29"/>
      <c r="D35" s="370"/>
      <c r="E35" s="344" t="s">
        <v>1442</v>
      </c>
      <c r="F35" s="345" t="e">
        <f ca="1">INDIRECT("'数据-取费表'!r"&amp;$G$1)</f>
        <v>#N/A</v>
      </c>
      <c r="G35" s="1844"/>
      <c r="H35" s="741"/>
      <c r="I35" s="1853"/>
      <c r="J35" s="1854"/>
      <c r="K35" s="1855"/>
      <c r="L35" s="1852"/>
      <c r="M35" s="1852"/>
    </row>
    <row r="36" spans="1:18" ht="18" customHeight="1">
      <c r="A36" s="1346" t="s">
        <v>1036</v>
      </c>
      <c r="B36" s="344" t="s">
        <v>1444</v>
      </c>
      <c r="C36" s="24" t="e">
        <f ca="1">ROUND(C29*F36,1)</f>
        <v>#N/A</v>
      </c>
      <c r="D36" s="2943" t="s">
        <v>1477</v>
      </c>
      <c r="E36" s="344" t="s">
        <v>1417</v>
      </c>
      <c r="F36" s="371" t="e">
        <f ca="1">INDIRECT("'数据-取费表'!Ak"&amp;$G$1)</f>
        <v>#N/A</v>
      </c>
      <c r="G36" s="1844"/>
      <c r="H36" s="1852"/>
      <c r="I36" s="1853"/>
      <c r="J36" s="1854"/>
      <c r="K36" s="747"/>
      <c r="L36" s="1852"/>
      <c r="M36" s="1852"/>
    </row>
    <row r="37" spans="1:18" ht="18" customHeight="1">
      <c r="A37" s="1195" t="s">
        <v>1072</v>
      </c>
      <c r="B37" s="344" t="s">
        <v>1448</v>
      </c>
      <c r="C37" s="24" t="e">
        <f ca="1">ROUND(C13*F37,1)</f>
        <v>#N/A</v>
      </c>
      <c r="D37" s="2943" t="s">
        <v>1449</v>
      </c>
      <c r="E37" s="344" t="s">
        <v>1417</v>
      </c>
      <c r="F37" s="373" t="e">
        <f ca="1">INDIRECT("'数据-取费表'!Al"&amp;$G$1)</f>
        <v>#N/A</v>
      </c>
      <c r="G37" s="1844"/>
      <c r="H37" s="1852"/>
      <c r="I37" s="1853"/>
      <c r="J37" s="1854"/>
      <c r="K37" s="747"/>
      <c r="L37" s="1852"/>
      <c r="M37" s="1852"/>
    </row>
    <row r="38" spans="1:18" ht="18" customHeight="1" thickBot="1">
      <c r="A38" s="1333" t="s">
        <v>1387</v>
      </c>
      <c r="B38" s="1334" t="s">
        <v>1434</v>
      </c>
      <c r="C38" s="1335" t="e">
        <f ca="1">ROUND(C5*F38,1)</f>
        <v>#N/A</v>
      </c>
      <c r="D38" s="1336" t="s">
        <v>1454</v>
      </c>
      <c r="E38" s="1334" t="s">
        <v>1417</v>
      </c>
      <c r="F38" s="1330" t="e">
        <f ca="1">INDIRECT("'数据-取费表'!Am"&amp;$G$1)</f>
        <v>#N/A</v>
      </c>
      <c r="G38" s="1844"/>
      <c r="H38" s="1852"/>
      <c r="I38" s="1853"/>
      <c r="J38" s="1854"/>
      <c r="K38" s="1858"/>
      <c r="L38" s="1852"/>
      <c r="M38" s="1852"/>
    </row>
    <row r="39" spans="1:18" ht="24.6" customHeight="1" thickTop="1">
      <c r="A39" s="1323" t="s">
        <v>1028</v>
      </c>
      <c r="B39" s="1338" t="s">
        <v>1458</v>
      </c>
      <c r="C39" s="352" t="e">
        <f ca="1">C5-C30</f>
        <v>#N/A</v>
      </c>
      <c r="D39" s="1339" t="s">
        <v>1459</v>
      </c>
      <c r="E39" s="1340"/>
      <c r="F39" s="1341"/>
      <c r="G39" s="1844"/>
      <c r="H39" s="1852"/>
      <c r="I39" s="1853"/>
      <c r="J39" s="1854"/>
      <c r="K39" s="1858"/>
      <c r="L39" s="1852"/>
      <c r="M39" s="1852"/>
    </row>
    <row r="40" spans="1:18" ht="18" customHeight="1">
      <c r="A40" s="341" t="s">
        <v>1029</v>
      </c>
      <c r="B40" s="342" t="s">
        <v>1480</v>
      </c>
      <c r="C40" s="343" t="e">
        <f ca="1">ROUND(C39*(1-((1+F42)/(1+F40))^F41)/(F40-F42),0)</f>
        <v>#N/A</v>
      </c>
      <c r="D40" s="367" t="s">
        <v>1464</v>
      </c>
      <c r="E40" s="344" t="s">
        <v>1465</v>
      </c>
      <c r="F40" s="354" t="e">
        <f ca="1">INDIRECT("'数据-取费表'!I"&amp;$G$1)</f>
        <v>#N/A</v>
      </c>
      <c r="G40" s="1844"/>
      <c r="H40" s="1832"/>
      <c r="I40" s="1853"/>
      <c r="J40" s="1854"/>
      <c r="K40" s="1858"/>
      <c r="L40" s="1832"/>
      <c r="M40" s="1832"/>
    </row>
    <row r="41" spans="1:18" ht="18" customHeight="1">
      <c r="A41" s="346"/>
      <c r="B41" s="347"/>
      <c r="C41" s="348"/>
      <c r="D41" s="375" t="s">
        <v>1481</v>
      </c>
      <c r="E41" s="344" t="s">
        <v>1469</v>
      </c>
      <c r="F41" s="376" t="e">
        <f ca="1">IF(INDIRECT("'数据-取费表'!af"&amp;$G$1)=0,INDIRECT("'数据-取费表'!ae"&amp;$G$1),INDIRECT("'数据-取费表'!af"&amp;$G$1))</f>
        <v>#N/A</v>
      </c>
      <c r="G41" s="1844"/>
      <c r="H41" s="728"/>
      <c r="I41" s="1853"/>
      <c r="J41" s="1854"/>
      <c r="K41" s="747"/>
      <c r="L41" s="728"/>
      <c r="M41" s="728"/>
    </row>
    <row r="42" spans="1:18" ht="18" customHeight="1">
      <c r="A42" s="350"/>
      <c r="B42" s="351"/>
      <c r="C42" s="352"/>
      <c r="D42" s="370"/>
      <c r="E42" s="344" t="s">
        <v>1472</v>
      </c>
      <c r="F42" s="354" t="e">
        <f ca="1">INDIRECT("'数据-取费表'!v"&amp;$G$1)</f>
        <v>#N/A</v>
      </c>
      <c r="G42" s="1844"/>
      <c r="H42" s="728"/>
      <c r="I42" s="1853"/>
      <c r="J42" s="1854"/>
      <c r="K42" s="747"/>
      <c r="L42" s="728"/>
      <c r="M42" s="728"/>
    </row>
    <row r="43" spans="1:18" ht="18" customHeight="1" thickBot="1">
      <c r="A43" s="377" t="s">
        <v>1030</v>
      </c>
      <c r="B43" s="378" t="s">
        <v>1482</v>
      </c>
      <c r="C43" s="379" t="e">
        <f ca="1">ROUND(C40*10000/F43,0)</f>
        <v>#N/A</v>
      </c>
      <c r="D43" s="380" t="s">
        <v>1483</v>
      </c>
      <c r="E43" s="381" t="s">
        <v>1484</v>
      </c>
      <c r="F43" s="382" t="e">
        <f ca="1">INDIRECT("'数据-取费表'!k"&amp;$G$1)</f>
        <v>#N/A</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1514</v>
      </c>
      <c r="P45" s="1832"/>
      <c r="Q45" s="1832"/>
      <c r="R45" s="1832"/>
    </row>
    <row r="46" spans="1:18" s="1835" customFormat="1" ht="13.5" thickBot="1">
      <c r="A46" s="1863" t="s">
        <v>1515</v>
      </c>
      <c r="C46" s="1864" t="e">
        <f ca="1">C68-C40</f>
        <v>#N/A</v>
      </c>
      <c r="D46" s="1865" t="str">
        <f>C2</f>
        <v>万元</v>
      </c>
      <c r="E46" s="1859"/>
      <c r="F46" s="1859"/>
      <c r="I46" s="1866" t="s">
        <v>1516</v>
      </c>
      <c r="J46" s="1867"/>
      <c r="K46" s="1868"/>
      <c r="L46" s="1869" t="e">
        <f ca="1">IF(M47="住宅",0,IF(L48&gt;J51,L60,J60))</f>
        <v>#N/A</v>
      </c>
      <c r="O46" s="1870" t="s">
        <v>1517</v>
      </c>
      <c r="P46" s="1871" t="s">
        <v>1518</v>
      </c>
      <c r="Q46" s="1872" t="s">
        <v>1519</v>
      </c>
      <c r="R46" s="1872" t="s">
        <v>1520</v>
      </c>
    </row>
    <row r="47" spans="1:18" s="1835" customFormat="1" ht="13.5" thickBot="1">
      <c r="A47" s="1159" t="s">
        <v>1391</v>
      </c>
      <c r="B47" s="1191" t="s">
        <v>1392</v>
      </c>
      <c r="C47" s="1361" t="s">
        <v>1393</v>
      </c>
      <c r="D47" s="1191" t="s">
        <v>1394</v>
      </c>
      <c r="E47" s="1273" t="s">
        <v>1395</v>
      </c>
      <c r="F47" s="1274"/>
      <c r="G47" s="788"/>
      <c r="I47" s="1873" t="s">
        <v>1521</v>
      </c>
      <c r="J47" s="1874" t="s">
        <v>3084</v>
      </c>
      <c r="K47" s="1875" t="s">
        <v>1522</v>
      </c>
      <c r="L47" s="1876" t="e">
        <f ca="1">INDIRECT("'数据-取费表'!d"&amp;$G$1)</f>
        <v>#N/A</v>
      </c>
      <c r="M47" s="1831" t="str">
        <f>IF(ISNUMBER(FIND("住宅",C1)),"住宅","非住宅")</f>
        <v>非住宅</v>
      </c>
      <c r="O47" s="1877" t="s">
        <v>1037</v>
      </c>
      <c r="P47" s="1878" t="s">
        <v>1523</v>
      </c>
      <c r="Q47" s="1879" t="e">
        <f ca="1">C40+J29</f>
        <v>#N/A</v>
      </c>
      <c r="R47" s="1879" t="s">
        <v>1524</v>
      </c>
    </row>
    <row r="48" spans="1:18" s="1835" customFormat="1" ht="28.5" thickBot="1">
      <c r="A48" s="1354" t="s">
        <v>1132</v>
      </c>
      <c r="B48" s="342" t="s">
        <v>1396</v>
      </c>
      <c r="C48" s="2947" t="e">
        <f ca="1">C49+C53+C55</f>
        <v>#N/A</v>
      </c>
      <c r="D48" s="1356"/>
      <c r="E48" s="1357"/>
      <c r="F48" s="1175"/>
      <c r="G48" s="788"/>
      <c r="H48" s="789"/>
      <c r="I48" s="1880" t="s">
        <v>1525</v>
      </c>
      <c r="J48" s="1881" t="s">
        <v>3085</v>
      </c>
      <c r="K48" s="1882" t="s">
        <v>1526</v>
      </c>
      <c r="L48" s="1883" t="e">
        <f ca="1">INDIRECT("'数据-取费表'!f"&amp;$G$1)</f>
        <v>#N/A</v>
      </c>
      <c r="O48" s="1877" t="s">
        <v>1038</v>
      </c>
      <c r="P48" s="1878" t="s">
        <v>1527</v>
      </c>
      <c r="Q48" s="1879" t="e">
        <f ca="1">J60</f>
        <v>#N/A</v>
      </c>
      <c r="R48" s="1879" t="s">
        <v>1528</v>
      </c>
    </row>
    <row r="49" spans="1:18" s="1835" customFormat="1" ht="13.5" thickBot="1">
      <c r="A49" s="1188" t="s">
        <v>1133</v>
      </c>
      <c r="B49" s="1822" t="s">
        <v>1485</v>
      </c>
      <c r="C49" s="1358" t="e">
        <f ca="1">ROUND(F49*F51*F50*(1-F52)/10000,0)</f>
        <v>#N/A</v>
      </c>
      <c r="D49" s="1270" t="s">
        <v>3020</v>
      </c>
      <c r="E49" s="1823" t="s">
        <v>1486</v>
      </c>
      <c r="F49" s="1275"/>
      <c r="G49" s="1884"/>
      <c r="H49" s="789"/>
      <c r="I49" s="1880" t="s">
        <v>1529</v>
      </c>
      <c r="J49" s="1885"/>
      <c r="K49" s="1882" t="s">
        <v>1530</v>
      </c>
      <c r="L49" s="1886"/>
      <c r="O49" s="1887" t="s">
        <v>1039</v>
      </c>
      <c r="P49" s="1878" t="s">
        <v>1531</v>
      </c>
      <c r="Q49" s="1879" t="e">
        <f ca="1">C29</f>
        <v>#N/A</v>
      </c>
      <c r="R49" s="1879" t="s">
        <v>1524</v>
      </c>
    </row>
    <row r="50" spans="1:18" s="1835" customFormat="1" ht="13.5" thickBot="1">
      <c r="A50" s="1189"/>
      <c r="B50" s="1192"/>
      <c r="C50" s="1362"/>
      <c r="D50" s="1166"/>
      <c r="E50" s="1271" t="s">
        <v>1401</v>
      </c>
      <c r="F50" s="1272" t="e">
        <f ca="1">F7</f>
        <v>#N/A</v>
      </c>
      <c r="H50" s="789"/>
      <c r="I50" s="1880" t="s">
        <v>1532</v>
      </c>
      <c r="J50" s="1888">
        <f>SUMPRODUCT((I63:I65=J47)*(J62:L62=J48)*(J63:L65))</f>
        <v>60</v>
      </c>
      <c r="K50" s="1882" t="s">
        <v>1533</v>
      </c>
      <c r="L50" s="1886"/>
      <c r="M50" s="1889"/>
      <c r="O50" s="1887" t="s">
        <v>1040</v>
      </c>
      <c r="P50" s="1878" t="s">
        <v>1534</v>
      </c>
      <c r="Q50" s="1890" t="e">
        <f ca="1">J58</f>
        <v>#N/A</v>
      </c>
      <c r="R50" s="1879"/>
    </row>
    <row r="51" spans="1:18" s="1835" customFormat="1" ht="13.5" thickBot="1">
      <c r="A51" s="1190"/>
      <c r="B51" s="1192"/>
      <c r="C51" s="1193"/>
      <c r="D51" s="1166"/>
      <c r="E51" s="1194" t="s">
        <v>1402</v>
      </c>
      <c r="F51" s="345" t="e">
        <f ca="1">F8</f>
        <v>#N/A</v>
      </c>
      <c r="I51" s="1891" t="s">
        <v>1535</v>
      </c>
      <c r="J51" s="1892">
        <f>IF(J49="",J50,J49+J50-YEAR('数据-取费表'!B2))</f>
        <v>60</v>
      </c>
      <c r="K51" s="1893" t="s">
        <v>1536</v>
      </c>
      <c r="L51" s="1894" t="e">
        <f ca="1">ROUND(-PV(INDIRECT("'数据-取费表'!h"&amp;$G$1),L48,(C39-C13*C76),0),0)</f>
        <v>#N/A</v>
      </c>
      <c r="M51" s="1895"/>
      <c r="O51" s="1887" t="s">
        <v>1041</v>
      </c>
      <c r="P51" s="1878" t="s">
        <v>1537</v>
      </c>
      <c r="Q51" s="1890">
        <f>J52</f>
        <v>0</v>
      </c>
      <c r="R51" s="1879"/>
    </row>
    <row r="52" spans="1:18" s="1835" customFormat="1" ht="13.5" thickBot="1">
      <c r="A52" s="1190"/>
      <c r="B52" s="1192"/>
      <c r="C52" s="1193"/>
      <c r="D52" s="1166"/>
      <c r="E52" s="1194" t="s">
        <v>1403</v>
      </c>
      <c r="F52" s="1269"/>
      <c r="I52" s="1896" t="s">
        <v>1538</v>
      </c>
      <c r="J52" s="1897"/>
      <c r="K52" s="1896" t="s">
        <v>1539</v>
      </c>
      <c r="L52" s="1897"/>
      <c r="O52" s="1887" t="s">
        <v>1042</v>
      </c>
      <c r="P52" s="1878" t="s">
        <v>1540</v>
      </c>
      <c r="Q52" s="1879" t="e">
        <f ca="1">J53</f>
        <v>#N/A</v>
      </c>
      <c r="R52" s="1879" t="s">
        <v>1541</v>
      </c>
    </row>
    <row r="53" spans="1:18" s="1835" customFormat="1" ht="24.75" thickBot="1">
      <c r="A53" s="1399" t="s">
        <v>1134</v>
      </c>
      <c r="B53" s="1824" t="s">
        <v>1404</v>
      </c>
      <c r="C53" s="358">
        <f ca="1">ROUND(IF(F53="押一",C49/12*F11,IF(F53="押二",C49/12*2*F11,IF(F53="押三",C49/12*3*F11,C54*F11))),0)</f>
        <v>0</v>
      </c>
      <c r="D53" s="1817" t="s">
        <v>3029</v>
      </c>
      <c r="E53" s="355" t="s">
        <v>1405</v>
      </c>
      <c r="F53" s="1360"/>
      <c r="I53" s="1898" t="s">
        <v>1542</v>
      </c>
      <c r="J53" s="2940" t="e">
        <f ca="1">IF(M47="住宅",IF(D1="——",MAX(J51,L48),MAX(J51,L48-'数据-取费表'!B24)),IF(D1="——",MIN(J51,L48),MIN(J51,L48-'数据-取费表'!B24)))</f>
        <v>#N/A</v>
      </c>
      <c r="K53" s="3316" t="s">
        <v>1543</v>
      </c>
      <c r="L53" s="3317"/>
      <c r="O53" s="1877" t="s">
        <v>1043</v>
      </c>
      <c r="P53" s="1878" t="s">
        <v>1544</v>
      </c>
      <c r="Q53" s="1879" t="e">
        <f ca="1">Q47+Q48</f>
        <v>#N/A</v>
      </c>
      <c r="R53" s="1879" t="s">
        <v>1044</v>
      </c>
    </row>
    <row r="54" spans="1:18" s="1835" customFormat="1" ht="13.5" thickBot="1">
      <c r="A54" s="1400"/>
      <c r="B54" s="1818" t="s">
        <v>1383</v>
      </c>
      <c r="C54" s="1172"/>
      <c r="D54" s="1817"/>
      <c r="E54" s="2946"/>
      <c r="F54" s="1899"/>
      <c r="I54" s="19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1"/>
      <c r="K54" s="1901"/>
      <c r="L54" s="1901"/>
      <c r="M54" s="1884"/>
      <c r="O54" s="1862" t="s">
        <v>1545</v>
      </c>
      <c r="P54" s="1832"/>
      <c r="Q54" s="1832"/>
      <c r="R54" s="1832"/>
    </row>
    <row r="55" spans="1:18" s="1835" customFormat="1" ht="13.5" thickBot="1">
      <c r="A55" s="1327" t="s">
        <v>1072</v>
      </c>
      <c r="B55" s="1820" t="s">
        <v>1408</v>
      </c>
      <c r="C55" s="1328"/>
      <c r="D55" s="1817"/>
      <c r="E55" s="2946"/>
      <c r="F55" s="1899"/>
      <c r="I55" s="1902" t="s">
        <v>1546</v>
      </c>
      <c r="J55" s="1903" t="e">
        <f ca="1">ROUND(IF(J47="钢混",J57/J50,1-(1-2%)*(J50-J57)/J50),3)</f>
        <v>#N/A</v>
      </c>
      <c r="K55" s="1904" t="s">
        <v>1547</v>
      </c>
      <c r="L55" s="1905" t="s">
        <v>1548</v>
      </c>
      <c r="O55" s="1870" t="s">
        <v>1517</v>
      </c>
      <c r="P55" s="1871" t="s">
        <v>1518</v>
      </c>
      <c r="Q55" s="1872" t="s">
        <v>1519</v>
      </c>
      <c r="R55" s="1872" t="s">
        <v>1520</v>
      </c>
    </row>
    <row r="56" spans="1:18" s="1835" customFormat="1" ht="25.5" thickTop="1" thickBot="1">
      <c r="A56" s="1170">
        <v>2</v>
      </c>
      <c r="B56" s="1171" t="s">
        <v>1409</v>
      </c>
      <c r="C56" s="273" t="e">
        <f ca="1">C13</f>
        <v>#N/A</v>
      </c>
      <c r="D56" s="1906"/>
      <c r="E56" s="1907"/>
      <c r="F56" s="1899"/>
      <c r="I56" s="1908" t="s">
        <v>1549</v>
      </c>
      <c r="J56" s="1909" t="s">
        <v>3071</v>
      </c>
      <c r="K56" s="1880" t="s">
        <v>1550</v>
      </c>
      <c r="L56" s="1883" t="e">
        <f ca="1">IF(L48&lt;J51,"——",L48-J53)</f>
        <v>#N/A</v>
      </c>
      <c r="O56" s="1877" t="s">
        <v>1037</v>
      </c>
      <c r="P56" s="1878" t="s">
        <v>1523</v>
      </c>
      <c r="Q56" s="1879" t="e">
        <f ca="1">C40+J29</f>
        <v>#N/A</v>
      </c>
      <c r="R56" s="1879" t="s">
        <v>1524</v>
      </c>
    </row>
    <row r="57" spans="1:18" s="1835" customFormat="1" ht="24.75" thickBot="1">
      <c r="A57" s="1910"/>
      <c r="B57" s="1163" t="s">
        <v>1473</v>
      </c>
      <c r="C57" s="279" t="e">
        <f ca="1">C29</f>
        <v>#N/A</v>
      </c>
      <c r="D57" s="1911"/>
      <c r="E57" s="1912"/>
      <c r="F57" s="1913"/>
      <c r="I57" s="1914" t="s">
        <v>1551</v>
      </c>
      <c r="J57" s="1915" t="e">
        <f ca="1">IF(OR(M47="住宅",J51&lt;L48,J56="是"),"——",J51-L48)</f>
        <v>#N/A</v>
      </c>
      <c r="K57" s="1880" t="s">
        <v>1552</v>
      </c>
      <c r="L57" s="1883" t="e">
        <f ca="1">IF(L48&lt;J51,"——",IF(L55="比较法",L49,IF(L55="基准地价",L50,L51)))</f>
        <v>#N/A</v>
      </c>
      <c r="O57" s="1877" t="s">
        <v>1038</v>
      </c>
      <c r="P57" s="1878" t="s">
        <v>1553</v>
      </c>
      <c r="Q57" s="1879" t="e">
        <f ca="1">L60</f>
        <v>#N/A</v>
      </c>
      <c r="R57" s="1879" t="s">
        <v>1554</v>
      </c>
    </row>
    <row r="58" spans="1:18" s="1835" customFormat="1" ht="24.75" thickBot="1">
      <c r="A58" s="357" t="s">
        <v>1027</v>
      </c>
      <c r="B58" s="1171" t="s">
        <v>1419</v>
      </c>
      <c r="C58" s="358" t="e">
        <f ca="1">ROUND(C59+C64+C65+C66,0)</f>
        <v>#N/A</v>
      </c>
      <c r="D58" s="1173" t="s">
        <v>1420</v>
      </c>
      <c r="E58" s="1174"/>
      <c r="F58" s="1175"/>
      <c r="I58" s="1914" t="s">
        <v>1555</v>
      </c>
      <c r="J58" s="1916" t="e">
        <f ca="1">IF(J55&lt;0.4,0.4,J55)</f>
        <v>#N/A</v>
      </c>
      <c r="K58" s="1893" t="s">
        <v>1556</v>
      </c>
      <c r="L58" s="1883" t="e">
        <f ca="1">ROUND(POWER(1+L52,L47-L48)*(POWER(1+L52,L48)-1)/(POWER(1+L52,L47)-1),4)</f>
        <v>#N/A</v>
      </c>
      <c r="O58" s="1887" t="s">
        <v>1039</v>
      </c>
      <c r="P58" s="1878" t="s">
        <v>1557</v>
      </c>
      <c r="Q58" s="1879">
        <f>IF(L55="比较法",L49,IF(L55="基准地价",L50,0))</f>
        <v>0</v>
      </c>
      <c r="R58" s="1879" t="s">
        <v>1524</v>
      </c>
    </row>
    <row r="59" spans="1:18" s="1835" customFormat="1" ht="24.75" thickBot="1">
      <c r="A59" s="1195" t="s">
        <v>1032</v>
      </c>
      <c r="B59" s="1163" t="s">
        <v>1424</v>
      </c>
      <c r="C59" s="24" t="e">
        <f ca="1">ROUND(IF(项目基本情况!B11="自然人",C48*F59,C60+C61+C62),1)</f>
        <v>#N/A</v>
      </c>
      <c r="D59" s="1176" t="s">
        <v>1425</v>
      </c>
      <c r="E59" s="1177" t="s">
        <v>1426</v>
      </c>
      <c r="F59" s="365" t="str">
        <f ca="1">IF(项目基本情况!B11="企业","",IF(INDIRECT("'数据-取费表'!c"&amp;$G$1)="住宅",5%,IF(F49*F50*F51/12/(1+'数据-取费表'!C42)&gt;20000,12%,7%)))</f>
        <v/>
      </c>
      <c r="I59" s="1914" t="s">
        <v>1558</v>
      </c>
      <c r="J59" s="1915"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1559</v>
      </c>
      <c r="Q59" s="1890">
        <f>L52</f>
        <v>0</v>
      </c>
      <c r="R59" s="1879"/>
    </row>
    <row r="60" spans="1:18" s="1835" customFormat="1" ht="16.5" thickBot="1">
      <c r="A60" s="1195" t="s">
        <v>1031</v>
      </c>
      <c r="B60" s="1163" t="s">
        <v>1428</v>
      </c>
      <c r="C60" s="24" t="e">
        <f ca="1">IF(项目基本情况!B11="自然人","——",ROUND(C48*F60/(1+'数据-取费表'!C42),2))</f>
        <v>#N/A</v>
      </c>
      <c r="D60" s="1177" t="s">
        <v>1429</v>
      </c>
      <c r="E60" s="1163" t="s">
        <v>1417</v>
      </c>
      <c r="F60" s="374">
        <f t="shared" ref="F60:F66" si="0">F32</f>
        <v>5.6000000000000001E-2</v>
      </c>
      <c r="I60" s="1917" t="s">
        <v>1560</v>
      </c>
      <c r="J60" s="1918" t="e">
        <f ca="1">IF(OR(M47="住宅",J51&lt;L48,J56="是"),"0",ROUND(J59/(1+J52)^J53,0))</f>
        <v>#N/A</v>
      </c>
      <c r="K60" s="1919" t="s">
        <v>1561</v>
      </c>
      <c r="L60" s="1918" t="e">
        <f ca="1">IF(OR(M47="住宅",L48&lt;J51),0,ROUND(L57*(L58/L59-1),0))</f>
        <v>#N/A</v>
      </c>
      <c r="O60" s="1887" t="s">
        <v>1041</v>
      </c>
      <c r="P60" s="1878" t="s">
        <v>1562</v>
      </c>
      <c r="Q60" s="1879" t="e">
        <f ca="1">L58</f>
        <v>#N/A</v>
      </c>
      <c r="R60" s="1879" t="s">
        <v>1563</v>
      </c>
    </row>
    <row r="61" spans="1:18" s="1835" customFormat="1" ht="13.5" thickBot="1">
      <c r="A61" s="1195" t="s">
        <v>1487</v>
      </c>
      <c r="B61" s="1163" t="s">
        <v>1432</v>
      </c>
      <c r="C61" s="24" t="e">
        <f ca="1">IF(项目基本情况!B11="自然人","——",IF(D61="按租金收入计税",ROUND(C48*F61,2),IF(D61="按房产原值计税",ROUND(C57*F61*0.7,2),INDIRECT("'数据-取费表'!Aj"&amp;$G$1))))</f>
        <v>#N/A</v>
      </c>
      <c r="D61" s="1821" t="s">
        <v>1433</v>
      </c>
      <c r="E61" s="1163" t="s">
        <v>1417</v>
      </c>
      <c r="F61" s="364">
        <f t="shared" si="0"/>
        <v>0.12</v>
      </c>
      <c r="I61" s="1920"/>
      <c r="J61" s="1920"/>
      <c r="K61" s="1920"/>
      <c r="L61" s="1920"/>
      <c r="O61" s="1887" t="s">
        <v>1042</v>
      </c>
      <c r="P61" s="1878" t="str">
        <f>K59</f>
        <v>续建工期及建筑物耐用年限下的土地年期修正系数Kn</v>
      </c>
      <c r="Q61" s="1879" t="e">
        <f ca="1">L59</f>
        <v>#N/A</v>
      </c>
      <c r="R61" s="1879" t="s">
        <v>1564</v>
      </c>
    </row>
    <row r="62" spans="1:18" s="1835" customFormat="1" ht="13.5" thickBot="1">
      <c r="A62" s="1195" t="s">
        <v>1490</v>
      </c>
      <c r="B62" s="1162" t="s">
        <v>1436</v>
      </c>
      <c r="C62" s="25" t="e">
        <f ca="1">IF(项目基本情况!B11="自然人","——",ROUND(F62*F63/10000,2))</f>
        <v>#N/A</v>
      </c>
      <c r="D62" s="1178" t="s">
        <v>1437</v>
      </c>
      <c r="E62" s="1163" t="s">
        <v>1438</v>
      </c>
      <c r="F62" s="368">
        <f t="shared" si="0"/>
        <v>5</v>
      </c>
      <c r="I62" s="1921" t="s">
        <v>1565</v>
      </c>
      <c r="J62" s="1922" t="s">
        <v>1566</v>
      </c>
      <c r="K62" s="1922" t="s">
        <v>1567</v>
      </c>
      <c r="L62" s="1922" t="s">
        <v>1568</v>
      </c>
      <c r="M62" s="1923" t="s">
        <v>1569</v>
      </c>
      <c r="O62" s="1877" t="s">
        <v>1043</v>
      </c>
      <c r="P62" s="1878" t="s">
        <v>1544</v>
      </c>
      <c r="Q62" s="1879" t="e">
        <f ca="1">Q56+Q57</f>
        <v>#N/A</v>
      </c>
      <c r="R62" s="1879" t="s">
        <v>1044</v>
      </c>
    </row>
    <row r="63" spans="1:18" s="1835" customFormat="1" ht="13.5" thickBot="1">
      <c r="A63" s="369"/>
      <c r="B63" s="1169"/>
      <c r="C63" s="29"/>
      <c r="D63" s="1179"/>
      <c r="E63" s="1163" t="s">
        <v>1442</v>
      </c>
      <c r="F63" s="345" t="e">
        <f t="shared" ca="1" si="0"/>
        <v>#N/A</v>
      </c>
      <c r="I63" s="1921" t="s">
        <v>1571</v>
      </c>
      <c r="J63" s="1922">
        <v>70</v>
      </c>
      <c r="K63" s="1922">
        <v>50</v>
      </c>
      <c r="L63" s="1922">
        <v>80</v>
      </c>
      <c r="M63" s="1924">
        <v>0.02</v>
      </c>
      <c r="O63" s="1862" t="s">
        <v>1572</v>
      </c>
      <c r="P63" s="1832"/>
      <c r="Q63" s="1832"/>
      <c r="R63" s="1832"/>
    </row>
    <row r="64" spans="1:18" s="1835" customFormat="1" ht="13.5" thickBot="1">
      <c r="A64" s="1195" t="s">
        <v>1036</v>
      </c>
      <c r="B64" s="1163" t="s">
        <v>1444</v>
      </c>
      <c r="C64" s="24" t="e">
        <f ca="1">ROUND(C57*F64,1)</f>
        <v>#N/A</v>
      </c>
      <c r="D64" s="1177" t="s">
        <v>1477</v>
      </c>
      <c r="E64" s="1163" t="s">
        <v>1417</v>
      </c>
      <c r="F64" s="371" t="e">
        <f t="shared" ca="1" si="0"/>
        <v>#N/A</v>
      </c>
      <c r="I64" s="1921" t="s">
        <v>1573</v>
      </c>
      <c r="J64" s="1922">
        <v>50</v>
      </c>
      <c r="K64" s="1922">
        <v>35</v>
      </c>
      <c r="L64" s="1922">
        <v>60</v>
      </c>
      <c r="M64" s="1923">
        <v>0</v>
      </c>
      <c r="O64" s="1870" t="s">
        <v>1517</v>
      </c>
      <c r="P64" s="1871" t="s">
        <v>1518</v>
      </c>
      <c r="Q64" s="1872" t="s">
        <v>1519</v>
      </c>
      <c r="R64" s="1872" t="s">
        <v>1520</v>
      </c>
    </row>
    <row r="65" spans="1:18" s="1835" customFormat="1" ht="13.5" thickBot="1">
      <c r="A65" s="1195" t="s">
        <v>1498</v>
      </c>
      <c r="B65" s="1163" t="s">
        <v>1448</v>
      </c>
      <c r="C65" s="24" t="e">
        <f ca="1">ROUND(C56*F65,1)</f>
        <v>#N/A</v>
      </c>
      <c r="D65" s="1177" t="s">
        <v>1449</v>
      </c>
      <c r="E65" s="1163" t="s">
        <v>1417</v>
      </c>
      <c r="F65" s="373" t="e">
        <f t="shared" ca="1" si="0"/>
        <v>#N/A</v>
      </c>
      <c r="I65" s="1921" t="s">
        <v>1574</v>
      </c>
      <c r="J65" s="1922">
        <v>40</v>
      </c>
      <c r="K65" s="1922">
        <v>30</v>
      </c>
      <c r="L65" s="1922">
        <v>50</v>
      </c>
      <c r="M65" s="1924">
        <v>0.02</v>
      </c>
      <c r="O65" s="1877" t="s">
        <v>1037</v>
      </c>
      <c r="P65" s="1878" t="s">
        <v>1523</v>
      </c>
      <c r="Q65" s="1879" t="e">
        <f ca="1">C40+J29</f>
        <v>#N/A</v>
      </c>
      <c r="R65" s="1879" t="s">
        <v>1524</v>
      </c>
    </row>
    <row r="66" spans="1:18" s="1835" customFormat="1" ht="16.5" thickBot="1">
      <c r="A66" s="1195" t="s">
        <v>1499</v>
      </c>
      <c r="B66" s="1163" t="s">
        <v>1434</v>
      </c>
      <c r="C66" s="24" t="e">
        <f ca="1">ROUND(C48*F66,1)</f>
        <v>#N/A</v>
      </c>
      <c r="D66" s="1177" t="s">
        <v>1454</v>
      </c>
      <c r="E66" s="1163" t="s">
        <v>1417</v>
      </c>
      <c r="F66" s="354" t="e">
        <f t="shared" ca="1" si="0"/>
        <v>#N/A</v>
      </c>
      <c r="O66" s="1877" t="s">
        <v>1038</v>
      </c>
      <c r="P66" s="1878" t="s">
        <v>1553</v>
      </c>
      <c r="Q66" s="1879" t="e">
        <f ca="1">L60</f>
        <v>#N/A</v>
      </c>
      <c r="R66" s="1879" t="s">
        <v>1576</v>
      </c>
    </row>
    <row r="67" spans="1:18" s="1835" customFormat="1" ht="16.5" thickBot="1">
      <c r="A67" s="1170" t="s">
        <v>1028</v>
      </c>
      <c r="B67" s="1180" t="s">
        <v>1458</v>
      </c>
      <c r="C67" s="358" t="e">
        <f ca="1">C48-C58</f>
        <v>#N/A</v>
      </c>
      <c r="D67" s="1176" t="s">
        <v>1459</v>
      </c>
      <c r="E67" s="1181"/>
      <c r="F67" s="1182"/>
      <c r="O67" s="1887" t="s">
        <v>1039</v>
      </c>
      <c r="P67" s="1878" t="s">
        <v>1557</v>
      </c>
      <c r="Q67" s="1925" t="e">
        <f ca="1">L51</f>
        <v>#N/A</v>
      </c>
      <c r="R67" s="1879" t="s">
        <v>1577</v>
      </c>
    </row>
    <row r="68" spans="1:18" s="1835" customFormat="1" ht="16.5" thickBot="1">
      <c r="A68" s="1160" t="s">
        <v>1029</v>
      </c>
      <c r="B68" s="1161" t="s">
        <v>1480</v>
      </c>
      <c r="C68" s="343" t="e">
        <f ca="1">ROUND(C67*(1-((1+F70)/(1+F68))^F69)/(F68-F70),0)</f>
        <v>#N/A</v>
      </c>
      <c r="D68" s="1178" t="s">
        <v>1464</v>
      </c>
      <c r="E68" s="1163" t="s">
        <v>1465</v>
      </c>
      <c r="F68" s="354" t="e">
        <f ca="1">F40</f>
        <v>#N/A</v>
      </c>
      <c r="O68" s="1887" t="s">
        <v>1040</v>
      </c>
      <c r="P68" s="1926" t="s">
        <v>1578</v>
      </c>
      <c r="Q68" s="1879" t="e">
        <f ca="1">ROUND(Q69-Q70*Q71,0)</f>
        <v>#N/A</v>
      </c>
      <c r="R68" s="1879" t="s">
        <v>1048</v>
      </c>
    </row>
    <row r="69" spans="1:18" s="1835" customFormat="1" ht="13.5" thickBot="1">
      <c r="A69" s="1164"/>
      <c r="B69" s="1165"/>
      <c r="C69" s="348"/>
      <c r="D69" s="1183" t="s">
        <v>1468</v>
      </c>
      <c r="E69" s="1163" t="s">
        <v>1469</v>
      </c>
      <c r="F69" s="376" t="e">
        <f ca="1">F41</f>
        <v>#N/A</v>
      </c>
      <c r="O69" s="1887" t="s">
        <v>1045</v>
      </c>
      <c r="P69" s="1926" t="s">
        <v>1579</v>
      </c>
      <c r="Q69" s="1879" t="e">
        <f ca="1">C39</f>
        <v>#N/A</v>
      </c>
      <c r="R69" s="1879" t="s">
        <v>1524</v>
      </c>
    </row>
    <row r="70" spans="1:18" s="1835" customFormat="1" ht="13.5" thickBot="1">
      <c r="A70" s="1167"/>
      <c r="B70" s="1168"/>
      <c r="C70" s="352"/>
      <c r="D70" s="1179"/>
      <c r="E70" s="1163" t="s">
        <v>1472</v>
      </c>
      <c r="F70" s="1269"/>
      <c r="O70" s="1887" t="s">
        <v>1046</v>
      </c>
      <c r="P70" s="1926" t="s">
        <v>1580</v>
      </c>
      <c r="Q70" s="1879" t="e">
        <f ca="1">C13</f>
        <v>#N/A</v>
      </c>
      <c r="R70" s="1879" t="s">
        <v>1524</v>
      </c>
    </row>
    <row r="71" spans="1:18" s="1835" customFormat="1" ht="13.5" thickBot="1">
      <c r="A71" s="1184" t="s">
        <v>1030</v>
      </c>
      <c r="B71" s="1185" t="s">
        <v>1482</v>
      </c>
      <c r="C71" s="379" t="e">
        <f ca="1">ROUND(C68*10000/F71,0)</f>
        <v>#N/A</v>
      </c>
      <c r="D71" s="1186" t="s">
        <v>1483</v>
      </c>
      <c r="E71" s="1187" t="s">
        <v>1484</v>
      </c>
      <c r="F71" s="382" t="e">
        <f ca="1">F43</f>
        <v>#N/A</v>
      </c>
      <c r="O71" s="1887" t="s">
        <v>1047</v>
      </c>
      <c r="P71" s="1926" t="s">
        <v>1581</v>
      </c>
      <c r="Q71" s="1890" t="e">
        <f ca="1">C76</f>
        <v>#N/A</v>
      </c>
      <c r="R71" s="1879"/>
    </row>
    <row r="72" spans="1:18" s="1835" customFormat="1" ht="13.5" thickBot="1">
      <c r="B72" s="792"/>
      <c r="C72" s="792"/>
      <c r="O72" s="1887" t="s">
        <v>1041</v>
      </c>
      <c r="P72" s="1878" t="s">
        <v>1559</v>
      </c>
      <c r="Q72" s="1890">
        <f>L52</f>
        <v>0</v>
      </c>
      <c r="R72" s="1879"/>
    </row>
    <row r="73" spans="1:18" ht="16.5" thickBot="1">
      <c r="A73" s="1835"/>
      <c r="B73" s="792"/>
      <c r="C73" s="792"/>
      <c r="D73" s="1835"/>
      <c r="E73" s="1835"/>
      <c r="F73" s="1835"/>
      <c r="O73" s="1887" t="s">
        <v>1042</v>
      </c>
      <c r="P73" s="1878" t="s">
        <v>1562</v>
      </c>
      <c r="Q73" s="1879" t="e">
        <f ca="1">L58</f>
        <v>#N/A</v>
      </c>
      <c r="R73" s="1879" t="s">
        <v>1563</v>
      </c>
    </row>
    <row r="74" spans="1:18" ht="13.5" thickBot="1">
      <c r="A74" s="1835"/>
      <c r="B74" s="314" t="s">
        <v>1582</v>
      </c>
      <c r="C74" s="1928"/>
      <c r="D74" s="1835"/>
      <c r="E74" s="1835"/>
      <c r="F74" s="1835"/>
      <c r="O74" s="1887" t="s">
        <v>1049</v>
      </c>
      <c r="P74" s="1878" t="str">
        <f>K59</f>
        <v>续建工期及建筑物耐用年限下的土地年期修正系数Kn</v>
      </c>
      <c r="Q74" s="1879" t="e">
        <f ca="1">L59</f>
        <v>#N/A</v>
      </c>
      <c r="R74" s="1879" t="s">
        <v>1564</v>
      </c>
    </row>
    <row r="75" spans="1:18" ht="13.5" thickBot="1">
      <c r="A75" s="1835"/>
      <c r="B75" s="383" t="s">
        <v>1501</v>
      </c>
      <c r="C75" s="384" t="e">
        <f ca="1">ROUND(C13*C76,0)</f>
        <v>#N/A</v>
      </c>
      <c r="D75" s="1835"/>
      <c r="E75" s="1835"/>
      <c r="F75" s="1835"/>
      <c r="K75" s="1861"/>
      <c r="L75" s="1835"/>
      <c r="O75" s="1877" t="s">
        <v>1043</v>
      </c>
      <c r="P75" s="1878" t="s">
        <v>1544</v>
      </c>
      <c r="Q75" s="1879" t="e">
        <f ca="1">Q65+Q66</f>
        <v>#N/A</v>
      </c>
      <c r="R75" s="1879" t="s">
        <v>1044</v>
      </c>
    </row>
    <row r="76" spans="1:18">
      <c r="B76" s="385" t="s">
        <v>1502</v>
      </c>
      <c r="C76" s="386" t="e">
        <f ca="1">INDIRECT("'数据-取费表'!j"&amp;$G$1)</f>
        <v>#N/A</v>
      </c>
      <c r="I76" s="1835"/>
      <c r="J76" s="1835"/>
      <c r="K76" s="1861"/>
      <c r="L76" s="1835"/>
    </row>
    <row r="77" spans="1:18">
      <c r="B77" s="387" t="s">
        <v>1503</v>
      </c>
      <c r="C77" s="388"/>
      <c r="I77" s="1835"/>
      <c r="J77" s="1835"/>
      <c r="K77" s="1861"/>
      <c r="L77" s="1835"/>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7" customWidth="1"/>
    <col min="2" max="16384" width="9" style="1937"/>
  </cols>
  <sheetData>
    <row r="1" spans="1:1" ht="23.25">
      <c r="A1" s="1936" t="s">
        <v>1606</v>
      </c>
    </row>
    <row r="2" spans="1:1">
      <c r="A2" s="1938"/>
    </row>
    <row r="3" spans="1:1" ht="18">
      <c r="A3" s="1939" t="str">
        <f>项目基本情况!B5&amp;"："</f>
        <v>中信信托有限责任公司：</v>
      </c>
    </row>
    <row r="4" spans="1:1" ht="36">
      <c r="A4" s="1940" t="str">
        <f>"受贵公司委托，我公司对"&amp;项目基本情况!S1&amp;"进行了预评估。"</f>
        <v>受贵公司委托，我公司对浙江省杭州市萧山区浦阳镇桃北新村“融创森与海”居住项目A、C、D地块出让国有建设用地使用权抵押价值进行了预评估。</v>
      </c>
    </row>
    <row r="5" spans="1:1" ht="18.75">
      <c r="A5" s="1941" t="s">
        <v>1607</v>
      </c>
    </row>
    <row r="6" spans="1:1" ht="18.75">
      <c r="A6" s="1942" t="s">
        <v>1608</v>
      </c>
    </row>
    <row r="7" spans="1:1" ht="72">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萧山区浦阳镇桃北新村“融创森与海”居住项目A、C、D地块出让国有建设用地使用权，为杭州融阳政房地产开发有限公司所有。根据《国有土地使用证》[]，估价对象（分摊）出让国有建设用地使用权面积为358537平方米，建筑面积为900384.258973平方米。</v>
      </c>
    </row>
    <row r="8" spans="1:1" ht="57.75">
      <c r="A8" s="1943" t="s">
        <v>1609</v>
      </c>
    </row>
    <row r="9" spans="1:1" ht="18.75">
      <c r="A9" s="1942" t="s">
        <v>1610</v>
      </c>
    </row>
    <row r="10" spans="1:1" ht="90">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萧山区浦阳镇桃北新村“融创森与海”居住项目A、C、D地块出让国有建设用地使用权,属杭州融阳政房地产开发有限公司开发建设的居住项目，该项目尚在开发建设中。根据《国有土地使用证》[]，估价对象（分摊）出让国有建设用地使用权面积为358537平方米，规划建筑面积为900384.258973平方米。</v>
      </c>
    </row>
    <row r="11" spans="1:1" ht="76.5">
      <c r="A11" s="1943" t="s">
        <v>1611</v>
      </c>
    </row>
    <row r="12" spans="1:1" ht="18.75">
      <c r="A12" s="1941" t="s">
        <v>1612</v>
      </c>
    </row>
    <row r="13" spans="1:1" ht="38.25" customHeight="1">
      <c r="A13" s="1944" t="str">
        <f>IF(项目基本情况!B8="抵押",IF(项目基本情况!B5=项目基本情况!B6,定义!C51,定义!B51),定义!D51)</f>
        <v>杭州融阳政房地产开发有限公司拟使用浙江省杭州市萧山区浦阳镇桃北新村“融创森与海”居住项目A、C、D地块出让国有建设用地使用权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5" t="s">
        <v>1613</v>
      </c>
    </row>
    <row r="15" spans="1:1" ht="18">
      <c r="A15" s="1946" t="str">
        <f>TEXT(项目基本情况!D3,"yyyy年m月d日;;")&amp;IF(项目基本情况!D3=项目基本情况!B3,"（评估专业人员实地查勘之日）","")</f>
        <v>2019年11月13日（评估专业人员实地查勘之日）</v>
      </c>
    </row>
    <row r="16" spans="1:1" ht="18.75">
      <c r="A16" s="1945" t="s">
        <v>1614</v>
      </c>
    </row>
    <row r="17" spans="1:1" ht="75">
      <c r="A17" s="1940" t="s">
        <v>1615</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住宅、商业及地下车库，土地取得方式为出让，出让国有建设用地使用权剩余土地使用年限为住宅57.87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七通”（即通路、通电、通上水、、、、）、红线内场地平整条件下，剩余土地使用年限为住宅57.87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1604</v>
      </c>
    </row>
    <row r="24" spans="1:1" ht="18">
      <c r="A24" s="1947" t="str">
        <f>"本次评估采用的主估价方法为"&amp;结果表!K4&amp;"和"&amp;结果表!L4&amp;"。"</f>
        <v>本次评估采用的主估价方法为比较法和假设开发法。</v>
      </c>
    </row>
    <row r="25" spans="1:1" ht="18">
      <c r="A25" s="1947"/>
    </row>
    <row r="26" spans="1:1" ht="18.75">
      <c r="A26" s="1948" t="s">
        <v>1605</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2" sqref="D12"/>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625" style="299" customWidth="1"/>
    <col min="6" max="6" width="10.625" style="299" customWidth="1"/>
    <col min="7" max="7" width="4.875" style="299" customWidth="1"/>
    <col min="8" max="8" width="8.5" style="299" customWidth="1"/>
    <col min="9" max="9" width="21.125" style="299" customWidth="1"/>
    <col min="10" max="10" width="12.125" style="299" customWidth="1"/>
    <col min="11" max="11" width="45.125" style="1927" customWidth="1"/>
    <col min="12" max="12" width="16.375" style="299" customWidth="1"/>
    <col min="13" max="13" width="13" style="299" customWidth="1"/>
    <col min="14" max="14" width="13.625" style="1835" customWidth="1"/>
    <col min="15" max="15" width="5.125" style="1835" customWidth="1"/>
    <col min="16" max="16" width="25.625" style="1835" customWidth="1"/>
    <col min="17" max="17" width="13.625" style="1835" customWidth="1"/>
    <col min="18" max="18" width="20.5" style="1835" customWidth="1"/>
    <col min="19" max="19" width="13.125" style="1835" customWidth="1"/>
    <col min="20" max="37" width="9" style="1835"/>
    <col min="38" max="16384" width="9" style="299"/>
  </cols>
  <sheetData>
    <row r="1" spans="1:37" s="334" customFormat="1" ht="21">
      <c r="A1" s="1826" t="s">
        <v>1584</v>
      </c>
      <c r="B1" s="778"/>
      <c r="C1" s="1830" t="s">
        <v>3088</v>
      </c>
      <c r="D1" s="1813" t="s">
        <v>3082</v>
      </c>
      <c r="E1" s="1814" t="s">
        <v>1382</v>
      </c>
      <c r="F1" s="1277" t="e">
        <f ca="1">J53</f>
        <v>#N/A</v>
      </c>
      <c r="G1" s="1829" t="e">
        <f>MATCH(C1,'数据-取费表'!A6:A16,0)+5</f>
        <v>#N/A</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1510</v>
      </c>
      <c r="B2" s="1837" t="e">
        <f ca="1">C40+J29+L46</f>
        <v>#N/A</v>
      </c>
      <c r="C2" s="1838" t="s">
        <v>1511</v>
      </c>
      <c r="D2" s="1838"/>
      <c r="E2" s="1839"/>
      <c r="F2" s="1840"/>
      <c r="G2" s="1841"/>
      <c r="H2" s="1833"/>
      <c r="I2" s="1833"/>
      <c r="J2" s="1833"/>
      <c r="K2" s="1834"/>
      <c r="L2" s="1833"/>
      <c r="M2" s="1833"/>
    </row>
    <row r="3" spans="1:37" ht="18" customHeight="1" thickBot="1">
      <c r="A3" s="1842" t="s">
        <v>1512</v>
      </c>
      <c r="B3" s="1843">
        <f ca="1">IF(ISERROR(B2*10000/F43),0,ROUND(B2*10000/F43,0))</f>
        <v>0</v>
      </c>
      <c r="C3" s="1838" t="s">
        <v>1513</v>
      </c>
      <c r="D3" s="1838"/>
      <c r="E3" s="1839"/>
      <c r="F3" s="1840"/>
      <c r="G3" s="1841"/>
      <c r="H3" s="740" t="s">
        <v>1583</v>
      </c>
      <c r="I3" s="1833"/>
      <c r="J3" s="1833"/>
      <c r="K3" s="1834"/>
      <c r="L3" s="1833"/>
      <c r="M3" s="1833"/>
    </row>
    <row r="4" spans="1:37" ht="18" customHeight="1">
      <c r="A4" s="337" t="s">
        <v>1391</v>
      </c>
      <c r="B4" s="338" t="s">
        <v>1392</v>
      </c>
      <c r="C4" s="338" t="s">
        <v>1393</v>
      </c>
      <c r="D4" s="338" t="s">
        <v>1394</v>
      </c>
      <c r="E4" s="339" t="s">
        <v>1395</v>
      </c>
      <c r="F4" s="340"/>
      <c r="G4" s="1844"/>
      <c r="H4" s="337" t="s">
        <v>1391</v>
      </c>
      <c r="I4" s="338" t="s">
        <v>1392</v>
      </c>
      <c r="J4" s="338" t="s">
        <v>1393</v>
      </c>
      <c r="K4" s="338" t="s">
        <v>1394</v>
      </c>
      <c r="L4" s="339" t="s">
        <v>1395</v>
      </c>
      <c r="M4" s="340"/>
    </row>
    <row r="5" spans="1:37" ht="18" customHeight="1">
      <c r="A5" s="341">
        <v>1</v>
      </c>
      <c r="B5" s="342" t="s">
        <v>1396</v>
      </c>
      <c r="C5" s="1286" t="e">
        <f ca="1">C6+C10+C12</f>
        <v>#N/A</v>
      </c>
      <c r="D5" s="1815" t="s">
        <v>1397</v>
      </c>
      <c r="E5" s="1287"/>
      <c r="F5" s="1288"/>
      <c r="G5" s="1844"/>
      <c r="H5" s="341">
        <v>1</v>
      </c>
      <c r="I5" s="342" t="s">
        <v>1396</v>
      </c>
      <c r="J5" s="1286" t="e">
        <f ca="1">J6+J10+J12</f>
        <v>#N/A</v>
      </c>
      <c r="K5" s="1815" t="s">
        <v>1397</v>
      </c>
      <c r="L5" s="1287"/>
      <c r="M5" s="1288"/>
    </row>
    <row r="6" spans="1:37" ht="18" customHeight="1">
      <c r="A6" s="1285" t="s">
        <v>1032</v>
      </c>
      <c r="B6" s="3313" t="s">
        <v>1398</v>
      </c>
      <c r="C6" s="1290" t="e">
        <f ca="1">ROUND(F6*F8*F7*(1-F9)/10000,0)</f>
        <v>#N/A</v>
      </c>
      <c r="D6" s="161" t="s">
        <v>3021</v>
      </c>
      <c r="E6" s="344" t="s">
        <v>1400</v>
      </c>
      <c r="F6" s="345" t="e">
        <f ca="1">INDIRECT("'数据-取费表'!u"&amp;$G$1)</f>
        <v>#N/A</v>
      </c>
      <c r="G6" s="1844"/>
      <c r="H6" s="1285" t="s">
        <v>1032</v>
      </c>
      <c r="I6" s="3313" t="s">
        <v>1398</v>
      </c>
      <c r="J6" s="343" t="e">
        <f ca="1">ROUND(M6*M8*M7*(1-M9)/10000,0)</f>
        <v>#N/A</v>
      </c>
      <c r="K6" s="161" t="s">
        <v>3020</v>
      </c>
      <c r="L6" s="344" t="s">
        <v>1400</v>
      </c>
      <c r="M6" s="345" t="e">
        <f ca="1">INDIRECT("'数据-取费表'!z"&amp;$G$1)</f>
        <v>#N/A</v>
      </c>
    </row>
    <row r="7" spans="1:37" ht="18" customHeight="1">
      <c r="A7" s="1289"/>
      <c r="B7" s="3314"/>
      <c r="C7" s="1291"/>
      <c r="D7" s="349"/>
      <c r="E7" s="1292" t="s">
        <v>1401</v>
      </c>
      <c r="F7" s="345" t="e">
        <f ca="1">IF(INDIRECT("'数据-取费表'!ah"&amp;$G$1)="",INDIRECT("'数据-取费表'!k"&amp;$G$1),INDIRECT("'数据-取费表'!ah"&amp;$G$1))</f>
        <v>#N/A</v>
      </c>
      <c r="G7" s="1844"/>
      <c r="H7" s="346"/>
      <c r="I7" s="3314"/>
      <c r="J7" s="348"/>
      <c r="K7" s="349"/>
      <c r="L7" s="344" t="s">
        <v>1401</v>
      </c>
      <c r="M7" s="345" t="e">
        <f ca="1">F7</f>
        <v>#N/A</v>
      </c>
    </row>
    <row r="8" spans="1:37" ht="18" customHeight="1">
      <c r="A8" s="346"/>
      <c r="B8" s="3314"/>
      <c r="C8" s="348"/>
      <c r="D8" s="349"/>
      <c r="E8" s="344" t="s">
        <v>1402</v>
      </c>
      <c r="F8" s="345" t="e">
        <f ca="1">INDIRECT("'数据-取费表'!ai"&amp;$G$1)</f>
        <v>#N/A</v>
      </c>
      <c r="G8" s="1844"/>
      <c r="H8" s="346"/>
      <c r="I8" s="3314"/>
      <c r="J8" s="348"/>
      <c r="K8" s="349"/>
      <c r="L8" s="344" t="s">
        <v>1402</v>
      </c>
      <c r="M8" s="345" t="e">
        <f ca="1">INDIRECT("'数据-取费表'!ai"&amp;$G$1)</f>
        <v>#N/A</v>
      </c>
    </row>
    <row r="9" spans="1:37" ht="18" customHeight="1">
      <c r="A9" s="346"/>
      <c r="B9" s="3315"/>
      <c r="C9" s="348"/>
      <c r="D9" s="349"/>
      <c r="E9" s="344" t="s">
        <v>1403</v>
      </c>
      <c r="F9" s="354" t="e">
        <f ca="1">INDIRECT("'数据-取费表'!w"&amp;$G$1)</f>
        <v>#N/A</v>
      </c>
      <c r="G9" s="1844"/>
      <c r="H9" s="346"/>
      <c r="I9" s="3315"/>
      <c r="J9" s="348"/>
      <c r="K9" s="349"/>
      <c r="L9" s="355" t="s">
        <v>1403</v>
      </c>
      <c r="M9" s="356" t="e">
        <f ca="1">INDIRECT("'数据-取费表'!ab"&amp;$G$1)</f>
        <v>#N/A</v>
      </c>
    </row>
    <row r="10" spans="1:37" ht="18" customHeight="1">
      <c r="A10" s="1285" t="s">
        <v>1036</v>
      </c>
      <c r="B10" s="1816" t="s">
        <v>1404</v>
      </c>
      <c r="C10" s="358">
        <f ca="1">ROUND(IF(F10="押一",C6/12*F11,IF(F10="押二",C6/12*2*F11,IF(F10="押三",C6/12*3*F11,C11*F11))),0)</f>
        <v>0</v>
      </c>
      <c r="D10" s="1817" t="s">
        <v>3030</v>
      </c>
      <c r="E10" s="355" t="s">
        <v>1405</v>
      </c>
      <c r="F10" s="1360"/>
      <c r="G10" s="1844"/>
      <c r="H10" s="1285" t="s">
        <v>1036</v>
      </c>
      <c r="I10" s="1816" t="s">
        <v>1404</v>
      </c>
      <c r="J10" s="343" t="e">
        <f ca="1">ROUND(IF(M10="押一",J6/12*M11,IF(M10="押二",J6/12*2*M11,IF(M10="押三",J6/12*3*M11,J11*M11))),0)</f>
        <v>#N/A</v>
      </c>
      <c r="K10" s="1817" t="s">
        <v>3029</v>
      </c>
      <c r="L10" s="355" t="s">
        <v>1405</v>
      </c>
      <c r="M10" s="1360" t="s">
        <v>1406</v>
      </c>
    </row>
    <row r="11" spans="1:37" ht="18" customHeight="1">
      <c r="A11" s="350"/>
      <c r="B11" s="1818" t="s">
        <v>1383</v>
      </c>
      <c r="C11" s="1172"/>
      <c r="D11" s="1819"/>
      <c r="E11" s="355" t="s">
        <v>1407</v>
      </c>
      <c r="F11" s="356">
        <f ca="1">'数据-取费表'!B39</f>
        <v>1.4999999999999999E-2</v>
      </c>
      <c r="G11" s="1844"/>
      <c r="H11" s="1293"/>
      <c r="I11" s="1818" t="s">
        <v>1383</v>
      </c>
      <c r="J11" s="1172"/>
      <c r="K11" s="744"/>
      <c r="L11" s="355" t="s">
        <v>1407</v>
      </c>
      <c r="M11" s="1050">
        <f ca="1">'数据-取费表'!B39</f>
        <v>1.4999999999999999E-2</v>
      </c>
    </row>
    <row r="12" spans="1:37" ht="18" customHeight="1" thickBot="1">
      <c r="A12" s="1327" t="s">
        <v>1072</v>
      </c>
      <c r="B12" s="1820" t="s">
        <v>1408</v>
      </c>
      <c r="C12" s="1328"/>
      <c r="D12" s="1329"/>
      <c r="E12" s="1334"/>
      <c r="F12" s="1330"/>
      <c r="G12" s="1844"/>
      <c r="H12" s="1327" t="s">
        <v>1072</v>
      </c>
      <c r="I12" s="1820" t="s">
        <v>1408</v>
      </c>
      <c r="J12" s="1328"/>
      <c r="K12" s="1342"/>
      <c r="L12" s="1334"/>
      <c r="M12" s="1343"/>
    </row>
    <row r="13" spans="1:37" ht="18" customHeight="1" thickTop="1">
      <c r="A13" s="1323">
        <v>2</v>
      </c>
      <c r="B13" s="1324" t="s">
        <v>1409</v>
      </c>
      <c r="C13" s="352" t="e">
        <f ca="1">ROUND(C29*F13,0)</f>
        <v>#N/A</v>
      </c>
      <c r="D13" s="1325" t="s">
        <v>1410</v>
      </c>
      <c r="E13" s="1325" t="s">
        <v>1411</v>
      </c>
      <c r="F13" s="1326" t="e">
        <f ca="1">INDIRECT("'数据-取费表'!y"&amp;$G$1)</f>
        <v>#N/A</v>
      </c>
      <c r="G13" s="1844"/>
      <c r="H13" s="1323">
        <v>2</v>
      </c>
      <c r="I13" s="1324" t="s">
        <v>1409</v>
      </c>
      <c r="J13" s="1284" t="e">
        <f ca="1">ROUND(J14*J15,0)</f>
        <v>#N/A</v>
      </c>
      <c r="K13" s="1331" t="s">
        <v>1410</v>
      </c>
      <c r="L13" s="1845"/>
      <c r="M13" s="1846"/>
    </row>
    <row r="14" spans="1:37" ht="18" customHeight="1">
      <c r="A14" s="1195" t="s">
        <v>1031</v>
      </c>
      <c r="B14" s="344" t="s">
        <v>1412</v>
      </c>
      <c r="C14" s="360" t="e">
        <f ca="1">INDIRECT("'数据-取费表'!m"&amp;$G$1)+INDIRECT("'数据-取费表'!t"&amp;$G$1)</f>
        <v>#N/A</v>
      </c>
      <c r="D14" s="1793" t="s">
        <v>1413</v>
      </c>
      <c r="E14" s="1787"/>
      <c r="F14" s="361"/>
      <c r="G14" s="1844"/>
      <c r="H14" s="1195" t="s">
        <v>1032</v>
      </c>
      <c r="I14" s="344" t="s">
        <v>1414</v>
      </c>
      <c r="J14" s="24" t="e">
        <f ca="1">C29</f>
        <v>#N/A</v>
      </c>
      <c r="K14" s="15"/>
      <c r="L14" s="974"/>
      <c r="M14" s="975"/>
    </row>
    <row r="15" spans="1:37" s="1851" customFormat="1" ht="18" customHeight="1" thickBot="1">
      <c r="A15" s="1195" t="s">
        <v>1033</v>
      </c>
      <c r="B15" s="344" t="s">
        <v>1415</v>
      </c>
      <c r="C15" s="24" t="e">
        <f ca="1">ROUND(C14*F15,0)</f>
        <v>#N/A</v>
      </c>
      <c r="D15" s="362" t="s">
        <v>1416</v>
      </c>
      <c r="E15" s="362" t="s">
        <v>1417</v>
      </c>
      <c r="F15" s="363">
        <f>'数据-取费表'!B33</f>
        <v>0.03</v>
      </c>
      <c r="G15" s="1847"/>
      <c r="H15" s="1333" t="s">
        <v>1036</v>
      </c>
      <c r="I15" s="1334" t="s">
        <v>1411</v>
      </c>
      <c r="J15" s="1343" t="e">
        <f ca="1">INDIRECT("'数据-取费表'!ad"&amp;$G$1)</f>
        <v>#N/A</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1384</v>
      </c>
      <c r="B16" s="344" t="s">
        <v>1418</v>
      </c>
      <c r="C16" s="24" t="e">
        <f ca="1">ROUND(INDIRECT("'数据-取费表'!m"&amp;$G$1)*F16,0)</f>
        <v>#N/A</v>
      </c>
      <c r="D16" s="344" t="s">
        <v>1416</v>
      </c>
      <c r="E16" s="344" t="s">
        <v>1417</v>
      </c>
      <c r="F16" s="364" t="e">
        <f ca="1">IF(INDIRECT("'数据-取费表'!c"&amp;$G$1)="住宅",'数据-取费表'!B34,0)</f>
        <v>#N/A</v>
      </c>
      <c r="G16" s="1844"/>
      <c r="H16" s="1323" t="s">
        <v>1027</v>
      </c>
      <c r="I16" s="1324" t="s">
        <v>1419</v>
      </c>
      <c r="J16" s="352" t="e">
        <f ca="1">ROUND(J17+J22+J23+J24,0)</f>
        <v>#N/A</v>
      </c>
      <c r="K16" s="1331" t="s">
        <v>1420</v>
      </c>
      <c r="L16" s="1332"/>
      <c r="M16" s="1288"/>
    </row>
    <row r="17" spans="1:37" s="1851" customFormat="1" ht="18" customHeight="1">
      <c r="A17" s="1195" t="s">
        <v>1385</v>
      </c>
      <c r="B17" s="344" t="s">
        <v>1421</v>
      </c>
      <c r="C17" s="24" t="e">
        <f ca="1">ROUND(F17*(F43+INDIRECT("'数据-取费表'!S"&amp;$G$1))/10000,0)</f>
        <v>#N/A</v>
      </c>
      <c r="D17" s="344" t="s">
        <v>1422</v>
      </c>
      <c r="E17" s="344" t="s">
        <v>1423</v>
      </c>
      <c r="F17" s="26">
        <f>'数据-取费表'!B35</f>
        <v>200</v>
      </c>
      <c r="G17" s="1847"/>
      <c r="H17" s="1195" t="s">
        <v>1032</v>
      </c>
      <c r="I17" s="344" t="s">
        <v>1424</v>
      </c>
      <c r="J17" s="24" t="e">
        <f ca="1">ROUND(IF(项目基本情况!B11="自然人",J6*M17/(1+'数据-取费表'!C42),J18+J19+J20),1)</f>
        <v>#N/A</v>
      </c>
      <c r="K17" s="1793" t="s">
        <v>1425</v>
      </c>
      <c r="L17" s="1791" t="s">
        <v>1426</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1386</v>
      </c>
      <c r="B18" s="344" t="s">
        <v>1427</v>
      </c>
      <c r="C18" s="24" t="e">
        <f ca="1">ROUND(C14*F18,0)</f>
        <v>#N/A</v>
      </c>
      <c r="D18" s="344" t="s">
        <v>1416</v>
      </c>
      <c r="E18" s="344" t="s">
        <v>1417</v>
      </c>
      <c r="F18" s="364">
        <f>'数据-取费表'!B36</f>
        <v>1.4999999999999999E-2</v>
      </c>
      <c r="G18" s="1847"/>
      <c r="H18" s="1195" t="s">
        <v>1031</v>
      </c>
      <c r="I18" s="344" t="s">
        <v>1428</v>
      </c>
      <c r="J18" s="24" t="e">
        <f ca="1">ROUND(J6*M18/(1+'数据-取费表'!C42),2)</f>
        <v>#N/A</v>
      </c>
      <c r="K18" s="1791" t="s">
        <v>1429</v>
      </c>
      <c r="L18" s="344" t="s">
        <v>1417</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1430</v>
      </c>
      <c r="C19" s="24" t="e">
        <f ca="1">SUM(C14:C18)</f>
        <v>#N/A</v>
      </c>
      <c r="D19" s="137" t="s">
        <v>1431</v>
      </c>
      <c r="E19" s="1811"/>
      <c r="F19" s="26"/>
      <c r="G19" s="1844"/>
      <c r="H19" s="1195" t="s">
        <v>1033</v>
      </c>
      <c r="I19" s="344" t="s">
        <v>1432</v>
      </c>
      <c r="J19" s="24" t="e">
        <f ca="1">IF(K19="按租金收入计税",ROUND(J6*M19/(1+'数据-取费表'!C42),2),ROUND(C29*M19*0.7,2))</f>
        <v>#N/A</v>
      </c>
      <c r="K19" s="1821" t="s">
        <v>1433</v>
      </c>
      <c r="L19" s="344" t="s">
        <v>1417</v>
      </c>
      <c r="M19" s="364">
        <f>IF(K19="按租金收入计税",'数据-取费表'!B51,'数据-取费表'!B50)</f>
        <v>1.2E-2</v>
      </c>
    </row>
    <row r="20" spans="1:37" s="1851" customFormat="1" ht="18" customHeight="1">
      <c r="A20" s="1195" t="s">
        <v>1036</v>
      </c>
      <c r="B20" s="344" t="s">
        <v>1434</v>
      </c>
      <c r="C20" s="24" t="e">
        <f ca="1">ROUND(C19*F20,0)</f>
        <v>#N/A</v>
      </c>
      <c r="D20" s="366" t="s">
        <v>1435</v>
      </c>
      <c r="E20" s="344" t="s">
        <v>1417</v>
      </c>
      <c r="F20" s="364">
        <f>'数据-取费表'!B37</f>
        <v>0.02</v>
      </c>
      <c r="G20" s="1847"/>
      <c r="H20" s="1195" t="s">
        <v>1384</v>
      </c>
      <c r="I20" s="161" t="s">
        <v>1436</v>
      </c>
      <c r="J20" s="25" t="e">
        <f ca="1">ROUND(M20*M21/10000,2)</f>
        <v>#N/A</v>
      </c>
      <c r="K20" s="367" t="s">
        <v>1437</v>
      </c>
      <c r="L20" s="344" t="s">
        <v>1438</v>
      </c>
      <c r="M20" s="368">
        <f>'数据-取费表'!B52</f>
        <v>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1439</v>
      </c>
      <c r="C21" s="24" t="s">
        <v>18</v>
      </c>
      <c r="D21" s="366" t="s">
        <v>1440</v>
      </c>
      <c r="E21" s="344" t="s">
        <v>1441</v>
      </c>
      <c r="F21" s="364">
        <f>'数据-取费表'!B38</f>
        <v>0.02</v>
      </c>
      <c r="G21" s="1847"/>
      <c r="H21" s="369"/>
      <c r="I21" s="353"/>
      <c r="J21" s="29"/>
      <c r="K21" s="370"/>
      <c r="L21" s="344" t="s">
        <v>1442</v>
      </c>
      <c r="M21" s="345"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1387</v>
      </c>
      <c r="B22" s="344" t="s">
        <v>1443</v>
      </c>
      <c r="C22" s="24"/>
      <c r="D22" s="137" t="str">
        <f>IF(F23&lt;=1,"单利计息。","复利计息。")&amp;"建造成本、管理费用、销售费用产生的利息。"</f>
        <v>复利计息。建造成本、管理费用、销售费用产生的利息。</v>
      </c>
      <c r="E22" s="1811"/>
      <c r="F22" s="26"/>
      <c r="G22" s="1844"/>
      <c r="H22" s="1195" t="s">
        <v>1036</v>
      </c>
      <c r="I22" s="344" t="s">
        <v>1444</v>
      </c>
      <c r="J22" s="24" t="e">
        <f ca="1">ROUND(J14*M22,1)</f>
        <v>#N/A</v>
      </c>
      <c r="K22" s="1791" t="s">
        <v>1445</v>
      </c>
      <c r="L22" s="344" t="s">
        <v>1417</v>
      </c>
      <c r="M22" s="371" t="e">
        <f ca="1">INDIRECT("'数据-取费表'!Ak"&amp;$G$1)</f>
        <v>#N/A</v>
      </c>
    </row>
    <row r="23" spans="1:37" s="1851" customFormat="1" ht="18" customHeight="1">
      <c r="A23" s="1195"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4</v>
      </c>
      <c r="G23" s="1847"/>
      <c r="H23" s="1195" t="s">
        <v>1072</v>
      </c>
      <c r="I23" s="344" t="s">
        <v>1448</v>
      </c>
      <c r="J23" s="24" t="e">
        <f ca="1">ROUND(J13*M23,1)</f>
        <v>#N/A</v>
      </c>
      <c r="K23" s="1791" t="s">
        <v>1449</v>
      </c>
      <c r="L23" s="344" t="s">
        <v>1450</v>
      </c>
      <c r="M23" s="373"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1451</v>
      </c>
      <c r="B24" s="344" t="s">
        <v>1452</v>
      </c>
      <c r="C24" s="24">
        <f ca="1">ROUND(IF('数据-取费表'!B22&lt;=1,F21*F24*F23/2,F21*(POWER((1+F24),F23/2)-1)),4)</f>
        <v>1.9E-3</v>
      </c>
      <c r="D24" s="372" t="str">
        <f>IF(F23&lt;=1,"销售费用×利率×(建设周期÷2)","销售费用×((1+利率)^(建设周期÷2)-1)")</f>
        <v>销售费用×((1+利率)^(建设周期÷2)-1)</v>
      </c>
      <c r="E24" s="344" t="s">
        <v>1453</v>
      </c>
      <c r="F24" s="374">
        <f ca="1">'数据-取费表'!B40</f>
        <v>4.7500000000000001E-2</v>
      </c>
      <c r="G24" s="1847"/>
      <c r="H24" s="1333" t="s">
        <v>1388</v>
      </c>
      <c r="I24" s="1334" t="s">
        <v>1434</v>
      </c>
      <c r="J24" s="1335" t="e">
        <f ca="1">ROUND(J5*M24,1)</f>
        <v>#N/A</v>
      </c>
      <c r="K24" s="1336" t="s">
        <v>1454</v>
      </c>
      <c r="L24" s="1334" t="s">
        <v>1450</v>
      </c>
      <c r="M24" s="1330"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1455</v>
      </c>
      <c r="B25" s="344" t="s">
        <v>1456</v>
      </c>
      <c r="C25" s="24"/>
      <c r="D25" s="137" t="s">
        <v>1457</v>
      </c>
      <c r="E25" s="1811"/>
      <c r="F25" s="26"/>
      <c r="G25" s="1844"/>
      <c r="H25" s="1323" t="s">
        <v>1028</v>
      </c>
      <c r="I25" s="1338" t="s">
        <v>1458</v>
      </c>
      <c r="J25" s="352" t="e">
        <f ca="1">J5-J16</f>
        <v>#N/A</v>
      </c>
      <c r="K25" s="1339" t="s">
        <v>1459</v>
      </c>
      <c r="L25" s="1340"/>
      <c r="M25" s="1341"/>
    </row>
    <row r="26" spans="1:37">
      <c r="A26" s="1195" t="s">
        <v>1031</v>
      </c>
      <c r="B26" s="344" t="s">
        <v>1460</v>
      </c>
      <c r="C26" s="24" t="e">
        <f ca="1">ROUND((C19+C20)*F26,0)</f>
        <v>#N/A</v>
      </c>
      <c r="D26" s="366" t="s">
        <v>1461</v>
      </c>
      <c r="E26" s="355" t="s">
        <v>1462</v>
      </c>
      <c r="F26" s="354" t="e">
        <f ca="1">INDIRECT("'数据-取费表'!q"&amp;$G$1)</f>
        <v>#N/A</v>
      </c>
      <c r="G26" s="1844"/>
      <c r="H26" s="341" t="s">
        <v>1029</v>
      </c>
      <c r="I26" s="342" t="s">
        <v>1463</v>
      </c>
      <c r="J26" s="343" t="e">
        <f ca="1">IF(J5&lt;&gt;0,ROUND(J25*(1-((1+M28)/(1+M26))^M27)/(M26-M28),0),0)</f>
        <v>#N/A</v>
      </c>
      <c r="K26" s="367" t="s">
        <v>1464</v>
      </c>
      <c r="L26" s="344" t="s">
        <v>1465</v>
      </c>
      <c r="M26" s="354" t="e">
        <f ca="1">INDIRECT("'数据-取费表'!I"&amp;$G$1)</f>
        <v>#N/A</v>
      </c>
    </row>
    <row r="27" spans="1:37" ht="18" customHeight="1">
      <c r="A27" s="1195" t="s">
        <v>1033</v>
      </c>
      <c r="B27" s="344" t="s">
        <v>1466</v>
      </c>
      <c r="C27" s="24" t="e">
        <f ca="1">ROUND(F21*F26,4)</f>
        <v>#N/A</v>
      </c>
      <c r="D27" s="366" t="s">
        <v>1467</v>
      </c>
      <c r="E27" s="362"/>
      <c r="F27" s="363"/>
      <c r="G27" s="1844"/>
      <c r="H27" s="346"/>
      <c r="I27" s="347"/>
      <c r="J27" s="348"/>
      <c r="K27" s="375" t="s">
        <v>1468</v>
      </c>
      <c r="L27" s="344" t="s">
        <v>1469</v>
      </c>
      <c r="M27" s="376" t="e">
        <f ca="1">INDIRECT("'数据-取费表'!ag"&amp;$G$1)</f>
        <v>#N/A</v>
      </c>
    </row>
    <row r="28" spans="1:37" s="1851" customFormat="1" ht="18" customHeight="1">
      <c r="A28" s="1195" t="s">
        <v>1034</v>
      </c>
      <c r="B28" s="344" t="s">
        <v>1470</v>
      </c>
      <c r="C28" s="24">
        <f>ROUND(F28/(1+'数据-取费表'!C42),4)</f>
        <v>5.33E-2</v>
      </c>
      <c r="D28" s="366" t="s">
        <v>1471</v>
      </c>
      <c r="E28" s="344" t="s">
        <v>1417</v>
      </c>
      <c r="F28" s="364">
        <f>'数据-取费表'!B41</f>
        <v>5.6000000000000001E-2</v>
      </c>
      <c r="G28" s="1847"/>
      <c r="H28" s="350"/>
      <c r="I28" s="351"/>
      <c r="J28" s="352"/>
      <c r="K28" s="370"/>
      <c r="L28" s="344" t="s">
        <v>1472</v>
      </c>
      <c r="M28" s="354"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1473</v>
      </c>
      <c r="C29" s="1335" t="e">
        <f ca="1">ROUND((C19+C20+C23+C26)/(1-F21-C24-C27-C28),0)</f>
        <v>#N/A</v>
      </c>
      <c r="D29" s="1336"/>
      <c r="E29" s="1334"/>
      <c r="F29" s="1337"/>
      <c r="G29" s="1847"/>
      <c r="H29" s="377" t="s">
        <v>1030</v>
      </c>
      <c r="I29" s="378" t="s">
        <v>1474</v>
      </c>
      <c r="J29" s="379" t="e">
        <f ca="1">ROUND(J26/(1+F40)^F41,0)</f>
        <v>#N/A</v>
      </c>
      <c r="K29" s="380" t="s">
        <v>1475</v>
      </c>
      <c r="L29" s="381"/>
      <c r="M29" s="382"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1419</v>
      </c>
      <c r="C30" s="352" t="e">
        <f ca="1">ROUND(C31+C36+C37+C38,0)</f>
        <v>#N/A</v>
      </c>
      <c r="D30" s="1331" t="s">
        <v>1420</v>
      </c>
      <c r="E30" s="1332"/>
      <c r="F30" s="1288"/>
      <c r="G30" s="1844"/>
      <c r="H30" s="741"/>
      <c r="I30" s="742"/>
      <c r="J30" s="743"/>
      <c r="K30" s="744"/>
      <c r="L30" s="745"/>
      <c r="M30" s="746"/>
    </row>
    <row r="31" spans="1:37" ht="18" customHeight="1">
      <c r="A31" s="1195" t="s">
        <v>1032</v>
      </c>
      <c r="B31" s="344" t="s">
        <v>1424</v>
      </c>
      <c r="C31" s="24" t="e">
        <f ca="1">ROUND(IF(项目基本情况!B11="自然人",C6*F31/(1+'数据-取费表'!C42),C32+C33+C34),1)</f>
        <v>#N/A</v>
      </c>
      <c r="D31" s="1793" t="s">
        <v>1425</v>
      </c>
      <c r="E31" s="1791" t="s">
        <v>1476</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1031</v>
      </c>
      <c r="B32" s="344" t="s">
        <v>1428</v>
      </c>
      <c r="C32" s="24" t="e">
        <f ca="1">IF(项目基本情况!B11="自然人","——",ROUND(C6*F32/(1+'数据-取费表'!C42),2))</f>
        <v>#N/A</v>
      </c>
      <c r="D32" s="1791" t="s">
        <v>1429</v>
      </c>
      <c r="E32" s="344" t="s">
        <v>1417</v>
      </c>
      <c r="F32" s="374">
        <f>'数据-取费表'!B41</f>
        <v>5.6000000000000001E-2</v>
      </c>
      <c r="G32" s="1844"/>
      <c r="H32" s="741"/>
      <c r="I32" s="742"/>
      <c r="J32" s="743"/>
      <c r="K32" s="744"/>
      <c r="L32" s="745"/>
      <c r="M32" s="746"/>
    </row>
    <row r="33" spans="1:18" ht="18" customHeight="1">
      <c r="A33" s="1195" t="s">
        <v>1033</v>
      </c>
      <c r="B33" s="344" t="s">
        <v>1432</v>
      </c>
      <c r="C33" s="24" t="e">
        <f ca="1">IF(项目基本情况!B11="自然人","——",IF(D33="按租金收入计税",ROUND(C6*F33/(1+'数据-取费表'!C42),2),IF(D33="按房产原值计税",ROUND(C29*F33*0.7,2),INDIRECT("'数据-取费表'!Aj"&amp;$G$1))))</f>
        <v>#N/A</v>
      </c>
      <c r="D33" s="1821" t="s">
        <v>3083</v>
      </c>
      <c r="E33" s="344" t="s">
        <v>1417</v>
      </c>
      <c r="F33" s="364">
        <f>IF(D33="按票据","——",IF(D33="按租金收入计税",'数据-取费表'!B51,'数据-取费表'!B50))</f>
        <v>0.12</v>
      </c>
      <c r="G33" s="1844"/>
      <c r="H33" s="1852"/>
      <c r="I33" s="1853"/>
      <c r="J33" s="1854"/>
      <c r="K33" s="1855"/>
      <c r="L33" s="1852"/>
      <c r="M33" s="1852"/>
    </row>
    <row r="34" spans="1:18" ht="18" customHeight="1">
      <c r="A34" s="1285" t="s">
        <v>1384</v>
      </c>
      <c r="B34" s="161" t="s">
        <v>1436</v>
      </c>
      <c r="C34" s="25" t="e">
        <f ca="1">IF(项目基本情况!B11="自然人","——",ROUND(F34*F35/10000,2))</f>
        <v>#N/A</v>
      </c>
      <c r="D34" s="367" t="s">
        <v>1437</v>
      </c>
      <c r="E34" s="344" t="s">
        <v>1438</v>
      </c>
      <c r="F34" s="368">
        <f>'数据-取费表'!B52</f>
        <v>5</v>
      </c>
      <c r="G34" s="1844"/>
      <c r="H34" s="741"/>
      <c r="I34" s="1853"/>
      <c r="J34" s="1854"/>
      <c r="K34" s="1856"/>
      <c r="L34" s="1857"/>
      <c r="M34" s="1857"/>
    </row>
    <row r="35" spans="1:18" ht="18" customHeight="1">
      <c r="A35" s="1347"/>
      <c r="B35" s="1345"/>
      <c r="C35" s="29"/>
      <c r="D35" s="370"/>
      <c r="E35" s="344" t="s">
        <v>1442</v>
      </c>
      <c r="F35" s="345" t="e">
        <f ca="1">INDIRECT("'数据-取费表'!r"&amp;$G$1)</f>
        <v>#N/A</v>
      </c>
      <c r="G35" s="1844"/>
      <c r="H35" s="741"/>
      <c r="I35" s="1853"/>
      <c r="J35" s="1854"/>
      <c r="K35" s="1855"/>
      <c r="L35" s="1852"/>
      <c r="M35" s="1852"/>
    </row>
    <row r="36" spans="1:18" ht="18" customHeight="1">
      <c r="A36" s="1346" t="s">
        <v>1036</v>
      </c>
      <c r="B36" s="344" t="s">
        <v>1444</v>
      </c>
      <c r="C36" s="24" t="e">
        <f ca="1">ROUND(C29*F36,1)</f>
        <v>#N/A</v>
      </c>
      <c r="D36" s="1791" t="s">
        <v>1477</v>
      </c>
      <c r="E36" s="344" t="s">
        <v>1417</v>
      </c>
      <c r="F36" s="371" t="e">
        <f ca="1">INDIRECT("'数据-取费表'!Ak"&amp;$G$1)</f>
        <v>#N/A</v>
      </c>
      <c r="G36" s="1844"/>
      <c r="H36" s="1852"/>
      <c r="I36" s="1853"/>
      <c r="J36" s="1854"/>
      <c r="K36" s="747"/>
      <c r="L36" s="1852"/>
      <c r="M36" s="1852"/>
    </row>
    <row r="37" spans="1:18" ht="18" customHeight="1">
      <c r="A37" s="1195" t="s">
        <v>1072</v>
      </c>
      <c r="B37" s="344" t="s">
        <v>1448</v>
      </c>
      <c r="C37" s="24" t="e">
        <f ca="1">ROUND(C13*F37,1)</f>
        <v>#N/A</v>
      </c>
      <c r="D37" s="1791" t="s">
        <v>1449</v>
      </c>
      <c r="E37" s="344" t="s">
        <v>1450</v>
      </c>
      <c r="F37" s="373" t="e">
        <f ca="1">INDIRECT("'数据-取费表'!Al"&amp;$G$1)</f>
        <v>#N/A</v>
      </c>
      <c r="G37" s="1844"/>
      <c r="H37" s="1852"/>
      <c r="I37" s="1853"/>
      <c r="J37" s="1854"/>
      <c r="K37" s="747"/>
      <c r="L37" s="1852"/>
      <c r="M37" s="1852"/>
    </row>
    <row r="38" spans="1:18" ht="18" customHeight="1" thickBot="1">
      <c r="A38" s="1333" t="s">
        <v>1388</v>
      </c>
      <c r="B38" s="1334" t="s">
        <v>1434</v>
      </c>
      <c r="C38" s="1335" t="e">
        <f ca="1">ROUND(C5*F38,1)</f>
        <v>#N/A</v>
      </c>
      <c r="D38" s="1336" t="s">
        <v>1454</v>
      </c>
      <c r="E38" s="1334" t="s">
        <v>1450</v>
      </c>
      <c r="F38" s="1330" t="e">
        <f ca="1">INDIRECT("'数据-取费表'!Am"&amp;$G$1)</f>
        <v>#N/A</v>
      </c>
      <c r="G38" s="1844"/>
      <c r="H38" s="1852"/>
      <c r="I38" s="1853"/>
      <c r="J38" s="1854"/>
      <c r="K38" s="1858"/>
      <c r="L38" s="1852"/>
      <c r="M38" s="1852"/>
    </row>
    <row r="39" spans="1:18" ht="24.6" customHeight="1" thickTop="1">
      <c r="A39" s="1323" t="s">
        <v>1028</v>
      </c>
      <c r="B39" s="1338" t="s">
        <v>1478</v>
      </c>
      <c r="C39" s="352" t="e">
        <f ca="1">C5-C30</f>
        <v>#N/A</v>
      </c>
      <c r="D39" s="1339" t="s">
        <v>1479</v>
      </c>
      <c r="E39" s="1340"/>
      <c r="F39" s="1341"/>
      <c r="G39" s="1844"/>
      <c r="H39" s="1852"/>
      <c r="I39" s="1853"/>
      <c r="J39" s="1854"/>
      <c r="K39" s="1858"/>
      <c r="L39" s="1852"/>
      <c r="M39" s="1852"/>
    </row>
    <row r="40" spans="1:18" ht="18" customHeight="1">
      <c r="A40" s="341" t="s">
        <v>1029</v>
      </c>
      <c r="B40" s="342" t="s">
        <v>1480</v>
      </c>
      <c r="C40" s="343" t="e">
        <f ca="1">ROUND(C39*(1-((1+F42)/(1+F40))^F41)/(F40-F42),0)</f>
        <v>#N/A</v>
      </c>
      <c r="D40" s="367" t="s">
        <v>1464</v>
      </c>
      <c r="E40" s="344" t="s">
        <v>1465</v>
      </c>
      <c r="F40" s="354" t="e">
        <f ca="1">INDIRECT("'数据-取费表'!I"&amp;$G$1)</f>
        <v>#N/A</v>
      </c>
      <c r="G40" s="1844"/>
      <c r="H40" s="1832"/>
      <c r="I40" s="1853"/>
      <c r="J40" s="1854"/>
      <c r="K40" s="1858"/>
      <c r="L40" s="1832"/>
      <c r="M40" s="1832"/>
    </row>
    <row r="41" spans="1:18" ht="18" customHeight="1">
      <c r="A41" s="346"/>
      <c r="B41" s="347"/>
      <c r="C41" s="348"/>
      <c r="D41" s="375" t="s">
        <v>1481</v>
      </c>
      <c r="E41" s="344" t="s">
        <v>1469</v>
      </c>
      <c r="F41" s="376" t="e">
        <f ca="1">IF(INDIRECT("'数据-取费表'!af"&amp;$G$1)=0,INDIRECT("'数据-取费表'!ae"&amp;$G$1),INDIRECT("'数据-取费表'!af"&amp;$G$1))</f>
        <v>#N/A</v>
      </c>
      <c r="G41" s="1844"/>
      <c r="H41" s="728"/>
      <c r="I41" s="1853"/>
      <c r="J41" s="1854"/>
      <c r="K41" s="747"/>
      <c r="L41" s="728"/>
      <c r="M41" s="728"/>
    </row>
    <row r="42" spans="1:18" ht="18" customHeight="1">
      <c r="A42" s="350"/>
      <c r="B42" s="351"/>
      <c r="C42" s="352"/>
      <c r="D42" s="370"/>
      <c r="E42" s="344" t="s">
        <v>1472</v>
      </c>
      <c r="F42" s="354" t="e">
        <f ca="1">INDIRECT("'数据-取费表'!v"&amp;$G$1)</f>
        <v>#N/A</v>
      </c>
      <c r="G42" s="1844"/>
      <c r="H42" s="728"/>
      <c r="I42" s="1853"/>
      <c r="J42" s="1854"/>
      <c r="K42" s="747"/>
      <c r="L42" s="728"/>
      <c r="M42" s="728"/>
    </row>
    <row r="43" spans="1:18" ht="18" customHeight="1" thickBot="1">
      <c r="A43" s="377" t="s">
        <v>1030</v>
      </c>
      <c r="B43" s="378" t="s">
        <v>1482</v>
      </c>
      <c r="C43" s="379" t="e">
        <f ca="1">ROUND(C40*10000/F43,0)</f>
        <v>#N/A</v>
      </c>
      <c r="D43" s="380" t="s">
        <v>1483</v>
      </c>
      <c r="E43" s="381" t="s">
        <v>1484</v>
      </c>
      <c r="F43" s="382" t="e">
        <f ca="1">INDIRECT("'数据-取费表'!k"&amp;$G$1)</f>
        <v>#N/A</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1514</v>
      </c>
      <c r="P45" s="1832"/>
      <c r="Q45" s="1832"/>
      <c r="R45" s="1832"/>
    </row>
    <row r="46" spans="1:18" s="1835" customFormat="1" ht="13.5" thickBot="1">
      <c r="A46" s="1863" t="s">
        <v>1515</v>
      </c>
      <c r="C46" s="1864" t="e">
        <f ca="1">C68-C40</f>
        <v>#N/A</v>
      </c>
      <c r="D46" s="1865" t="str">
        <f>C2</f>
        <v>万元</v>
      </c>
      <c r="E46" s="1859"/>
      <c r="F46" s="1859"/>
      <c r="I46" s="1866" t="s">
        <v>1516</v>
      </c>
      <c r="J46" s="1867"/>
      <c r="K46" s="1868"/>
      <c r="L46" s="1869" t="e">
        <f ca="1">IF(M47="住宅",0,IF(L48&gt;J51,L60,J60))</f>
        <v>#N/A</v>
      </c>
      <c r="O46" s="1870" t="s">
        <v>1517</v>
      </c>
      <c r="P46" s="1871" t="s">
        <v>1518</v>
      </c>
      <c r="Q46" s="1872" t="s">
        <v>1519</v>
      </c>
      <c r="R46" s="1872" t="s">
        <v>1520</v>
      </c>
    </row>
    <row r="47" spans="1:18" s="1835" customFormat="1" ht="13.5" thickBot="1">
      <c r="A47" s="1159" t="s">
        <v>1391</v>
      </c>
      <c r="B47" s="1191" t="s">
        <v>1392</v>
      </c>
      <c r="C47" s="1361" t="s">
        <v>1393</v>
      </c>
      <c r="D47" s="1191" t="s">
        <v>1394</v>
      </c>
      <c r="E47" s="1273" t="s">
        <v>1395</v>
      </c>
      <c r="F47" s="1274"/>
      <c r="G47" s="788"/>
      <c r="I47" s="1873" t="s">
        <v>1521</v>
      </c>
      <c r="J47" s="1874" t="s">
        <v>3084</v>
      </c>
      <c r="K47" s="1875" t="s">
        <v>1522</v>
      </c>
      <c r="L47" s="1876" t="e">
        <f ca="1">INDIRECT("'数据-取费表'!d"&amp;$G$1)</f>
        <v>#N/A</v>
      </c>
      <c r="M47" s="1831" t="str">
        <f>IF(ISNUMBER(FIND("住宅",C1)),"住宅","非住宅")</f>
        <v>非住宅</v>
      </c>
      <c r="O47" s="1877" t="s">
        <v>1037</v>
      </c>
      <c r="P47" s="1878" t="s">
        <v>1523</v>
      </c>
      <c r="Q47" s="1879" t="e">
        <f ca="1">C40+J29</f>
        <v>#N/A</v>
      </c>
      <c r="R47" s="1879" t="s">
        <v>1524</v>
      </c>
    </row>
    <row r="48" spans="1:18" s="1835" customFormat="1" ht="28.5" thickBot="1">
      <c r="A48" s="1354" t="s">
        <v>1132</v>
      </c>
      <c r="B48" s="342" t="s">
        <v>1396</v>
      </c>
      <c r="C48" s="1810" t="e">
        <f ca="1">C49+C53+C55</f>
        <v>#N/A</v>
      </c>
      <c r="D48" s="1356"/>
      <c r="E48" s="1357"/>
      <c r="F48" s="1175"/>
      <c r="G48" s="788"/>
      <c r="H48" s="789"/>
      <c r="I48" s="1880" t="s">
        <v>1525</v>
      </c>
      <c r="J48" s="1881" t="s">
        <v>3085</v>
      </c>
      <c r="K48" s="1882" t="s">
        <v>1526</v>
      </c>
      <c r="L48" s="1883" t="e">
        <f ca="1">INDIRECT("'数据-取费表'!f"&amp;$G$1)</f>
        <v>#N/A</v>
      </c>
      <c r="O48" s="1877" t="s">
        <v>1038</v>
      </c>
      <c r="P48" s="1878" t="s">
        <v>1527</v>
      </c>
      <c r="Q48" s="1879" t="e">
        <f ca="1">J60</f>
        <v>#N/A</v>
      </c>
      <c r="R48" s="1879" t="s">
        <v>1528</v>
      </c>
    </row>
    <row r="49" spans="1:18" s="1835" customFormat="1" ht="13.5" thickBot="1">
      <c r="A49" s="1188" t="s">
        <v>1133</v>
      </c>
      <c r="B49" s="1822" t="s">
        <v>1485</v>
      </c>
      <c r="C49" s="1358" t="e">
        <f ca="1">ROUND(F49*F51*F50*(1-F52)/10000,0)</f>
        <v>#N/A</v>
      </c>
      <c r="D49" s="1270" t="s">
        <v>3022</v>
      </c>
      <c r="E49" s="1823" t="s">
        <v>1486</v>
      </c>
      <c r="F49" s="1275"/>
      <c r="G49" s="1884"/>
      <c r="H49" s="789"/>
      <c r="I49" s="1880" t="s">
        <v>1529</v>
      </c>
      <c r="J49" s="1885"/>
      <c r="K49" s="1882" t="s">
        <v>1530</v>
      </c>
      <c r="L49" s="1886"/>
      <c r="O49" s="1887" t="s">
        <v>1039</v>
      </c>
      <c r="P49" s="1878" t="s">
        <v>1531</v>
      </c>
      <c r="Q49" s="1879" t="e">
        <f ca="1">C29</f>
        <v>#N/A</v>
      </c>
      <c r="R49" s="1879" t="s">
        <v>1524</v>
      </c>
    </row>
    <row r="50" spans="1:18" s="1835" customFormat="1" ht="13.5" thickBot="1">
      <c r="A50" s="1189"/>
      <c r="B50" s="1192"/>
      <c r="C50" s="1362"/>
      <c r="D50" s="1166"/>
      <c r="E50" s="1271" t="s">
        <v>1401</v>
      </c>
      <c r="F50" s="1272" t="e">
        <f ca="1">F7</f>
        <v>#N/A</v>
      </c>
      <c r="H50" s="789"/>
      <c r="I50" s="1880" t="s">
        <v>1532</v>
      </c>
      <c r="J50" s="1888">
        <f>SUMPRODUCT((I63:I65=J47)*(J62:L62=J48)*(J63:L65))</f>
        <v>60</v>
      </c>
      <c r="K50" s="1882" t="s">
        <v>1533</v>
      </c>
      <c r="L50" s="1886"/>
      <c r="M50" s="1889"/>
      <c r="O50" s="1887" t="s">
        <v>1040</v>
      </c>
      <c r="P50" s="1878" t="s">
        <v>1534</v>
      </c>
      <c r="Q50" s="1890" t="e">
        <f ca="1">J58</f>
        <v>#N/A</v>
      </c>
      <c r="R50" s="1879"/>
    </row>
    <row r="51" spans="1:18" s="1835" customFormat="1" ht="13.5" thickBot="1">
      <c r="A51" s="1190"/>
      <c r="B51" s="1192"/>
      <c r="C51" s="1193"/>
      <c r="D51" s="1166"/>
      <c r="E51" s="1194" t="s">
        <v>1402</v>
      </c>
      <c r="F51" s="345" t="e">
        <f ca="1">F8</f>
        <v>#N/A</v>
      </c>
      <c r="I51" s="1891" t="s">
        <v>1535</v>
      </c>
      <c r="J51" s="1892">
        <f>IF(J49="",J50,J49+J50-YEAR('数据-取费表'!B2))</f>
        <v>60</v>
      </c>
      <c r="K51" s="1893" t="s">
        <v>1536</v>
      </c>
      <c r="L51" s="1894" t="e">
        <f ca="1">ROUND(-PV(INDIRECT("'数据-取费表'!h"&amp;$G$1),L48,(C39-C13*C76),0),0)</f>
        <v>#N/A</v>
      </c>
      <c r="M51" s="1895"/>
      <c r="O51" s="1887" t="s">
        <v>1041</v>
      </c>
      <c r="P51" s="1878" t="s">
        <v>1537</v>
      </c>
      <c r="Q51" s="1890">
        <f>J52</f>
        <v>0</v>
      </c>
      <c r="R51" s="1879"/>
    </row>
    <row r="52" spans="1:18" s="1835" customFormat="1" ht="13.5" thickBot="1">
      <c r="A52" s="1190"/>
      <c r="B52" s="1192"/>
      <c r="C52" s="1193"/>
      <c r="D52" s="1166"/>
      <c r="E52" s="1194" t="s">
        <v>1403</v>
      </c>
      <c r="F52" s="1269"/>
      <c r="I52" s="1896" t="s">
        <v>1538</v>
      </c>
      <c r="J52" s="1897"/>
      <c r="K52" s="1896" t="s">
        <v>1539</v>
      </c>
      <c r="L52" s="1897"/>
      <c r="O52" s="1887" t="s">
        <v>1042</v>
      </c>
      <c r="P52" s="1878" t="s">
        <v>1540</v>
      </c>
      <c r="Q52" s="1879" t="e">
        <f ca="1">J53</f>
        <v>#N/A</v>
      </c>
      <c r="R52" s="1879" t="s">
        <v>1541</v>
      </c>
    </row>
    <row r="53" spans="1:18" s="1835" customFormat="1" ht="24.75" thickBot="1">
      <c r="A53" s="1399" t="s">
        <v>1134</v>
      </c>
      <c r="B53" s="1824" t="s">
        <v>1404</v>
      </c>
      <c r="C53" s="358">
        <f ca="1">ROUND(IF(F53="押一",C49/12*F11,IF(F53="押二",C49/12*2*F11,IF(F53="押三",C49/12*3*F11,C54*F11))),0)</f>
        <v>0</v>
      </c>
      <c r="D53" s="1817" t="s">
        <v>3029</v>
      </c>
      <c r="E53" s="355" t="s">
        <v>1405</v>
      </c>
      <c r="F53" s="1360"/>
      <c r="I53" s="1898" t="s">
        <v>1542</v>
      </c>
      <c r="J53" s="2940" t="e">
        <f ca="1">IF(M47="住宅",IF(D1="——",MAX(J51,L48),MAX(J51,L48-'数据-取费表'!B24)),IF(D1="——",MIN(J51,L48),MIN(J51,L48-'数据-取费表'!B24)))</f>
        <v>#N/A</v>
      </c>
      <c r="K53" s="3316" t="s">
        <v>1543</v>
      </c>
      <c r="L53" s="3317"/>
      <c r="O53" s="1877" t="s">
        <v>1043</v>
      </c>
      <c r="P53" s="1878" t="s">
        <v>1544</v>
      </c>
      <c r="Q53" s="1879" t="e">
        <f ca="1">Q47+Q48</f>
        <v>#N/A</v>
      </c>
      <c r="R53" s="1879" t="s">
        <v>1044</v>
      </c>
    </row>
    <row r="54" spans="1:18" s="1835" customFormat="1" ht="13.5" thickBot="1">
      <c r="A54" s="1400"/>
      <c r="B54" s="1818" t="s">
        <v>1383</v>
      </c>
      <c r="C54" s="1172"/>
      <c r="D54" s="1817"/>
      <c r="E54" s="1825"/>
      <c r="F54" s="1899"/>
      <c r="I54" s="19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1"/>
      <c r="K54" s="1901"/>
      <c r="L54" s="1901"/>
      <c r="M54" s="1884"/>
      <c r="O54" s="1862" t="s">
        <v>1545</v>
      </c>
      <c r="P54" s="1832"/>
      <c r="Q54" s="1832"/>
      <c r="R54" s="1832"/>
    </row>
    <row r="55" spans="1:18" s="1835" customFormat="1" ht="13.5" thickBot="1">
      <c r="A55" s="1327" t="s">
        <v>1072</v>
      </c>
      <c r="B55" s="1820" t="s">
        <v>1408</v>
      </c>
      <c r="C55" s="1328"/>
      <c r="D55" s="1817"/>
      <c r="E55" s="1825"/>
      <c r="F55" s="1899"/>
      <c r="I55" s="1902" t="s">
        <v>1546</v>
      </c>
      <c r="J55" s="1903" t="e">
        <f ca="1">ROUND(IF(J47="钢混",J57/J50,1-(1-2%)*(J50-J57)/J50),3)</f>
        <v>#N/A</v>
      </c>
      <c r="K55" s="1904" t="s">
        <v>1547</v>
      </c>
      <c r="L55" s="1905" t="s">
        <v>1548</v>
      </c>
      <c r="O55" s="1870" t="s">
        <v>1517</v>
      </c>
      <c r="P55" s="1871" t="s">
        <v>1518</v>
      </c>
      <c r="Q55" s="1872" t="s">
        <v>1519</v>
      </c>
      <c r="R55" s="1872" t="s">
        <v>1520</v>
      </c>
    </row>
    <row r="56" spans="1:18" s="1835" customFormat="1" ht="25.5" thickTop="1" thickBot="1">
      <c r="A56" s="1170">
        <v>2</v>
      </c>
      <c r="B56" s="1171" t="s">
        <v>1409</v>
      </c>
      <c r="C56" s="273" t="e">
        <f ca="1">C13</f>
        <v>#N/A</v>
      </c>
      <c r="D56" s="1906"/>
      <c r="E56" s="1907"/>
      <c r="F56" s="1899"/>
      <c r="I56" s="1908" t="s">
        <v>1549</v>
      </c>
      <c r="J56" s="1909" t="s">
        <v>3071</v>
      </c>
      <c r="K56" s="1880" t="s">
        <v>1550</v>
      </c>
      <c r="L56" s="1883" t="e">
        <f ca="1">IF(L48&lt;J51,"——",L48-J53)</f>
        <v>#N/A</v>
      </c>
      <c r="O56" s="1877" t="s">
        <v>1037</v>
      </c>
      <c r="P56" s="1878" t="s">
        <v>1523</v>
      </c>
      <c r="Q56" s="1879" t="e">
        <f ca="1">C40+J29</f>
        <v>#N/A</v>
      </c>
      <c r="R56" s="1879" t="s">
        <v>1524</v>
      </c>
    </row>
    <row r="57" spans="1:18" s="1835" customFormat="1" ht="24.75" thickBot="1">
      <c r="A57" s="1910"/>
      <c r="B57" s="1163" t="s">
        <v>1473</v>
      </c>
      <c r="C57" s="279" t="e">
        <f ca="1">C29</f>
        <v>#N/A</v>
      </c>
      <c r="D57" s="1911"/>
      <c r="E57" s="1912"/>
      <c r="F57" s="1913"/>
      <c r="I57" s="1914" t="s">
        <v>1551</v>
      </c>
      <c r="J57" s="1915" t="e">
        <f ca="1">IF(OR(M47="住宅",J51&lt;L48,J56="是"),"——",J51-L48)</f>
        <v>#N/A</v>
      </c>
      <c r="K57" s="1880" t="s">
        <v>1552</v>
      </c>
      <c r="L57" s="1883" t="e">
        <f ca="1">IF(L48&lt;J51,"——",IF(L55="比较法",L49,IF(L55="基准地价",L50,L51)))</f>
        <v>#N/A</v>
      </c>
      <c r="O57" s="1877" t="s">
        <v>1038</v>
      </c>
      <c r="P57" s="1878" t="s">
        <v>1553</v>
      </c>
      <c r="Q57" s="1879" t="e">
        <f ca="1">L60</f>
        <v>#N/A</v>
      </c>
      <c r="R57" s="1879" t="s">
        <v>1554</v>
      </c>
    </row>
    <row r="58" spans="1:18" s="1835" customFormat="1" ht="24.75" thickBot="1">
      <c r="A58" s="357" t="s">
        <v>1027</v>
      </c>
      <c r="B58" s="1171" t="s">
        <v>1419</v>
      </c>
      <c r="C58" s="358" t="e">
        <f ca="1">ROUND(C59+C64+C65+C66,0)</f>
        <v>#N/A</v>
      </c>
      <c r="D58" s="1173" t="s">
        <v>1420</v>
      </c>
      <c r="E58" s="1174"/>
      <c r="F58" s="1175"/>
      <c r="I58" s="1914" t="s">
        <v>1555</v>
      </c>
      <c r="J58" s="1916" t="e">
        <f ca="1">IF(J55&lt;0.4,0.4,J55)</f>
        <v>#N/A</v>
      </c>
      <c r="K58" s="1893" t="s">
        <v>1556</v>
      </c>
      <c r="L58" s="1883" t="e">
        <f ca="1">ROUND(POWER(1+L52,L47-L48)*(POWER(1+L52,L48)-1)/(POWER(1+L52,L47)-1),4)</f>
        <v>#N/A</v>
      </c>
      <c r="O58" s="1887" t="s">
        <v>1039</v>
      </c>
      <c r="P58" s="1878" t="s">
        <v>1557</v>
      </c>
      <c r="Q58" s="1879">
        <f>IF(L55="比较法",L49,IF(L55="基准地价",L50,0))</f>
        <v>0</v>
      </c>
      <c r="R58" s="1879" t="s">
        <v>1524</v>
      </c>
    </row>
    <row r="59" spans="1:18" s="1835" customFormat="1" ht="24.75" thickBot="1">
      <c r="A59" s="1195" t="s">
        <v>1032</v>
      </c>
      <c r="B59" s="1163" t="s">
        <v>1424</v>
      </c>
      <c r="C59" s="24" t="e">
        <f ca="1">ROUND(IF(项目基本情况!B11="自然人",C48*F59,C60+C61+C62),1)</f>
        <v>#N/A</v>
      </c>
      <c r="D59" s="1176" t="s">
        <v>1425</v>
      </c>
      <c r="E59" s="1177" t="s">
        <v>1426</v>
      </c>
      <c r="F59" s="365" t="str">
        <f ca="1">IF(项目基本情况!B11="企业","",IF(INDIRECT("'数据-取费表'!c"&amp;$G$1)="住宅",5%,IF(F49*F50*F51/12/(1+'数据-取费表'!C42)&gt;20000,12%,7%)))</f>
        <v/>
      </c>
      <c r="I59" s="1914" t="s">
        <v>1558</v>
      </c>
      <c r="J59" s="1915"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1559</v>
      </c>
      <c r="Q59" s="1890">
        <f>L52</f>
        <v>0</v>
      </c>
      <c r="R59" s="1879"/>
    </row>
    <row r="60" spans="1:18" s="1835" customFormat="1" ht="16.5" thickBot="1">
      <c r="A60" s="1195" t="s">
        <v>1031</v>
      </c>
      <c r="B60" s="1163" t="s">
        <v>1428</v>
      </c>
      <c r="C60" s="24" t="e">
        <f ca="1">IF(项目基本情况!B11="自然人","——",ROUND(C48*F60/(1+'数据-取费表'!C42),2))</f>
        <v>#N/A</v>
      </c>
      <c r="D60" s="1177" t="s">
        <v>1429</v>
      </c>
      <c r="E60" s="1163" t="s">
        <v>1417</v>
      </c>
      <c r="F60" s="374">
        <f t="shared" ref="F60:F66" si="0">F32</f>
        <v>5.6000000000000001E-2</v>
      </c>
      <c r="I60" s="1917" t="s">
        <v>1560</v>
      </c>
      <c r="J60" s="1918" t="e">
        <f ca="1">IF(OR(M47="住宅",J51&lt;L48,J56="是"),"0",ROUND(J59/(1+J52)^J53,0))</f>
        <v>#N/A</v>
      </c>
      <c r="K60" s="1919" t="s">
        <v>1561</v>
      </c>
      <c r="L60" s="1918" t="e">
        <f ca="1">IF(OR(M47="住宅",L48&lt;J51),0,ROUND(L57*(L58/L59-1),0))</f>
        <v>#N/A</v>
      </c>
      <c r="O60" s="1887" t="s">
        <v>1041</v>
      </c>
      <c r="P60" s="1878" t="s">
        <v>1562</v>
      </c>
      <c r="Q60" s="1879" t="e">
        <f ca="1">L58</f>
        <v>#N/A</v>
      </c>
      <c r="R60" s="1879" t="s">
        <v>1563</v>
      </c>
    </row>
    <row r="61" spans="1:18" s="1835" customFormat="1" ht="13.5" thickBot="1">
      <c r="A61" s="1195" t="s">
        <v>1487</v>
      </c>
      <c r="B61" s="1163" t="s">
        <v>1488</v>
      </c>
      <c r="C61" s="24" t="e">
        <f ca="1">IF(项目基本情况!B11="自然人","——",IF(D61="按租金收入计税",ROUND(C48*F61,2),IF(D61="按房产原值计税",ROUND(C57*F61*0.7,2),INDIRECT("'数据-取费表'!Aj"&amp;$G$1))))</f>
        <v>#N/A</v>
      </c>
      <c r="D61" s="1821" t="s">
        <v>1433</v>
      </c>
      <c r="E61" s="1163" t="s">
        <v>1489</v>
      </c>
      <c r="F61" s="364">
        <f t="shared" si="0"/>
        <v>0.12</v>
      </c>
      <c r="I61" s="1920"/>
      <c r="J61" s="1920"/>
      <c r="K61" s="1920"/>
      <c r="L61" s="1920"/>
      <c r="O61" s="1887" t="s">
        <v>1042</v>
      </c>
      <c r="P61" s="1878" t="str">
        <f>K59</f>
        <v>续建工期及建筑物耐用年限下的土地年期修正系数Kn</v>
      </c>
      <c r="Q61" s="1879" t="e">
        <f ca="1">L59</f>
        <v>#N/A</v>
      </c>
      <c r="R61" s="1879" t="s">
        <v>1564</v>
      </c>
    </row>
    <row r="62" spans="1:18" s="1835" customFormat="1" ht="13.5" thickBot="1">
      <c r="A62" s="1195" t="s">
        <v>1490</v>
      </c>
      <c r="B62" s="1162" t="s">
        <v>1491</v>
      </c>
      <c r="C62" s="25" t="e">
        <f ca="1">IF(项目基本情况!B11="自然人","——",ROUND(F62*F63/10000,2))</f>
        <v>#N/A</v>
      </c>
      <c r="D62" s="1178" t="s">
        <v>1492</v>
      </c>
      <c r="E62" s="1163" t="s">
        <v>1493</v>
      </c>
      <c r="F62" s="368">
        <f t="shared" si="0"/>
        <v>5</v>
      </c>
      <c r="I62" s="1921" t="s">
        <v>1565</v>
      </c>
      <c r="J62" s="1922" t="s">
        <v>1566</v>
      </c>
      <c r="K62" s="1922" t="s">
        <v>1567</v>
      </c>
      <c r="L62" s="1922" t="s">
        <v>1568</v>
      </c>
      <c r="M62" s="1923" t="s">
        <v>1569</v>
      </c>
      <c r="O62" s="1877" t="s">
        <v>1043</v>
      </c>
      <c r="P62" s="1878" t="s">
        <v>1570</v>
      </c>
      <c r="Q62" s="1879" t="e">
        <f ca="1">Q56+Q57</f>
        <v>#N/A</v>
      </c>
      <c r="R62" s="1879" t="s">
        <v>1044</v>
      </c>
    </row>
    <row r="63" spans="1:18" s="1835" customFormat="1" ht="13.5" thickBot="1">
      <c r="A63" s="369"/>
      <c r="B63" s="1169"/>
      <c r="C63" s="29"/>
      <c r="D63" s="1179"/>
      <c r="E63" s="1163" t="s">
        <v>1494</v>
      </c>
      <c r="F63" s="345" t="e">
        <f t="shared" ca="1" si="0"/>
        <v>#N/A</v>
      </c>
      <c r="I63" s="1921" t="s">
        <v>1571</v>
      </c>
      <c r="J63" s="1922">
        <v>70</v>
      </c>
      <c r="K63" s="1922">
        <v>50</v>
      </c>
      <c r="L63" s="1922">
        <v>80</v>
      </c>
      <c r="M63" s="1924">
        <v>0.02</v>
      </c>
      <c r="O63" s="1862" t="s">
        <v>1572</v>
      </c>
      <c r="P63" s="1832"/>
      <c r="Q63" s="1832"/>
      <c r="R63" s="1832"/>
    </row>
    <row r="64" spans="1:18" s="1835" customFormat="1" ht="13.5" thickBot="1">
      <c r="A64" s="1195" t="s">
        <v>1495</v>
      </c>
      <c r="B64" s="1163" t="s">
        <v>1496</v>
      </c>
      <c r="C64" s="24" t="e">
        <f ca="1">ROUND(C57*F64,1)</f>
        <v>#N/A</v>
      </c>
      <c r="D64" s="1177" t="s">
        <v>1497</v>
      </c>
      <c r="E64" s="1163" t="s">
        <v>1489</v>
      </c>
      <c r="F64" s="371" t="e">
        <f t="shared" ca="1" si="0"/>
        <v>#N/A</v>
      </c>
      <c r="I64" s="1921" t="s">
        <v>1573</v>
      </c>
      <c r="J64" s="1922">
        <v>50</v>
      </c>
      <c r="K64" s="1922">
        <v>35</v>
      </c>
      <c r="L64" s="1922">
        <v>60</v>
      </c>
      <c r="M64" s="1923">
        <v>0</v>
      </c>
      <c r="O64" s="1870" t="s">
        <v>1517</v>
      </c>
      <c r="P64" s="1871" t="s">
        <v>1518</v>
      </c>
      <c r="Q64" s="1872" t="s">
        <v>1519</v>
      </c>
      <c r="R64" s="1872" t="s">
        <v>1520</v>
      </c>
    </row>
    <row r="65" spans="1:18" s="1835" customFormat="1" ht="13.5" thickBot="1">
      <c r="A65" s="1195" t="s">
        <v>1498</v>
      </c>
      <c r="B65" s="1163" t="s">
        <v>1448</v>
      </c>
      <c r="C65" s="24" t="e">
        <f ca="1">ROUND(C56*F65,1)</f>
        <v>#N/A</v>
      </c>
      <c r="D65" s="1177" t="s">
        <v>1449</v>
      </c>
      <c r="E65" s="1163" t="s">
        <v>1450</v>
      </c>
      <c r="F65" s="373" t="e">
        <f t="shared" ca="1" si="0"/>
        <v>#N/A</v>
      </c>
      <c r="I65" s="1921" t="s">
        <v>1574</v>
      </c>
      <c r="J65" s="1922">
        <v>40</v>
      </c>
      <c r="K65" s="1922">
        <v>30</v>
      </c>
      <c r="L65" s="1922">
        <v>50</v>
      </c>
      <c r="M65" s="1924">
        <v>0.02</v>
      </c>
      <c r="O65" s="1877" t="s">
        <v>1037</v>
      </c>
      <c r="P65" s="1878" t="s">
        <v>1575</v>
      </c>
      <c r="Q65" s="1879" t="e">
        <f ca="1">C40+J29</f>
        <v>#N/A</v>
      </c>
      <c r="R65" s="1879" t="s">
        <v>1524</v>
      </c>
    </row>
    <row r="66" spans="1:18" s="1835" customFormat="1" ht="16.5" thickBot="1">
      <c r="A66" s="1195" t="s">
        <v>1499</v>
      </c>
      <c r="B66" s="1163" t="s">
        <v>1434</v>
      </c>
      <c r="C66" s="24" t="e">
        <f ca="1">ROUND(C48*F66,1)</f>
        <v>#N/A</v>
      </c>
      <c r="D66" s="1177" t="s">
        <v>1500</v>
      </c>
      <c r="E66" s="1163" t="s">
        <v>1417</v>
      </c>
      <c r="F66" s="354" t="e">
        <f t="shared" ca="1" si="0"/>
        <v>#N/A</v>
      </c>
      <c r="O66" s="1877" t="s">
        <v>1038</v>
      </c>
      <c r="P66" s="1878" t="s">
        <v>1553</v>
      </c>
      <c r="Q66" s="1879" t="e">
        <f ca="1">L60</f>
        <v>#N/A</v>
      </c>
      <c r="R66" s="1879" t="s">
        <v>1576</v>
      </c>
    </row>
    <row r="67" spans="1:18" s="1835" customFormat="1" ht="16.5" thickBot="1">
      <c r="A67" s="1170" t="s">
        <v>1028</v>
      </c>
      <c r="B67" s="1180" t="s">
        <v>1458</v>
      </c>
      <c r="C67" s="358" t="e">
        <f ca="1">C48-C58</f>
        <v>#N/A</v>
      </c>
      <c r="D67" s="1176" t="s">
        <v>1459</v>
      </c>
      <c r="E67" s="1181"/>
      <c r="F67" s="1182"/>
      <c r="O67" s="1887" t="s">
        <v>1039</v>
      </c>
      <c r="P67" s="1878" t="s">
        <v>1557</v>
      </c>
      <c r="Q67" s="1925" t="e">
        <f ca="1">L51</f>
        <v>#N/A</v>
      </c>
      <c r="R67" s="1879" t="s">
        <v>1577</v>
      </c>
    </row>
    <row r="68" spans="1:18" s="1835" customFormat="1" ht="16.5" thickBot="1">
      <c r="A68" s="1160" t="s">
        <v>1029</v>
      </c>
      <c r="B68" s="1161" t="s">
        <v>1480</v>
      </c>
      <c r="C68" s="343" t="e">
        <f ca="1">ROUND(C67*(1-((1+F70)/(1+F68))^F69)/(F68-F70),0)</f>
        <v>#N/A</v>
      </c>
      <c r="D68" s="1178" t="s">
        <v>1464</v>
      </c>
      <c r="E68" s="1163" t="s">
        <v>1465</v>
      </c>
      <c r="F68" s="354" t="e">
        <f ca="1">F40</f>
        <v>#N/A</v>
      </c>
      <c r="O68" s="1887" t="s">
        <v>1040</v>
      </c>
      <c r="P68" s="1926" t="s">
        <v>1578</v>
      </c>
      <c r="Q68" s="1879" t="e">
        <f ca="1">ROUND(Q69-Q70*Q71,0)</f>
        <v>#N/A</v>
      </c>
      <c r="R68" s="1879" t="s">
        <v>1048</v>
      </c>
    </row>
    <row r="69" spans="1:18" s="1835" customFormat="1" ht="13.5" thickBot="1">
      <c r="A69" s="1164"/>
      <c r="B69" s="1165"/>
      <c r="C69" s="348"/>
      <c r="D69" s="1183" t="s">
        <v>1468</v>
      </c>
      <c r="E69" s="1163" t="s">
        <v>1469</v>
      </c>
      <c r="F69" s="376" t="e">
        <f ca="1">F41</f>
        <v>#N/A</v>
      </c>
      <c r="O69" s="1887" t="s">
        <v>1045</v>
      </c>
      <c r="P69" s="1926" t="s">
        <v>1579</v>
      </c>
      <c r="Q69" s="1879" t="e">
        <f ca="1">C39</f>
        <v>#N/A</v>
      </c>
      <c r="R69" s="1879" t="s">
        <v>1524</v>
      </c>
    </row>
    <row r="70" spans="1:18" s="1835" customFormat="1" ht="13.5" thickBot="1">
      <c r="A70" s="1167"/>
      <c r="B70" s="1168"/>
      <c r="C70" s="352"/>
      <c r="D70" s="1179"/>
      <c r="E70" s="1163" t="s">
        <v>1472</v>
      </c>
      <c r="F70" s="1269"/>
      <c r="O70" s="1887" t="s">
        <v>1046</v>
      </c>
      <c r="P70" s="1926" t="s">
        <v>1580</v>
      </c>
      <c r="Q70" s="1879" t="e">
        <f ca="1">C13</f>
        <v>#N/A</v>
      </c>
      <c r="R70" s="1879" t="s">
        <v>1524</v>
      </c>
    </row>
    <row r="71" spans="1:18" s="1835" customFormat="1" ht="13.5" thickBot="1">
      <c r="A71" s="1184" t="s">
        <v>1030</v>
      </c>
      <c r="B71" s="1185" t="s">
        <v>1482</v>
      </c>
      <c r="C71" s="379" t="e">
        <f ca="1">ROUND(C68*10000/F71,0)</f>
        <v>#N/A</v>
      </c>
      <c r="D71" s="1186" t="s">
        <v>1483</v>
      </c>
      <c r="E71" s="1187" t="s">
        <v>1484</v>
      </c>
      <c r="F71" s="382" t="e">
        <f ca="1">F43</f>
        <v>#N/A</v>
      </c>
      <c r="O71" s="1887" t="s">
        <v>1047</v>
      </c>
      <c r="P71" s="1926" t="s">
        <v>1581</v>
      </c>
      <c r="Q71" s="1890" t="e">
        <f ca="1">C76</f>
        <v>#N/A</v>
      </c>
      <c r="R71" s="1879"/>
    </row>
    <row r="72" spans="1:18" s="1835" customFormat="1" ht="13.5" thickBot="1">
      <c r="B72" s="792"/>
      <c r="C72" s="792"/>
      <c r="O72" s="1887" t="s">
        <v>1041</v>
      </c>
      <c r="P72" s="1878" t="s">
        <v>1559</v>
      </c>
      <c r="Q72" s="1890">
        <f>L52</f>
        <v>0</v>
      </c>
      <c r="R72" s="1879"/>
    </row>
    <row r="73" spans="1:18" ht="16.5" thickBot="1">
      <c r="A73" s="1835"/>
      <c r="B73" s="792"/>
      <c r="C73" s="792"/>
      <c r="D73" s="1835"/>
      <c r="E73" s="1835"/>
      <c r="F73" s="1835"/>
      <c r="O73" s="1887" t="s">
        <v>1042</v>
      </c>
      <c r="P73" s="1878" t="s">
        <v>1562</v>
      </c>
      <c r="Q73" s="1879" t="e">
        <f ca="1">L58</f>
        <v>#N/A</v>
      </c>
      <c r="R73" s="1879" t="s">
        <v>1563</v>
      </c>
    </row>
    <row r="74" spans="1:18" ht="13.5" thickBot="1">
      <c r="A74" s="1835"/>
      <c r="B74" s="314" t="s">
        <v>1582</v>
      </c>
      <c r="C74" s="1928"/>
      <c r="D74" s="1835"/>
      <c r="E74" s="1835"/>
      <c r="F74" s="1835"/>
      <c r="O74" s="1887" t="s">
        <v>1049</v>
      </c>
      <c r="P74" s="1878" t="str">
        <f>K59</f>
        <v>续建工期及建筑物耐用年限下的土地年期修正系数Kn</v>
      </c>
      <c r="Q74" s="1879" t="e">
        <f ca="1">L59</f>
        <v>#N/A</v>
      </c>
      <c r="R74" s="1879" t="s">
        <v>1564</v>
      </c>
    </row>
    <row r="75" spans="1:18" ht="13.5" thickBot="1">
      <c r="A75" s="1835"/>
      <c r="B75" s="383" t="s">
        <v>1501</v>
      </c>
      <c r="C75" s="384" t="e">
        <f ca="1">ROUND(C13*C76,0)</f>
        <v>#N/A</v>
      </c>
      <c r="D75" s="1835"/>
      <c r="E75" s="1835"/>
      <c r="F75" s="1835"/>
      <c r="K75" s="1861"/>
      <c r="L75" s="1835"/>
      <c r="O75" s="1877" t="s">
        <v>1043</v>
      </c>
      <c r="P75" s="1878" t="s">
        <v>1544</v>
      </c>
      <c r="Q75" s="1879" t="e">
        <f ca="1">Q65+Q66</f>
        <v>#N/A</v>
      </c>
      <c r="R75" s="1879" t="s">
        <v>1044</v>
      </c>
    </row>
    <row r="76" spans="1:18">
      <c r="B76" s="385" t="s">
        <v>1502</v>
      </c>
      <c r="C76" s="386" t="e">
        <f ca="1">INDIRECT("'数据-取费表'!j"&amp;$G$1)</f>
        <v>#N/A</v>
      </c>
      <c r="I76" s="1835"/>
      <c r="J76" s="1835"/>
      <c r="K76" s="1861"/>
      <c r="L76" s="1835"/>
    </row>
    <row r="77" spans="1:18">
      <c r="B77" s="387" t="s">
        <v>1503</v>
      </c>
      <c r="C77" s="388"/>
      <c r="I77" s="1835"/>
      <c r="J77" s="1835"/>
      <c r="K77" s="1861"/>
      <c r="L77" s="1835"/>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44" sqref="F44"/>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625" style="299" customWidth="1"/>
    <col min="6" max="6" width="10.625" style="299" customWidth="1"/>
    <col min="7" max="7" width="4.875" style="299" customWidth="1"/>
    <col min="8" max="8" width="8.5" style="299" customWidth="1"/>
    <col min="9" max="9" width="21.125" style="299" customWidth="1"/>
    <col min="10" max="10" width="12.125" style="299" customWidth="1"/>
    <col min="11" max="11" width="40.125" style="1927" customWidth="1"/>
    <col min="12" max="12" width="16.375" style="299" customWidth="1"/>
    <col min="13" max="13" width="13" style="299" customWidth="1"/>
    <col min="14" max="14" width="13.625" style="1835" customWidth="1"/>
    <col min="15" max="15" width="5.125" style="1835" customWidth="1"/>
    <col min="16" max="16" width="25.625" style="1835" customWidth="1"/>
    <col min="17" max="17" width="13.625" style="1835" customWidth="1"/>
    <col min="18" max="18" width="20.5" style="1835" customWidth="1"/>
    <col min="19" max="19" width="13.125" style="1835" customWidth="1"/>
    <col min="20" max="37" width="9" style="1835"/>
    <col min="38" max="16384" width="9" style="299"/>
  </cols>
  <sheetData>
    <row r="1" spans="1:37" s="334" customFormat="1" ht="21">
      <c r="A1" s="1826" t="s">
        <v>1584</v>
      </c>
      <c r="B1" s="778"/>
      <c r="C1" s="1830"/>
      <c r="D1" s="1813"/>
      <c r="E1" s="1814" t="s">
        <v>1382</v>
      </c>
      <c r="F1" s="1277">
        <f ca="1">J53</f>
        <v>-4</v>
      </c>
      <c r="G1" s="1829">
        <f>MATCH(C1,'数据-取费表'!A6:A16,0)+5</f>
        <v>11</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1585</v>
      </c>
      <c r="B2" s="1837" t="e">
        <f ca="1">ROUND(D2/10000,0)</f>
        <v>#DIV/0!</v>
      </c>
      <c r="C2" s="1838" t="s">
        <v>1586</v>
      </c>
      <c r="D2" s="1930" t="e">
        <f ca="1">C40+J29+L46</f>
        <v>#DIV/0!</v>
      </c>
      <c r="E2" s="1839" t="s">
        <v>1587</v>
      </c>
      <c r="F2" s="1840"/>
      <c r="G2" s="1841"/>
      <c r="H2" s="1833"/>
      <c r="I2" s="1833"/>
      <c r="J2" s="1833"/>
      <c r="K2" s="1834"/>
      <c r="L2" s="1833"/>
      <c r="M2" s="1833"/>
    </row>
    <row r="3" spans="1:37" ht="18" customHeight="1" thickBot="1">
      <c r="A3" s="1842" t="s">
        <v>1588</v>
      </c>
      <c r="B3" s="1843">
        <f ca="1">IF(ISERROR(D2/F43),0,ROUND(D2/F43,0))</f>
        <v>0</v>
      </c>
      <c r="C3" s="1838" t="s">
        <v>1589</v>
      </c>
      <c r="D3" s="1838"/>
      <c r="E3" s="1839"/>
      <c r="F3" s="1840"/>
      <c r="G3" s="1841"/>
      <c r="H3" s="740" t="s">
        <v>1583</v>
      </c>
      <c r="I3" s="1833"/>
      <c r="J3" s="1833"/>
      <c r="K3" s="1834"/>
      <c r="L3" s="1833"/>
      <c r="M3" s="1833"/>
    </row>
    <row r="4" spans="1:37" ht="18" customHeight="1">
      <c r="A4" s="337" t="s">
        <v>1590</v>
      </c>
      <c r="B4" s="338" t="s">
        <v>1591</v>
      </c>
      <c r="C4" s="338" t="s">
        <v>1592</v>
      </c>
      <c r="D4" s="338" t="s">
        <v>1593</v>
      </c>
      <c r="E4" s="339" t="s">
        <v>1594</v>
      </c>
      <c r="F4" s="340"/>
      <c r="G4" s="1844"/>
      <c r="H4" s="337" t="s">
        <v>1590</v>
      </c>
      <c r="I4" s="338" t="s">
        <v>1591</v>
      </c>
      <c r="J4" s="338" t="s">
        <v>1592</v>
      </c>
      <c r="K4" s="338" t="s">
        <v>1593</v>
      </c>
      <c r="L4" s="339" t="s">
        <v>1594</v>
      </c>
      <c r="M4" s="340"/>
    </row>
    <row r="5" spans="1:37" ht="18" customHeight="1">
      <c r="A5" s="341">
        <v>1</v>
      </c>
      <c r="B5" s="342" t="s">
        <v>1595</v>
      </c>
      <c r="C5" s="1286">
        <f ca="1">C6+C10+C12</f>
        <v>0</v>
      </c>
      <c r="D5" s="1815" t="s">
        <v>1596</v>
      </c>
      <c r="E5" s="1287"/>
      <c r="F5" s="1288"/>
      <c r="G5" s="1844"/>
      <c r="H5" s="341">
        <v>1</v>
      </c>
      <c r="I5" s="342" t="s">
        <v>1595</v>
      </c>
      <c r="J5" s="1286">
        <f ca="1">J6+J10+J12</f>
        <v>0</v>
      </c>
      <c r="K5" s="1815" t="s">
        <v>1596</v>
      </c>
      <c r="L5" s="1287"/>
      <c r="M5" s="1288"/>
    </row>
    <row r="6" spans="1:37" ht="18" customHeight="1">
      <c r="A6" s="1285" t="s">
        <v>1032</v>
      </c>
      <c r="B6" s="3313" t="s">
        <v>1398</v>
      </c>
      <c r="C6" s="1290">
        <f ca="1">ROUND(F6*F8*F7*(1-F9),0)</f>
        <v>0</v>
      </c>
      <c r="D6" s="161" t="s">
        <v>3018</v>
      </c>
      <c r="E6" s="344" t="s">
        <v>1400</v>
      </c>
      <c r="F6" s="345">
        <f ca="1">INDIRECT("'数据-取费表'!u"&amp;$G$1)</f>
        <v>0</v>
      </c>
      <c r="G6" s="1844"/>
      <c r="H6" s="1285" t="s">
        <v>1032</v>
      </c>
      <c r="I6" s="3313" t="s">
        <v>1398</v>
      </c>
      <c r="J6" s="343">
        <f ca="1">ROUND(M6*M8*M7*(1-M9),0)</f>
        <v>0</v>
      </c>
      <c r="K6" s="1827" t="s">
        <v>3019</v>
      </c>
      <c r="L6" s="344" t="s">
        <v>1400</v>
      </c>
      <c r="M6" s="345">
        <f ca="1">INDIRECT("'数据-取费表'!z"&amp;$G$1)</f>
        <v>0</v>
      </c>
    </row>
    <row r="7" spans="1:37" ht="18" customHeight="1">
      <c r="A7" s="1289"/>
      <c r="B7" s="3314"/>
      <c r="C7" s="1291"/>
      <c r="D7" s="349"/>
      <c r="E7" s="1292" t="s">
        <v>1401</v>
      </c>
      <c r="F7" s="345">
        <f ca="1">IF(INDIRECT("'数据-取费表'!ah"&amp;$G$1)="",INDIRECT("'数据-取费表'!k"&amp;$G$1),INDIRECT("'数据-取费表'!ah"&amp;$G$1))</f>
        <v>0</v>
      </c>
      <c r="G7" s="1844"/>
      <c r="H7" s="346"/>
      <c r="I7" s="3314"/>
      <c r="J7" s="348"/>
      <c r="K7" s="349"/>
      <c r="L7" s="344" t="s">
        <v>1401</v>
      </c>
      <c r="M7" s="345">
        <f ca="1">F7</f>
        <v>0</v>
      </c>
    </row>
    <row r="8" spans="1:37" ht="18" customHeight="1">
      <c r="A8" s="346"/>
      <c r="B8" s="3314"/>
      <c r="C8" s="348"/>
      <c r="D8" s="349"/>
      <c r="E8" s="344" t="s">
        <v>1402</v>
      </c>
      <c r="F8" s="345">
        <f ca="1">INDIRECT("'数据-取费表'!ai"&amp;$G$1)</f>
        <v>0</v>
      </c>
      <c r="G8" s="1844"/>
      <c r="H8" s="346"/>
      <c r="I8" s="3314"/>
      <c r="J8" s="348"/>
      <c r="K8" s="349"/>
      <c r="L8" s="344" t="s">
        <v>1402</v>
      </c>
      <c r="M8" s="345">
        <f ca="1">INDIRECT("'数据-取费表'!ai"&amp;$G$1)</f>
        <v>0</v>
      </c>
    </row>
    <row r="9" spans="1:37" ht="18" customHeight="1">
      <c r="A9" s="346"/>
      <c r="B9" s="3315"/>
      <c r="C9" s="348"/>
      <c r="D9" s="349"/>
      <c r="E9" s="344" t="s">
        <v>1403</v>
      </c>
      <c r="F9" s="354">
        <f ca="1">INDIRECT("'数据-取费表'!w"&amp;$G$1)</f>
        <v>0</v>
      </c>
      <c r="G9" s="1844"/>
      <c r="H9" s="346"/>
      <c r="I9" s="3315"/>
      <c r="J9" s="348"/>
      <c r="K9" s="349"/>
      <c r="L9" s="355" t="s">
        <v>1403</v>
      </c>
      <c r="M9" s="356">
        <f ca="1">INDIRECT("'数据-取费表'!ab"&amp;$G$1)</f>
        <v>0</v>
      </c>
    </row>
    <row r="10" spans="1:37" ht="18" customHeight="1">
      <c r="A10" s="1285" t="s">
        <v>1036</v>
      </c>
      <c r="B10" s="1816" t="s">
        <v>1404</v>
      </c>
      <c r="C10" s="358">
        <f ca="1">ROUND(IF(F10="押一",C6/12*F11,IF(F10="押二",C6/12*2*F11,IF(F10="押三",C6/12*3*F11,C11*F11))),0)</f>
        <v>0</v>
      </c>
      <c r="D10" s="1817" t="s">
        <v>3029</v>
      </c>
      <c r="E10" s="355" t="s">
        <v>1405</v>
      </c>
      <c r="F10" s="1360"/>
      <c r="G10" s="1844"/>
      <c r="H10" s="1285" t="s">
        <v>1036</v>
      </c>
      <c r="I10" s="1816" t="s">
        <v>1404</v>
      </c>
      <c r="J10" s="343">
        <f ca="1">ROUND(IF(M10="押一",J6/12*M11,IF(M10="押二",J6/12*2*M11,IF(M10="押三",J6/12*3*M11,J11*M11))),0)</f>
        <v>0</v>
      </c>
      <c r="K10" s="1828" t="s">
        <v>3031</v>
      </c>
      <c r="L10" s="355" t="s">
        <v>1405</v>
      </c>
      <c r="M10" s="1360"/>
    </row>
    <row r="11" spans="1:37" ht="18" customHeight="1">
      <c r="A11" s="350"/>
      <c r="B11" s="1818" t="s">
        <v>1597</v>
      </c>
      <c r="C11" s="1172"/>
      <c r="D11" s="349"/>
      <c r="E11" s="355" t="s">
        <v>1407</v>
      </c>
      <c r="F11" s="356">
        <f ca="1">'数据-取费表'!B39</f>
        <v>1.4999999999999999E-2</v>
      </c>
      <c r="G11" s="1844"/>
      <c r="H11" s="1293"/>
      <c r="I11" s="1818" t="s">
        <v>1598</v>
      </c>
      <c r="J11" s="1172"/>
      <c r="K11" s="744"/>
      <c r="L11" s="355" t="s">
        <v>1407</v>
      </c>
      <c r="M11" s="1050">
        <f ca="1">'数据-取费表'!B39</f>
        <v>1.4999999999999999E-2</v>
      </c>
    </row>
    <row r="12" spans="1:37" ht="18" customHeight="1" thickBot="1">
      <c r="A12" s="1327" t="s">
        <v>1072</v>
      </c>
      <c r="B12" s="1820" t="s">
        <v>1408</v>
      </c>
      <c r="C12" s="1328"/>
      <c r="D12" s="1329"/>
      <c r="E12" s="1334"/>
      <c r="F12" s="1330"/>
      <c r="G12" s="1844"/>
      <c r="H12" s="1327" t="s">
        <v>1072</v>
      </c>
      <c r="I12" s="1820" t="s">
        <v>1408</v>
      </c>
      <c r="J12" s="1328"/>
      <c r="K12" s="1342"/>
      <c r="L12" s="1334"/>
      <c r="M12" s="1343"/>
    </row>
    <row r="13" spans="1:37" ht="18" customHeight="1" thickTop="1">
      <c r="A13" s="1323">
        <v>2</v>
      </c>
      <c r="B13" s="1324" t="s">
        <v>1409</v>
      </c>
      <c r="C13" s="352">
        <f ca="1">ROUND(C29*F13,0)</f>
        <v>0</v>
      </c>
      <c r="D13" s="1325" t="s">
        <v>1410</v>
      </c>
      <c r="E13" s="1325" t="s">
        <v>1411</v>
      </c>
      <c r="F13" s="1326">
        <f ca="1">INDIRECT("'数据-取费表'!y"&amp;$G$1)</f>
        <v>0</v>
      </c>
      <c r="G13" s="1844"/>
      <c r="H13" s="1323">
        <v>2</v>
      </c>
      <c r="I13" s="1324" t="s">
        <v>1409</v>
      </c>
      <c r="J13" s="1284">
        <f ca="1">ROUND(J14*J15,0)</f>
        <v>0</v>
      </c>
      <c r="K13" s="1331" t="s">
        <v>1410</v>
      </c>
      <c r="L13" s="1845"/>
      <c r="M13" s="1846"/>
    </row>
    <row r="14" spans="1:37" ht="18" customHeight="1">
      <c r="A14" s="1195" t="s">
        <v>1031</v>
      </c>
      <c r="B14" s="344" t="s">
        <v>1412</v>
      </c>
      <c r="C14" s="360">
        <f ca="1">ROUND(INDIRECT("'数据-取费表'!l"&amp;$G$1)*F43+'数据-取费表'!L14*INDIRECT("'数据-取费表'!S"&amp;$G$1),0)</f>
        <v>0</v>
      </c>
      <c r="D14" s="1793" t="s">
        <v>1413</v>
      </c>
      <c r="E14" s="1787"/>
      <c r="F14" s="361"/>
      <c r="G14" s="1844"/>
      <c r="H14" s="1195" t="s">
        <v>1032</v>
      </c>
      <c r="I14" s="344" t="s">
        <v>1414</v>
      </c>
      <c r="J14" s="24">
        <f ca="1">C29</f>
        <v>0</v>
      </c>
      <c r="K14" s="15"/>
      <c r="L14" s="974"/>
      <c r="M14" s="975"/>
    </row>
    <row r="15" spans="1:37" s="1851" customFormat="1" ht="18" customHeight="1" thickBot="1">
      <c r="A15" s="1195" t="s">
        <v>1033</v>
      </c>
      <c r="B15" s="344" t="s">
        <v>1415</v>
      </c>
      <c r="C15" s="24">
        <f ca="1">ROUND(C14*F15,0)</f>
        <v>0</v>
      </c>
      <c r="D15" s="362" t="s">
        <v>1416</v>
      </c>
      <c r="E15" s="362" t="s">
        <v>1417</v>
      </c>
      <c r="F15" s="363">
        <f>'数据-取费表'!B33</f>
        <v>0.03</v>
      </c>
      <c r="G15" s="1847"/>
      <c r="H15" s="1333" t="s">
        <v>1036</v>
      </c>
      <c r="I15" s="1334" t="s">
        <v>1411</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1384</v>
      </c>
      <c r="B16" s="344" t="s">
        <v>1418</v>
      </c>
      <c r="C16" s="24">
        <f ca="1">ROUND(INDIRECT("'数据-取费表'!l"&amp;$G$1)*F43*F16,0)</f>
        <v>0</v>
      </c>
      <c r="D16" s="344" t="s">
        <v>1416</v>
      </c>
      <c r="E16" s="344" t="s">
        <v>1417</v>
      </c>
      <c r="F16" s="364">
        <f ca="1">IF(INDIRECT("'数据-取费表'!c"&amp;$G$1)="住宅",'数据-取费表'!B34,0)</f>
        <v>0</v>
      </c>
      <c r="G16" s="1844"/>
      <c r="H16" s="1323" t="s">
        <v>1027</v>
      </c>
      <c r="I16" s="1324" t="s">
        <v>1419</v>
      </c>
      <c r="J16" s="352">
        <f ca="1">ROUND(J17+J22+J23+J24,0)</f>
        <v>0</v>
      </c>
      <c r="K16" s="1331" t="s">
        <v>1420</v>
      </c>
      <c r="L16" s="1332"/>
      <c r="M16" s="1288"/>
    </row>
    <row r="17" spans="1:37" s="1851" customFormat="1" ht="18" customHeight="1">
      <c r="A17" s="1195" t="s">
        <v>1385</v>
      </c>
      <c r="B17" s="344" t="s">
        <v>1421</v>
      </c>
      <c r="C17" s="24">
        <f ca="1">ROUND(F17*(F43+INDIRECT("'数据-取费表'!S"&amp;$G$1)),0)</f>
        <v>0</v>
      </c>
      <c r="D17" s="344" t="s">
        <v>1422</v>
      </c>
      <c r="E17" s="344" t="s">
        <v>1423</v>
      </c>
      <c r="F17" s="26">
        <f>'数据-取费表'!B35</f>
        <v>200</v>
      </c>
      <c r="G17" s="1847"/>
      <c r="H17" s="1195" t="s">
        <v>1032</v>
      </c>
      <c r="I17" s="344" t="s">
        <v>1424</v>
      </c>
      <c r="J17" s="24">
        <f ca="1">ROUND(IF(项目基本情况!B11="自然人",J6*M17/(1+'数据-取费表'!C42),J18+J19+J20),0)</f>
        <v>0</v>
      </c>
      <c r="K17" s="1793" t="s">
        <v>1425</v>
      </c>
      <c r="L17" s="1791" t="s">
        <v>1426</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1386</v>
      </c>
      <c r="B18" s="344" t="s">
        <v>1427</v>
      </c>
      <c r="C18" s="24">
        <f ca="1">ROUND(C14*F18,0)</f>
        <v>0</v>
      </c>
      <c r="D18" s="344" t="s">
        <v>1416</v>
      </c>
      <c r="E18" s="344" t="s">
        <v>1417</v>
      </c>
      <c r="F18" s="364">
        <f>'数据-取费表'!B36</f>
        <v>1.4999999999999999E-2</v>
      </c>
      <c r="G18" s="1847"/>
      <c r="H18" s="1195" t="s">
        <v>1031</v>
      </c>
      <c r="I18" s="344" t="s">
        <v>1428</v>
      </c>
      <c r="J18" s="24">
        <f ca="1">ROUND(J6*M18/(1+'数据-取费表'!C42),0)</f>
        <v>0</v>
      </c>
      <c r="K18" s="1791" t="s">
        <v>1429</v>
      </c>
      <c r="L18" s="344" t="s">
        <v>1417</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1032</v>
      </c>
      <c r="B19" s="344" t="s">
        <v>1430</v>
      </c>
      <c r="C19" s="24">
        <f ca="1">SUM(C14:C18)</f>
        <v>0</v>
      </c>
      <c r="D19" s="137" t="s">
        <v>1431</v>
      </c>
      <c r="E19" s="1811"/>
      <c r="F19" s="26"/>
      <c r="G19" s="1844"/>
      <c r="H19" s="1195" t="s">
        <v>1033</v>
      </c>
      <c r="I19" s="344" t="s">
        <v>1432</v>
      </c>
      <c r="J19" s="24">
        <f ca="1">IF(K19="按租金收入计税",ROUND(J6*M19/(1+'数据-取费表'!C42),0),ROUND(C29*M19*0.7,0))</f>
        <v>0</v>
      </c>
      <c r="K19" s="1821" t="s">
        <v>1433</v>
      </c>
      <c r="L19" s="344" t="s">
        <v>1417</v>
      </c>
      <c r="M19" s="364">
        <f>IF(K19="按租金收入计税",'数据-取费表'!B51,'数据-取费表'!B50)</f>
        <v>1.2E-2</v>
      </c>
    </row>
    <row r="20" spans="1:37" s="1851" customFormat="1" ht="18" customHeight="1">
      <c r="A20" s="1195" t="s">
        <v>1036</v>
      </c>
      <c r="B20" s="344" t="s">
        <v>1434</v>
      </c>
      <c r="C20" s="24">
        <f ca="1">ROUND(C19*F20,0)</f>
        <v>0</v>
      </c>
      <c r="D20" s="366" t="s">
        <v>1435</v>
      </c>
      <c r="E20" s="344" t="s">
        <v>1417</v>
      </c>
      <c r="F20" s="364">
        <f>'数据-取费表'!B37</f>
        <v>0.02</v>
      </c>
      <c r="G20" s="1847"/>
      <c r="H20" s="1195" t="s">
        <v>1384</v>
      </c>
      <c r="I20" s="161" t="s">
        <v>1436</v>
      </c>
      <c r="J20" s="25">
        <f ca="1">ROUND(M20*M21,0)</f>
        <v>0</v>
      </c>
      <c r="K20" s="367" t="s">
        <v>1437</v>
      </c>
      <c r="L20" s="344" t="s">
        <v>1438</v>
      </c>
      <c r="M20" s="368">
        <f>'数据-取费表'!B52</f>
        <v>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1072</v>
      </c>
      <c r="B21" s="344" t="s">
        <v>1439</v>
      </c>
      <c r="C21" s="24" t="s">
        <v>1</v>
      </c>
      <c r="D21" s="366" t="s">
        <v>1440</v>
      </c>
      <c r="E21" s="344" t="s">
        <v>1441</v>
      </c>
      <c r="F21" s="364">
        <f>'数据-取费表'!B38</f>
        <v>0.02</v>
      </c>
      <c r="G21" s="1847"/>
      <c r="H21" s="369"/>
      <c r="I21" s="353"/>
      <c r="J21" s="29"/>
      <c r="K21" s="370"/>
      <c r="L21" s="344" t="s">
        <v>1442</v>
      </c>
      <c r="M21" s="345">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1387</v>
      </c>
      <c r="B22" s="344" t="s">
        <v>1443</v>
      </c>
      <c r="C22" s="24"/>
      <c r="D22" s="137" t="str">
        <f>IF(F23&lt;=1,"单利计息。","复利计息。")&amp;"建造成本、管理费用、销售费用产生的利息。"</f>
        <v>复利计息。建造成本、管理费用、销售费用产生的利息。</v>
      </c>
      <c r="E22" s="1811"/>
      <c r="F22" s="26"/>
      <c r="G22" s="1844"/>
      <c r="H22" s="1195" t="s">
        <v>1036</v>
      </c>
      <c r="I22" s="344" t="s">
        <v>1444</v>
      </c>
      <c r="J22" s="24">
        <f ca="1">ROUND(J14*M22,0)</f>
        <v>0</v>
      </c>
      <c r="K22" s="1791" t="s">
        <v>1445</v>
      </c>
      <c r="L22" s="344" t="s">
        <v>1417</v>
      </c>
      <c r="M22" s="371">
        <f ca="1">INDIRECT("'数据-取费表'!Ak"&amp;$G$1)</f>
        <v>0</v>
      </c>
    </row>
    <row r="23" spans="1:37" s="1851" customFormat="1" ht="18" customHeight="1">
      <c r="A23" s="1195" t="s">
        <v>1031</v>
      </c>
      <c r="B23" s="344" t="s">
        <v>1446</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1447</v>
      </c>
      <c r="F23" s="368">
        <f>'数据-取费表'!B20</f>
        <v>4</v>
      </c>
      <c r="G23" s="1847"/>
      <c r="H23" s="1195" t="s">
        <v>1072</v>
      </c>
      <c r="I23" s="344" t="s">
        <v>1448</v>
      </c>
      <c r="J23" s="24">
        <f ca="1">ROUND(J13*M23,0)</f>
        <v>0</v>
      </c>
      <c r="K23" s="1791" t="s">
        <v>1449</v>
      </c>
      <c r="L23" s="344" t="s">
        <v>1450</v>
      </c>
      <c r="M23" s="373">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1451</v>
      </c>
      <c r="B24" s="344" t="s">
        <v>1452</v>
      </c>
      <c r="C24" s="24">
        <f ca="1">ROUND(IF('数据-取费表'!B22&lt;=1,F21*F24*F23/2,F21*(POWER((1+F24),F23/2)-1)),4)</f>
        <v>1.9E-3</v>
      </c>
      <c r="D24" s="372" t="str">
        <f>IF(F23&lt;=1,"销售费用×利率×(建设周期÷2)","销售费用×((1+利率)^(建设周期÷2)-1)")</f>
        <v>销售费用×((1+利率)^(建设周期÷2)-1)</v>
      </c>
      <c r="E24" s="344" t="s">
        <v>1453</v>
      </c>
      <c r="F24" s="374">
        <f ca="1">'数据-取费表'!B40</f>
        <v>4.7500000000000001E-2</v>
      </c>
      <c r="G24" s="1847"/>
      <c r="H24" s="1333" t="s">
        <v>1388</v>
      </c>
      <c r="I24" s="1334" t="s">
        <v>1434</v>
      </c>
      <c r="J24" s="1335">
        <f ca="1">ROUND(J5*M24,0)</f>
        <v>0</v>
      </c>
      <c r="K24" s="1336" t="s">
        <v>1454</v>
      </c>
      <c r="L24" s="1334" t="s">
        <v>1450</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1455</v>
      </c>
      <c r="B25" s="344" t="s">
        <v>1456</v>
      </c>
      <c r="C25" s="24"/>
      <c r="D25" s="137" t="s">
        <v>1457</v>
      </c>
      <c r="E25" s="1811"/>
      <c r="F25" s="26"/>
      <c r="G25" s="1844"/>
      <c r="H25" s="1323" t="s">
        <v>1028</v>
      </c>
      <c r="I25" s="1338" t="s">
        <v>1458</v>
      </c>
      <c r="J25" s="352">
        <f ca="1">J5-J16</f>
        <v>0</v>
      </c>
      <c r="K25" s="1339" t="s">
        <v>1459</v>
      </c>
      <c r="L25" s="1340"/>
      <c r="M25" s="1341"/>
    </row>
    <row r="26" spans="1:37" ht="18" customHeight="1">
      <c r="A26" s="1195" t="s">
        <v>1031</v>
      </c>
      <c r="B26" s="344" t="s">
        <v>1460</v>
      </c>
      <c r="C26" s="24">
        <f ca="1">ROUND((C19+C20)*F26,0)</f>
        <v>0</v>
      </c>
      <c r="D26" s="366" t="s">
        <v>1461</v>
      </c>
      <c r="E26" s="355" t="s">
        <v>1462</v>
      </c>
      <c r="F26" s="354">
        <f ca="1">INDIRECT("'数据-取费表'!q"&amp;$G$1)</f>
        <v>0</v>
      </c>
      <c r="G26" s="1844"/>
      <c r="H26" s="341" t="s">
        <v>1029</v>
      </c>
      <c r="I26" s="342" t="s">
        <v>1463</v>
      </c>
      <c r="J26" s="343">
        <f ca="1">IF(J5&lt;&gt;0,ROUND(J25*(1-((1+M28)/(1+M26))^M27)/(M26-M28),0),0)</f>
        <v>0</v>
      </c>
      <c r="K26" s="367" t="s">
        <v>1464</v>
      </c>
      <c r="L26" s="344" t="s">
        <v>1465</v>
      </c>
      <c r="M26" s="354">
        <f ca="1">INDIRECT("'数据-取费表'!I"&amp;$G$1)</f>
        <v>0</v>
      </c>
    </row>
    <row r="27" spans="1:37" ht="18" customHeight="1">
      <c r="A27" s="1195" t="s">
        <v>1033</v>
      </c>
      <c r="B27" s="344" t="s">
        <v>1466</v>
      </c>
      <c r="C27" s="24">
        <f ca="1">ROUND(F21*F26,4)</f>
        <v>0</v>
      </c>
      <c r="D27" s="366" t="s">
        <v>1467</v>
      </c>
      <c r="E27" s="362"/>
      <c r="F27" s="363"/>
      <c r="G27" s="1844"/>
      <c r="H27" s="346"/>
      <c r="I27" s="347"/>
      <c r="J27" s="348"/>
      <c r="K27" s="375" t="s">
        <v>1468</v>
      </c>
      <c r="L27" s="344" t="s">
        <v>1469</v>
      </c>
      <c r="M27" s="376">
        <f ca="1">INDIRECT("'数据-取费表'!ag"&amp;$G$1)</f>
        <v>0</v>
      </c>
    </row>
    <row r="28" spans="1:37" s="1851" customFormat="1" ht="18" customHeight="1">
      <c r="A28" s="1195" t="s">
        <v>1034</v>
      </c>
      <c r="B28" s="344" t="s">
        <v>1470</v>
      </c>
      <c r="C28" s="24">
        <f>ROUND(F28/(1+'数据-取费表'!C42),4)</f>
        <v>5.33E-2</v>
      </c>
      <c r="D28" s="366" t="s">
        <v>1471</v>
      </c>
      <c r="E28" s="344" t="s">
        <v>1417</v>
      </c>
      <c r="F28" s="364">
        <f>'数据-取费表'!B41</f>
        <v>5.6000000000000001E-2</v>
      </c>
      <c r="G28" s="1847"/>
      <c r="H28" s="350"/>
      <c r="I28" s="351"/>
      <c r="J28" s="352"/>
      <c r="K28" s="370"/>
      <c r="L28" s="344" t="s">
        <v>1472</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1035</v>
      </c>
      <c r="B29" s="1334" t="s">
        <v>1473</v>
      </c>
      <c r="C29" s="1335">
        <f ca="1">ROUND((C19+C20+C23+C26)/(1-F21-C24-C27-C28),0)</f>
        <v>0</v>
      </c>
      <c r="D29" s="1336"/>
      <c r="E29" s="1334"/>
      <c r="F29" s="1337"/>
      <c r="G29" s="1847"/>
      <c r="H29" s="377" t="s">
        <v>1030</v>
      </c>
      <c r="I29" s="378" t="s">
        <v>1474</v>
      </c>
      <c r="J29" s="379">
        <f ca="1">ROUND(J26/(1+F40)^F41,0)</f>
        <v>0</v>
      </c>
      <c r="K29" s="380" t="s">
        <v>1475</v>
      </c>
      <c r="L29" s="381"/>
      <c r="M29" s="382">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1027</v>
      </c>
      <c r="B30" s="1324" t="s">
        <v>1419</v>
      </c>
      <c r="C30" s="352">
        <f ca="1">ROUND(C31+C36+C37+C38,0)</f>
        <v>0</v>
      </c>
      <c r="D30" s="1331" t="s">
        <v>1420</v>
      </c>
      <c r="E30" s="1332"/>
      <c r="F30" s="1288"/>
      <c r="G30" s="1844"/>
      <c r="H30" s="741"/>
      <c r="I30" s="742"/>
      <c r="J30" s="743"/>
      <c r="K30" s="744"/>
      <c r="L30" s="745"/>
      <c r="M30" s="746"/>
    </row>
    <row r="31" spans="1:37" ht="18" customHeight="1">
      <c r="A31" s="1195" t="s">
        <v>1032</v>
      </c>
      <c r="B31" s="344" t="s">
        <v>1424</v>
      </c>
      <c r="C31" s="24">
        <f ca="1">ROUND(IF(项目基本情况!B11="自然人",C6*F31/(1+'数据-取费表'!C42),C32+C33+C34),0)</f>
        <v>0</v>
      </c>
      <c r="D31" s="1793" t="s">
        <v>1425</v>
      </c>
      <c r="E31" s="1791" t="s">
        <v>1476</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1031</v>
      </c>
      <c r="B32" s="344" t="s">
        <v>1428</v>
      </c>
      <c r="C32" s="24">
        <f ca="1">IF(项目基本情况!B11="自然人","——",ROUND(C6*F32/(1+'数据-取费表'!C42),0))</f>
        <v>0</v>
      </c>
      <c r="D32" s="1791" t="s">
        <v>1429</v>
      </c>
      <c r="E32" s="344" t="s">
        <v>1417</v>
      </c>
      <c r="F32" s="374">
        <f>'数据-取费表'!B41</f>
        <v>5.6000000000000001E-2</v>
      </c>
      <c r="G32" s="1844"/>
      <c r="H32" s="741"/>
      <c r="I32" s="742"/>
      <c r="J32" s="743"/>
      <c r="K32" s="744"/>
      <c r="L32" s="745"/>
      <c r="M32" s="746"/>
    </row>
    <row r="33" spans="1:18" ht="18" customHeight="1">
      <c r="A33" s="1195" t="s">
        <v>1033</v>
      </c>
      <c r="B33" s="344" t="s">
        <v>1432</v>
      </c>
      <c r="C33" s="24">
        <f ca="1">IF(项目基本情况!B11="自然人","——",IF(D33="按租金收入计税",ROUND(C6*F33/(1+'数据-取费表'!C42),0),IF(D33="按房产原值计税",ROUND(C29*F33*0.7,0),INDIRECT("'数据-取费表'!Aj"&amp;$G$1))))</f>
        <v>0</v>
      </c>
      <c r="D33" s="1821" t="s">
        <v>1433</v>
      </c>
      <c r="E33" s="344" t="s">
        <v>1417</v>
      </c>
      <c r="F33" s="364">
        <f>IF(D33="按票据","——",IF(D33="按租金收入计税",'数据-取费表'!B51,'数据-取费表'!B50))</f>
        <v>1.2E-2</v>
      </c>
      <c r="G33" s="1844"/>
      <c r="H33" s="1852"/>
      <c r="I33" s="1853"/>
      <c r="J33" s="1854"/>
      <c r="K33" s="1855"/>
      <c r="L33" s="1852"/>
      <c r="M33" s="1852"/>
    </row>
    <row r="34" spans="1:18" ht="18" customHeight="1">
      <c r="A34" s="1285" t="s">
        <v>1384</v>
      </c>
      <c r="B34" s="161" t="s">
        <v>1436</v>
      </c>
      <c r="C34" s="25">
        <f ca="1">IF(项目基本情况!B11="自然人","——",ROUND(F34*F35,))</f>
        <v>0</v>
      </c>
      <c r="D34" s="367" t="s">
        <v>1437</v>
      </c>
      <c r="E34" s="344" t="s">
        <v>1438</v>
      </c>
      <c r="F34" s="368">
        <f>'数据-取费表'!B52</f>
        <v>5</v>
      </c>
      <c r="G34" s="1844"/>
      <c r="H34" s="741"/>
      <c r="I34" s="1853"/>
      <c r="J34" s="1854"/>
      <c r="K34" s="1856"/>
      <c r="L34" s="1857"/>
      <c r="M34" s="1857"/>
    </row>
    <row r="35" spans="1:18" ht="18" customHeight="1">
      <c r="A35" s="1347"/>
      <c r="B35" s="1345"/>
      <c r="C35" s="29"/>
      <c r="D35" s="370"/>
      <c r="E35" s="344" t="s">
        <v>1442</v>
      </c>
      <c r="F35" s="345">
        <f ca="1">INDIRECT("'数据-取费表'!r"&amp;$G$1)</f>
        <v>0</v>
      </c>
      <c r="G35" s="1844"/>
      <c r="H35" s="741"/>
      <c r="I35" s="1853"/>
      <c r="J35" s="1854"/>
      <c r="K35" s="1855"/>
      <c r="L35" s="1852"/>
      <c r="M35" s="1852"/>
    </row>
    <row r="36" spans="1:18" ht="18" customHeight="1">
      <c r="A36" s="1346" t="s">
        <v>1036</v>
      </c>
      <c r="B36" s="344" t="s">
        <v>1444</v>
      </c>
      <c r="C36" s="24">
        <f ca="1">ROUND(C29*F36,0)</f>
        <v>0</v>
      </c>
      <c r="D36" s="1791" t="s">
        <v>1477</v>
      </c>
      <c r="E36" s="344" t="s">
        <v>1417</v>
      </c>
      <c r="F36" s="371">
        <f ca="1">INDIRECT("'数据-取费表'!Ak"&amp;$G$1)</f>
        <v>0</v>
      </c>
      <c r="G36" s="1844"/>
      <c r="H36" s="1852"/>
      <c r="I36" s="1853"/>
      <c r="J36" s="1854"/>
      <c r="K36" s="747"/>
      <c r="L36" s="1852"/>
      <c r="M36" s="1852"/>
    </row>
    <row r="37" spans="1:18" ht="18" customHeight="1">
      <c r="A37" s="1195" t="s">
        <v>1072</v>
      </c>
      <c r="B37" s="344" t="s">
        <v>1448</v>
      </c>
      <c r="C37" s="24">
        <f ca="1">ROUND(C13*F37,0)</f>
        <v>0</v>
      </c>
      <c r="D37" s="1791" t="s">
        <v>1449</v>
      </c>
      <c r="E37" s="344" t="s">
        <v>1450</v>
      </c>
      <c r="F37" s="373">
        <f ca="1">INDIRECT("'数据-取费表'!Al"&amp;$G$1)</f>
        <v>0</v>
      </c>
      <c r="G37" s="1844"/>
      <c r="H37" s="1852"/>
      <c r="I37" s="1853"/>
      <c r="J37" s="1854"/>
      <c r="K37" s="747"/>
      <c r="L37" s="1852"/>
      <c r="M37" s="1852"/>
    </row>
    <row r="38" spans="1:18" ht="18" customHeight="1" thickBot="1">
      <c r="A38" s="1333" t="s">
        <v>1388</v>
      </c>
      <c r="B38" s="1334" t="s">
        <v>1434</v>
      </c>
      <c r="C38" s="1335">
        <f ca="1">ROUND(C5*F38,1)</f>
        <v>0</v>
      </c>
      <c r="D38" s="1336" t="s">
        <v>1454</v>
      </c>
      <c r="E38" s="1334" t="s">
        <v>1450</v>
      </c>
      <c r="F38" s="1330">
        <f ca="1">INDIRECT("'数据-取费表'!Am"&amp;$G$1)</f>
        <v>0</v>
      </c>
      <c r="G38" s="1844"/>
      <c r="H38" s="1852"/>
      <c r="I38" s="1853"/>
      <c r="J38" s="1854"/>
      <c r="K38" s="1858"/>
      <c r="L38" s="1852"/>
      <c r="M38" s="1852"/>
    </row>
    <row r="39" spans="1:18" ht="24.6" customHeight="1" thickTop="1">
      <c r="A39" s="1323" t="s">
        <v>1028</v>
      </c>
      <c r="B39" s="1338" t="s">
        <v>1478</v>
      </c>
      <c r="C39" s="352">
        <f ca="1">C5-C30</f>
        <v>0</v>
      </c>
      <c r="D39" s="1339" t="s">
        <v>1479</v>
      </c>
      <c r="E39" s="1340"/>
      <c r="F39" s="1341"/>
      <c r="G39" s="1844"/>
      <c r="H39" s="1852"/>
      <c r="I39" s="1853"/>
      <c r="J39" s="1854"/>
      <c r="K39" s="1858"/>
      <c r="L39" s="1852"/>
      <c r="M39" s="1852"/>
    </row>
    <row r="40" spans="1:18" ht="18" customHeight="1">
      <c r="A40" s="341" t="s">
        <v>1029</v>
      </c>
      <c r="B40" s="342" t="s">
        <v>1480</v>
      </c>
      <c r="C40" s="343" t="e">
        <f ca="1">ROUND(C39*(1-((1+F42)/(1+F40))^F41)/(F40-F42),0)</f>
        <v>#DIV/0!</v>
      </c>
      <c r="D40" s="367" t="s">
        <v>1464</v>
      </c>
      <c r="E40" s="344" t="s">
        <v>1465</v>
      </c>
      <c r="F40" s="354">
        <f ca="1">INDIRECT("'数据-取费表'!I"&amp;$G$1)</f>
        <v>0</v>
      </c>
      <c r="G40" s="1844"/>
      <c r="H40" s="1832"/>
      <c r="I40" s="1853"/>
      <c r="J40" s="1854"/>
      <c r="K40" s="1858"/>
      <c r="L40" s="1832"/>
      <c r="M40" s="1832"/>
    </row>
    <row r="41" spans="1:18" ht="18" customHeight="1">
      <c r="A41" s="346"/>
      <c r="B41" s="347"/>
      <c r="C41" s="348"/>
      <c r="D41" s="375" t="s">
        <v>1481</v>
      </c>
      <c r="E41" s="344" t="s">
        <v>1469</v>
      </c>
      <c r="F41" s="376">
        <f ca="1">IF(INDIRECT("'数据-取费表'!af"&amp;$G$1)=0,INDIRECT("'数据-取费表'!ae"&amp;$G$1),INDIRECT("'数据-取费表'!af"&amp;$G$1))</f>
        <v>0</v>
      </c>
      <c r="G41" s="1844"/>
      <c r="H41" s="728"/>
      <c r="I41" s="1853"/>
      <c r="J41" s="1854"/>
      <c r="K41" s="747"/>
      <c r="L41" s="728"/>
      <c r="M41" s="728"/>
    </row>
    <row r="42" spans="1:18" ht="18" customHeight="1">
      <c r="A42" s="350"/>
      <c r="B42" s="351"/>
      <c r="C42" s="352"/>
      <c r="D42" s="370"/>
      <c r="E42" s="344" t="s">
        <v>1472</v>
      </c>
      <c r="F42" s="354">
        <f ca="1">INDIRECT("'数据-取费表'!v"&amp;$G$1)</f>
        <v>0</v>
      </c>
      <c r="G42" s="1844"/>
      <c r="H42" s="728"/>
      <c r="I42" s="1853"/>
      <c r="J42" s="1854"/>
      <c r="K42" s="747"/>
      <c r="L42" s="728"/>
      <c r="M42" s="728"/>
    </row>
    <row r="43" spans="1:18" ht="18" customHeight="1" thickBot="1">
      <c r="A43" s="377" t="s">
        <v>1030</v>
      </c>
      <c r="B43" s="378" t="s">
        <v>1482</v>
      </c>
      <c r="C43" s="379" t="e">
        <f ca="1">ROUND(C40/F43,0)</f>
        <v>#DIV/0!</v>
      </c>
      <c r="D43" s="380" t="s">
        <v>1483</v>
      </c>
      <c r="E43" s="381" t="s">
        <v>1484</v>
      </c>
      <c r="F43" s="382">
        <f ca="1">INDIRECT("'数据-取费表'!k"&amp;$G$1)</f>
        <v>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931" t="e">
        <f ca="1">C68-C40</f>
        <v>#DIV/0!</v>
      </c>
      <c r="D45" s="1932" t="s">
        <v>1599</v>
      </c>
      <c r="E45" s="1859"/>
      <c r="F45" s="1859"/>
      <c r="O45" s="1862" t="s">
        <v>1514</v>
      </c>
      <c r="P45" s="1832"/>
      <c r="Q45" s="1832"/>
      <c r="R45" s="1832"/>
    </row>
    <row r="46" spans="1:18" s="1835" customFormat="1" ht="13.5" thickBot="1">
      <c r="A46" s="1863" t="s">
        <v>1515</v>
      </c>
      <c r="C46" s="1864" t="e">
        <f ca="1">ROUND(C45/10000,0)</f>
        <v>#DIV/0!</v>
      </c>
      <c r="D46" s="1865" t="str">
        <f>C2</f>
        <v>万元</v>
      </c>
      <c r="I46" s="1866" t="s">
        <v>1516</v>
      </c>
      <c r="J46" s="1867"/>
      <c r="K46" s="1868"/>
      <c r="L46" s="1869" t="e">
        <f ca="1">IF(M47="住宅",0,IF(L48&gt;J51,L60,J60))</f>
        <v>#DIV/0!</v>
      </c>
      <c r="O46" s="1870" t="s">
        <v>1517</v>
      </c>
      <c r="P46" s="1871" t="s">
        <v>1518</v>
      </c>
      <c r="Q46" s="1872" t="s">
        <v>1519</v>
      </c>
      <c r="R46" s="1872" t="s">
        <v>1520</v>
      </c>
    </row>
    <row r="47" spans="1:18" s="1835" customFormat="1" ht="13.5" thickBot="1">
      <c r="A47" s="1159" t="s">
        <v>1391</v>
      </c>
      <c r="B47" s="1191" t="s">
        <v>1392</v>
      </c>
      <c r="C47" s="1191" t="s">
        <v>1393</v>
      </c>
      <c r="D47" s="1191" t="s">
        <v>1394</v>
      </c>
      <c r="E47" s="1273" t="s">
        <v>1395</v>
      </c>
      <c r="F47" s="1274"/>
      <c r="G47" s="788"/>
      <c r="I47" s="1873" t="s">
        <v>1521</v>
      </c>
      <c r="J47" s="1874"/>
      <c r="K47" s="1875" t="s">
        <v>1522</v>
      </c>
      <c r="L47" s="1876">
        <f ca="1">INDIRECT("'数据-取费表'!d"&amp;$G$1)</f>
        <v>0</v>
      </c>
      <c r="M47" s="1831" t="str">
        <f>IF(ISNUMBER(FIND("住宅",C1)),"住宅","非住宅")</f>
        <v>非住宅</v>
      </c>
      <c r="O47" s="1877" t="s">
        <v>1037</v>
      </c>
      <c r="P47" s="1878" t="s">
        <v>1523</v>
      </c>
      <c r="Q47" s="1879" t="e">
        <f ca="1">C40+J29</f>
        <v>#DIV/0!</v>
      </c>
      <c r="R47" s="1879" t="s">
        <v>1524</v>
      </c>
    </row>
    <row r="48" spans="1:18" s="1835" customFormat="1" ht="28.5" thickBot="1">
      <c r="A48" s="1354" t="s">
        <v>1132</v>
      </c>
      <c r="B48" s="342" t="s">
        <v>1396</v>
      </c>
      <c r="C48" s="1810">
        <f ca="1">C49+C53+C55</f>
        <v>0</v>
      </c>
      <c r="D48" s="1356"/>
      <c r="E48" s="1357"/>
      <c r="F48" s="1175"/>
      <c r="G48" s="788"/>
      <c r="H48" s="789"/>
      <c r="I48" s="1880" t="s">
        <v>1525</v>
      </c>
      <c r="J48" s="1881"/>
      <c r="K48" s="1882" t="s">
        <v>1526</v>
      </c>
      <c r="L48" s="1883">
        <f ca="1">INDIRECT("'数据-取费表'!f"&amp;$G$1)</f>
        <v>0</v>
      </c>
      <c r="O48" s="1877" t="s">
        <v>1038</v>
      </c>
      <c r="P48" s="1878" t="s">
        <v>1527</v>
      </c>
      <c r="Q48" s="1879" t="e">
        <f ca="1">J60</f>
        <v>#DIV/0!</v>
      </c>
      <c r="R48" s="1879" t="s">
        <v>1528</v>
      </c>
    </row>
    <row r="49" spans="1:18" s="1835" customFormat="1" ht="13.5" thickBot="1">
      <c r="A49" s="1188" t="s">
        <v>1133</v>
      </c>
      <c r="B49" s="1822" t="s">
        <v>1485</v>
      </c>
      <c r="C49" s="1358">
        <f ca="1">ROUND(F49*F51*F50*(1-F52),0)</f>
        <v>0</v>
      </c>
      <c r="D49" s="1270" t="s">
        <v>1399</v>
      </c>
      <c r="E49" s="1823" t="s">
        <v>1486</v>
      </c>
      <c r="F49" s="1275"/>
      <c r="G49" s="1884"/>
      <c r="H49" s="789"/>
      <c r="I49" s="1880" t="s">
        <v>1529</v>
      </c>
      <c r="J49" s="1885"/>
      <c r="K49" s="1882" t="s">
        <v>1530</v>
      </c>
      <c r="L49" s="1886"/>
      <c r="O49" s="1887" t="s">
        <v>1039</v>
      </c>
      <c r="P49" s="1878" t="s">
        <v>1531</v>
      </c>
      <c r="Q49" s="1879">
        <f ca="1">C29</f>
        <v>0</v>
      </c>
      <c r="R49" s="1879" t="s">
        <v>1524</v>
      </c>
    </row>
    <row r="50" spans="1:18" s="1835" customFormat="1" ht="13.5" thickBot="1">
      <c r="A50" s="1189"/>
      <c r="B50" s="1192"/>
      <c r="C50" s="1193"/>
      <c r="D50" s="1166"/>
      <c r="E50" s="1271" t="s">
        <v>1401</v>
      </c>
      <c r="F50" s="1272">
        <f ca="1">F7</f>
        <v>0</v>
      </c>
      <c r="H50" s="789"/>
      <c r="I50" s="1880" t="s">
        <v>1532</v>
      </c>
      <c r="J50" s="1888">
        <f>SUMPRODUCT((I63:I65=J47)*(J62:L62=J48)*(J63:L65))</f>
        <v>0</v>
      </c>
      <c r="K50" s="1882" t="s">
        <v>1533</v>
      </c>
      <c r="L50" s="1886"/>
      <c r="M50" s="1889"/>
      <c r="O50" s="1887" t="s">
        <v>1040</v>
      </c>
      <c r="P50" s="1878" t="s">
        <v>1534</v>
      </c>
      <c r="Q50" s="1890" t="e">
        <f ca="1">J58</f>
        <v>#DIV/0!</v>
      </c>
      <c r="R50" s="1879"/>
    </row>
    <row r="51" spans="1:18" s="1835" customFormat="1" ht="13.5" thickBot="1">
      <c r="A51" s="1190"/>
      <c r="B51" s="1192"/>
      <c r="C51" s="1193"/>
      <c r="D51" s="1166"/>
      <c r="E51" s="1194" t="s">
        <v>1402</v>
      </c>
      <c r="F51" s="345">
        <f ca="1">F8</f>
        <v>0</v>
      </c>
      <c r="I51" s="1891" t="s">
        <v>1535</v>
      </c>
      <c r="J51" s="1892">
        <f>IF(J49="",J50,J49+J50-YEAR('数据-取费表'!B2))</f>
        <v>0</v>
      </c>
      <c r="K51" s="1893" t="s">
        <v>1536</v>
      </c>
      <c r="L51" s="1894">
        <f ca="1">ROUND(-PV(INDIRECT("'数据-取费表'!h"&amp;$G$1),L48,(C39-C13*C76),0),0)</f>
        <v>0</v>
      </c>
      <c r="M51" s="1895"/>
      <c r="O51" s="1887" t="s">
        <v>1041</v>
      </c>
      <c r="P51" s="1878" t="s">
        <v>1537</v>
      </c>
      <c r="Q51" s="1890">
        <f>J52</f>
        <v>0</v>
      </c>
      <c r="R51" s="1879"/>
    </row>
    <row r="52" spans="1:18" s="1835" customFormat="1" ht="13.5" thickBot="1">
      <c r="A52" s="1190"/>
      <c r="B52" s="1192"/>
      <c r="C52" s="1193"/>
      <c r="D52" s="1166"/>
      <c r="E52" s="1194" t="s">
        <v>1403</v>
      </c>
      <c r="F52" s="1269"/>
      <c r="I52" s="1896" t="s">
        <v>1538</v>
      </c>
      <c r="J52" s="1897"/>
      <c r="K52" s="1896" t="s">
        <v>1539</v>
      </c>
      <c r="L52" s="1897"/>
      <c r="O52" s="1887" t="s">
        <v>1042</v>
      </c>
      <c r="P52" s="1878" t="s">
        <v>1540</v>
      </c>
      <c r="Q52" s="1879">
        <f ca="1">J53</f>
        <v>-4</v>
      </c>
      <c r="R52" s="1879" t="s">
        <v>1541</v>
      </c>
    </row>
    <row r="53" spans="1:18" s="1835" customFormat="1" ht="30.75" customHeight="1" thickBot="1">
      <c r="A53" s="1355" t="s">
        <v>1134</v>
      </c>
      <c r="B53" s="366" t="s">
        <v>1404</v>
      </c>
      <c r="C53" s="358">
        <f ca="1">ROUND(IF(F53="押一",C49/12*F11,IF(F53="押二",C49/12*2*F11,IF(F53="押三",C49/12*3*F11,C54*F11))),0)</f>
        <v>0</v>
      </c>
      <c r="D53" s="1817" t="s">
        <v>3032</v>
      </c>
      <c r="E53" s="355" t="s">
        <v>1405</v>
      </c>
      <c r="F53" s="1360"/>
      <c r="I53" s="1898" t="s">
        <v>1542</v>
      </c>
      <c r="J53" s="2940">
        <f ca="1">IF(M47="住宅",IF(D1="——",MAX(J51,L48),MAX(J51,L48-'数据-取费表'!B24)),IF(D1="——",MIN(J51,L48),MIN(J51,L48-'数据-取费表'!B24)))</f>
        <v>-4</v>
      </c>
      <c r="K53" s="3316" t="s">
        <v>1543</v>
      </c>
      <c r="L53" s="3317"/>
      <c r="O53" s="1877" t="s">
        <v>1043</v>
      </c>
      <c r="P53" s="1878" t="s">
        <v>1544</v>
      </c>
      <c r="Q53" s="1879" t="e">
        <f ca="1">Q47+Q48</f>
        <v>#DIV/0!</v>
      </c>
      <c r="R53" s="1879" t="s">
        <v>1044</v>
      </c>
    </row>
    <row r="54" spans="1:18" s="1835" customFormat="1" ht="13.5" thickBot="1">
      <c r="A54" s="1188"/>
      <c r="B54" s="1933" t="s">
        <v>1598</v>
      </c>
      <c r="C54" s="1172"/>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4"/>
      <c r="O54" s="1862" t="s">
        <v>1545</v>
      </c>
      <c r="P54" s="1832"/>
      <c r="Q54" s="1832"/>
      <c r="R54" s="1832"/>
    </row>
    <row r="55" spans="1:18" s="1835" customFormat="1" ht="13.5" thickBot="1">
      <c r="A55" s="1327" t="s">
        <v>1072</v>
      </c>
      <c r="B55" s="1820" t="s">
        <v>1408</v>
      </c>
      <c r="C55" s="1328"/>
      <c r="D55" s="1817"/>
      <c r="E55" s="1825"/>
      <c r="F55" s="1899"/>
      <c r="I55" s="1902" t="s">
        <v>1546</v>
      </c>
      <c r="J55" s="1903" t="e">
        <f ca="1">ROUND(IF(J47="钢混",J57/J50,1-(1-2%)*(J50-J57)/J50),3)</f>
        <v>#DIV/0!</v>
      </c>
      <c r="K55" s="1904" t="s">
        <v>1547</v>
      </c>
      <c r="L55" s="1905"/>
      <c r="O55" s="1870" t="s">
        <v>1517</v>
      </c>
      <c r="P55" s="1871" t="s">
        <v>1518</v>
      </c>
      <c r="Q55" s="1872" t="s">
        <v>1519</v>
      </c>
      <c r="R55" s="1872" t="s">
        <v>1520</v>
      </c>
    </row>
    <row r="56" spans="1:18" s="1835" customFormat="1" ht="36" customHeight="1" thickTop="1" thickBot="1">
      <c r="A56" s="1170">
        <v>2</v>
      </c>
      <c r="B56" s="1171" t="s">
        <v>1409</v>
      </c>
      <c r="C56" s="273">
        <f ca="1">C13</f>
        <v>0</v>
      </c>
      <c r="D56" s="1906"/>
      <c r="E56" s="1907"/>
      <c r="F56" s="1899"/>
      <c r="I56" s="1908" t="s">
        <v>1549</v>
      </c>
      <c r="J56" s="1909"/>
      <c r="K56" s="1880" t="s">
        <v>1550</v>
      </c>
      <c r="L56" s="1883">
        <f ca="1">IF(L48&lt;J51,"——",L48-J51)</f>
        <v>0</v>
      </c>
      <c r="O56" s="1877" t="s">
        <v>1037</v>
      </c>
      <c r="P56" s="1878" t="s">
        <v>1523</v>
      </c>
      <c r="Q56" s="1879" t="e">
        <f ca="1">C40+J29</f>
        <v>#DIV/0!</v>
      </c>
      <c r="R56" s="1879" t="s">
        <v>1524</v>
      </c>
    </row>
    <row r="57" spans="1:18" s="1835" customFormat="1" ht="24.75" thickBot="1">
      <c r="A57" s="1910"/>
      <c r="B57" s="1163" t="s">
        <v>1473</v>
      </c>
      <c r="C57" s="279">
        <f ca="1">C29</f>
        <v>0</v>
      </c>
      <c r="D57" s="1911"/>
      <c r="E57" s="1912"/>
      <c r="F57" s="1913"/>
      <c r="I57" s="1914" t="s">
        <v>1551</v>
      </c>
      <c r="J57" s="1915">
        <f ca="1">IF(OR(M47="住宅",J51&lt;L48,J56="是"),"——",J51-L48)</f>
        <v>0</v>
      </c>
      <c r="K57" s="1880" t="s">
        <v>1600</v>
      </c>
      <c r="L57" s="1883">
        <f ca="1">IF(L48&lt;J51,"——",IF(L55="比较法",L49,IF(L55="基准地价",L50,L51)))</f>
        <v>0</v>
      </c>
      <c r="O57" s="1877" t="s">
        <v>1038</v>
      </c>
      <c r="P57" s="1878" t="s">
        <v>1601</v>
      </c>
      <c r="Q57" s="1879" t="e">
        <f ca="1">L60</f>
        <v>#DIV/0!</v>
      </c>
      <c r="R57" s="1879" t="s">
        <v>1602</v>
      </c>
    </row>
    <row r="58" spans="1:18" s="1835" customFormat="1" ht="24.75" thickBot="1">
      <c r="A58" s="357" t="s">
        <v>1027</v>
      </c>
      <c r="B58" s="1171" t="s">
        <v>1419</v>
      </c>
      <c r="C58" s="358">
        <f ca="1">ROUND(C59+C64+C65+C66,0)</f>
        <v>0</v>
      </c>
      <c r="D58" s="1173" t="s">
        <v>1420</v>
      </c>
      <c r="E58" s="1174"/>
      <c r="F58" s="1175"/>
      <c r="I58" s="1914" t="s">
        <v>1555</v>
      </c>
      <c r="J58" s="1916" t="e">
        <f ca="1">IF(J55&lt;0.4,0.4,J55)</f>
        <v>#DIV/0!</v>
      </c>
      <c r="K58" s="1893" t="s">
        <v>1603</v>
      </c>
      <c r="L58" s="1883" t="e">
        <f ca="1">ROUND(POWER(1+L52,L47-L48)*(POWER(1+L52,L48)-1)/(POWER(1+L52,L47)-1),4)</f>
        <v>#DIV/0!</v>
      </c>
      <c r="O58" s="1887" t="s">
        <v>1039</v>
      </c>
      <c r="P58" s="1878" t="s">
        <v>1557</v>
      </c>
      <c r="Q58" s="1879">
        <f>IF(L55="比较法",L49,IF(L55="基准地价",L50,0))</f>
        <v>0</v>
      </c>
      <c r="R58" s="1879" t="s">
        <v>1524</v>
      </c>
    </row>
    <row r="59" spans="1:18" s="1835" customFormat="1" ht="24.75" thickBot="1">
      <c r="A59" s="1195" t="s">
        <v>1032</v>
      </c>
      <c r="B59" s="1163" t="s">
        <v>1424</v>
      </c>
      <c r="C59" s="24">
        <f ca="1">ROUND(IF(项目基本情况!B11="自然人",C48*F59,C60+C61+C62),0)</f>
        <v>0</v>
      </c>
      <c r="D59" s="1176" t="s">
        <v>1425</v>
      </c>
      <c r="E59" s="1177" t="s">
        <v>1426</v>
      </c>
      <c r="F59" s="365" t="str">
        <f ca="1">IF(项目基本情况!B11="企业","",IF(INDIRECT("'数据-取费表'!c"&amp;$G$1)="住宅",5%,IF(F49*F50*F51/12/(1+'数据-取费表'!C42)&gt;20000,12%,7%)))</f>
        <v/>
      </c>
      <c r="I59" s="1914" t="s">
        <v>1558</v>
      </c>
      <c r="J59" s="1915"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1559</v>
      </c>
      <c r="Q59" s="1890">
        <f>L52</f>
        <v>0</v>
      </c>
      <c r="R59" s="1879"/>
    </row>
    <row r="60" spans="1:18" s="1835" customFormat="1" ht="16.5" thickBot="1">
      <c r="A60" s="1195" t="s">
        <v>1031</v>
      </c>
      <c r="B60" s="1163" t="s">
        <v>1428</v>
      </c>
      <c r="C60" s="24">
        <f ca="1">IF(项目基本情况!B11="自然人","——",ROUND(C48*F60/(1+'数据-取费表'!C42),0))</f>
        <v>0</v>
      </c>
      <c r="D60" s="1177" t="s">
        <v>1429</v>
      </c>
      <c r="E60" s="1163" t="s">
        <v>1417</v>
      </c>
      <c r="F60" s="374">
        <f t="shared" ref="F60:F66" si="0">F32</f>
        <v>5.6000000000000001E-2</v>
      </c>
      <c r="I60" s="1917" t="s">
        <v>1560</v>
      </c>
      <c r="J60" s="1918" t="e">
        <f ca="1">IF(OR(M47="住宅",J51&lt;L48,J56="是"),"0",ROUND(J59/(1+J52)^J53,0))</f>
        <v>#DIV/0!</v>
      </c>
      <c r="K60" s="1919" t="s">
        <v>1561</v>
      </c>
      <c r="L60" s="1918" t="e">
        <f ca="1">IF(OR(M47="住宅",L48&lt;J51),0,ROUND(L57*(L58/L59-1),0))</f>
        <v>#DIV/0!</v>
      </c>
      <c r="O60" s="1887" t="s">
        <v>1041</v>
      </c>
      <c r="P60" s="1878" t="s">
        <v>1562</v>
      </c>
      <c r="Q60" s="1879" t="e">
        <f ca="1">L58</f>
        <v>#DIV/0!</v>
      </c>
      <c r="R60" s="1879" t="s">
        <v>1563</v>
      </c>
    </row>
    <row r="61" spans="1:18" s="1835" customFormat="1" ht="13.5" thickBot="1">
      <c r="A61" s="1195" t="s">
        <v>1487</v>
      </c>
      <c r="B61" s="1163" t="s">
        <v>1488</v>
      </c>
      <c r="C61" s="24">
        <f ca="1">IF(项目基本情况!B11="自然人","——",IF(D61="按租金收入计税",ROUND(C48*F61,0),IF(D61="按房产原值计税",ROUND(C57*F61*0.7,0),INDIRECT("'数据-取费表'!Aj"&amp;$G$1))))</f>
        <v>0</v>
      </c>
      <c r="D61" s="1821" t="s">
        <v>1433</v>
      </c>
      <c r="E61" s="1163" t="s">
        <v>1489</v>
      </c>
      <c r="F61" s="364">
        <f t="shared" si="0"/>
        <v>1.2E-2</v>
      </c>
      <c r="I61" s="1920"/>
      <c r="J61" s="1920"/>
      <c r="K61" s="1920"/>
      <c r="L61" s="1920"/>
      <c r="O61" s="1887" t="s">
        <v>1042</v>
      </c>
      <c r="P61" s="1878" t="str">
        <f>K59</f>
        <v>建设期及建筑物耐用年限下的土地年期修正系数Kn</v>
      </c>
      <c r="Q61" s="1879" t="e">
        <f ca="1">L59</f>
        <v>#DIV/0!</v>
      </c>
      <c r="R61" s="1879" t="s">
        <v>1564</v>
      </c>
    </row>
    <row r="62" spans="1:18" s="1835" customFormat="1" ht="13.5" thickBot="1">
      <c r="A62" s="1195" t="s">
        <v>1490</v>
      </c>
      <c r="B62" s="1162" t="s">
        <v>1491</v>
      </c>
      <c r="C62" s="25">
        <f ca="1">IF(项目基本情况!B11="自然人","——",ROUND(F62*F63,0))</f>
        <v>0</v>
      </c>
      <c r="D62" s="1178" t="s">
        <v>1492</v>
      </c>
      <c r="E62" s="1163" t="s">
        <v>1493</v>
      </c>
      <c r="F62" s="368">
        <f t="shared" si="0"/>
        <v>5</v>
      </c>
      <c r="I62" s="1921" t="s">
        <v>1565</v>
      </c>
      <c r="J62" s="1922" t="s">
        <v>1566</v>
      </c>
      <c r="K62" s="1922" t="s">
        <v>1567</v>
      </c>
      <c r="L62" s="1922" t="s">
        <v>1568</v>
      </c>
      <c r="M62" s="1923" t="s">
        <v>1569</v>
      </c>
      <c r="O62" s="1877" t="s">
        <v>1043</v>
      </c>
      <c r="P62" s="1878" t="s">
        <v>1570</v>
      </c>
      <c r="Q62" s="1879" t="e">
        <f ca="1">Q56+Q57</f>
        <v>#DIV/0!</v>
      </c>
      <c r="R62" s="1879" t="s">
        <v>1044</v>
      </c>
    </row>
    <row r="63" spans="1:18" s="1835" customFormat="1" ht="13.5" thickBot="1">
      <c r="A63" s="369"/>
      <c r="B63" s="1169"/>
      <c r="C63" s="29"/>
      <c r="D63" s="1179"/>
      <c r="E63" s="1163" t="s">
        <v>1494</v>
      </c>
      <c r="F63" s="345">
        <f t="shared" ca="1" si="0"/>
        <v>0</v>
      </c>
      <c r="I63" s="1921" t="s">
        <v>1571</v>
      </c>
      <c r="J63" s="1922">
        <v>70</v>
      </c>
      <c r="K63" s="1922">
        <v>50</v>
      </c>
      <c r="L63" s="1922">
        <v>80</v>
      </c>
      <c r="M63" s="1924">
        <v>0.02</v>
      </c>
      <c r="O63" s="1862" t="s">
        <v>1572</v>
      </c>
      <c r="P63" s="1832"/>
      <c r="Q63" s="1832"/>
      <c r="R63" s="1832"/>
    </row>
    <row r="64" spans="1:18" s="1835" customFormat="1" ht="13.5" thickBot="1">
      <c r="A64" s="1195" t="s">
        <v>1495</v>
      </c>
      <c r="B64" s="1163" t="s">
        <v>1496</v>
      </c>
      <c r="C64" s="24">
        <f ca="1">ROUND(C57*F64,0)</f>
        <v>0</v>
      </c>
      <c r="D64" s="1177" t="s">
        <v>1497</v>
      </c>
      <c r="E64" s="1163" t="s">
        <v>1489</v>
      </c>
      <c r="F64" s="371">
        <f t="shared" ca="1" si="0"/>
        <v>0</v>
      </c>
      <c r="I64" s="1921" t="s">
        <v>1573</v>
      </c>
      <c r="J64" s="1922">
        <v>50</v>
      </c>
      <c r="K64" s="1922">
        <v>35</v>
      </c>
      <c r="L64" s="1922">
        <v>60</v>
      </c>
      <c r="M64" s="1923">
        <v>0</v>
      </c>
      <c r="O64" s="1870" t="s">
        <v>1517</v>
      </c>
      <c r="P64" s="1871" t="s">
        <v>1518</v>
      </c>
      <c r="Q64" s="1872" t="s">
        <v>1519</v>
      </c>
      <c r="R64" s="1872" t="s">
        <v>1520</v>
      </c>
    </row>
    <row r="65" spans="1:18" s="1835" customFormat="1" ht="13.5" thickBot="1">
      <c r="A65" s="1195" t="s">
        <v>1498</v>
      </c>
      <c r="B65" s="1163" t="s">
        <v>1448</v>
      </c>
      <c r="C65" s="24">
        <f ca="1">ROUND(C56*F65,0)</f>
        <v>0</v>
      </c>
      <c r="D65" s="1177" t="s">
        <v>1449</v>
      </c>
      <c r="E65" s="1163" t="s">
        <v>1450</v>
      </c>
      <c r="F65" s="373">
        <f t="shared" ca="1" si="0"/>
        <v>0</v>
      </c>
      <c r="I65" s="1921" t="s">
        <v>1574</v>
      </c>
      <c r="J65" s="1922">
        <v>40</v>
      </c>
      <c r="K65" s="1922">
        <v>30</v>
      </c>
      <c r="L65" s="1922">
        <v>50</v>
      </c>
      <c r="M65" s="1924">
        <v>0.02</v>
      </c>
      <c r="O65" s="1877" t="s">
        <v>1037</v>
      </c>
      <c r="P65" s="1878" t="s">
        <v>1575</v>
      </c>
      <c r="Q65" s="1879" t="e">
        <f ca="1">C40+J29</f>
        <v>#DIV/0!</v>
      </c>
      <c r="R65" s="1879" t="s">
        <v>1524</v>
      </c>
    </row>
    <row r="66" spans="1:18" s="1835" customFormat="1" ht="16.5" thickBot="1">
      <c r="A66" s="1195" t="s">
        <v>1499</v>
      </c>
      <c r="B66" s="1163" t="s">
        <v>1434</v>
      </c>
      <c r="C66" s="24">
        <f ca="1">ROUND(C48*F66,0)</f>
        <v>0</v>
      </c>
      <c r="D66" s="1177" t="s">
        <v>1500</v>
      </c>
      <c r="E66" s="1163" t="s">
        <v>1417</v>
      </c>
      <c r="F66" s="354">
        <f t="shared" ca="1" si="0"/>
        <v>0</v>
      </c>
      <c r="O66" s="1877" t="s">
        <v>1038</v>
      </c>
      <c r="P66" s="1878" t="s">
        <v>1553</v>
      </c>
      <c r="Q66" s="1879" t="e">
        <f ca="1">L60</f>
        <v>#DIV/0!</v>
      </c>
      <c r="R66" s="1879" t="s">
        <v>1576</v>
      </c>
    </row>
    <row r="67" spans="1:18" s="1835" customFormat="1" ht="16.5" thickBot="1">
      <c r="A67" s="1170" t="s">
        <v>1028</v>
      </c>
      <c r="B67" s="1180" t="s">
        <v>1458</v>
      </c>
      <c r="C67" s="358">
        <f ca="1">C48-C58</f>
        <v>0</v>
      </c>
      <c r="D67" s="1176" t="s">
        <v>1459</v>
      </c>
      <c r="E67" s="1181"/>
      <c r="F67" s="1182"/>
      <c r="O67" s="1887" t="s">
        <v>1039</v>
      </c>
      <c r="P67" s="1878" t="s">
        <v>1557</v>
      </c>
      <c r="Q67" s="1925">
        <f ca="1">L51</f>
        <v>0</v>
      </c>
      <c r="R67" s="1879" t="s">
        <v>1577</v>
      </c>
    </row>
    <row r="68" spans="1:18" s="1835" customFormat="1" ht="16.5" thickBot="1">
      <c r="A68" s="1160" t="s">
        <v>1029</v>
      </c>
      <c r="B68" s="1161" t="s">
        <v>1480</v>
      </c>
      <c r="C68" s="343" t="e">
        <f ca="1">ROUND(C67*(1-((1+F70)/(1+F68))^F69)/(F68-F70),0)</f>
        <v>#DIV/0!</v>
      </c>
      <c r="D68" s="1178" t="s">
        <v>1464</v>
      </c>
      <c r="E68" s="1163" t="s">
        <v>1465</v>
      </c>
      <c r="F68" s="354">
        <f ca="1">F40</f>
        <v>0</v>
      </c>
      <c r="O68" s="1887" t="s">
        <v>1040</v>
      </c>
      <c r="P68" s="1926" t="s">
        <v>1578</v>
      </c>
      <c r="Q68" s="1879">
        <f ca="1">ROUND(Q69-Q70*Q71,0)</f>
        <v>0</v>
      </c>
      <c r="R68" s="1879" t="s">
        <v>1048</v>
      </c>
    </row>
    <row r="69" spans="1:18" s="1835" customFormat="1" ht="13.5" thickBot="1">
      <c r="A69" s="1164"/>
      <c r="B69" s="1165"/>
      <c r="C69" s="348"/>
      <c r="D69" s="1183" t="s">
        <v>1468</v>
      </c>
      <c r="E69" s="1163" t="s">
        <v>1469</v>
      </c>
      <c r="F69" s="376">
        <f ca="1">F41</f>
        <v>0</v>
      </c>
      <c r="O69" s="1887" t="s">
        <v>1045</v>
      </c>
      <c r="P69" s="1926" t="s">
        <v>1579</v>
      </c>
      <c r="Q69" s="1879">
        <f ca="1">C39</f>
        <v>0</v>
      </c>
      <c r="R69" s="1879" t="s">
        <v>1524</v>
      </c>
    </row>
    <row r="70" spans="1:18" s="1835" customFormat="1" ht="13.5" thickBot="1">
      <c r="A70" s="1167"/>
      <c r="B70" s="1168"/>
      <c r="C70" s="352"/>
      <c r="D70" s="1179"/>
      <c r="E70" s="1163" t="s">
        <v>1472</v>
      </c>
      <c r="F70" s="1269">
        <f ca="1">F42</f>
        <v>0</v>
      </c>
      <c r="O70" s="1887" t="s">
        <v>1046</v>
      </c>
      <c r="P70" s="1926" t="s">
        <v>1580</v>
      </c>
      <c r="Q70" s="1879">
        <f ca="1">C13</f>
        <v>0</v>
      </c>
      <c r="R70" s="1879" t="s">
        <v>1524</v>
      </c>
    </row>
    <row r="71" spans="1:18" s="1835" customFormat="1" ht="13.5" thickBot="1">
      <c r="A71" s="1184" t="s">
        <v>1030</v>
      </c>
      <c r="B71" s="1185" t="s">
        <v>1482</v>
      </c>
      <c r="C71" s="379" t="e">
        <f ca="1">ROUND(C68/F71,0)</f>
        <v>#DIV/0!</v>
      </c>
      <c r="D71" s="1186" t="s">
        <v>1483</v>
      </c>
      <c r="E71" s="1187" t="s">
        <v>1484</v>
      </c>
      <c r="F71" s="382">
        <f ca="1">F43</f>
        <v>0</v>
      </c>
      <c r="O71" s="1887" t="s">
        <v>1047</v>
      </c>
      <c r="P71" s="1926" t="s">
        <v>1581</v>
      </c>
      <c r="Q71" s="1890">
        <f ca="1">C76</f>
        <v>0</v>
      </c>
      <c r="R71" s="1879"/>
    </row>
    <row r="72" spans="1:18" s="1835" customFormat="1" ht="13.5" thickBot="1">
      <c r="B72" s="792"/>
      <c r="C72" s="792"/>
      <c r="O72" s="1887" t="s">
        <v>1041</v>
      </c>
      <c r="P72" s="1878" t="s">
        <v>1559</v>
      </c>
      <c r="Q72" s="1890">
        <f>L52</f>
        <v>0</v>
      </c>
      <c r="R72" s="1879"/>
    </row>
    <row r="73" spans="1:18" ht="16.5" thickBot="1">
      <c r="A73" s="1835"/>
      <c r="B73" s="792"/>
      <c r="C73" s="792"/>
      <c r="D73" s="1835"/>
      <c r="E73" s="1835"/>
      <c r="F73" s="1835"/>
      <c r="O73" s="1887" t="s">
        <v>1042</v>
      </c>
      <c r="P73" s="1878" t="s">
        <v>1562</v>
      </c>
      <c r="Q73" s="1879" t="e">
        <f ca="1">L58</f>
        <v>#DIV/0!</v>
      </c>
      <c r="R73" s="1879" t="s">
        <v>1563</v>
      </c>
    </row>
    <row r="74" spans="1:18" ht="13.5" thickBot="1">
      <c r="A74" s="1835"/>
      <c r="B74" s="314" t="s">
        <v>1582</v>
      </c>
      <c r="C74" s="1928"/>
      <c r="D74" s="1835"/>
      <c r="E74" s="1835"/>
      <c r="F74" s="1835"/>
      <c r="O74" s="1887" t="s">
        <v>1049</v>
      </c>
      <c r="P74" s="1878" t="str">
        <f>K59</f>
        <v>建设期及建筑物耐用年限下的土地年期修正系数Kn</v>
      </c>
      <c r="Q74" s="1879" t="e">
        <f ca="1">L59</f>
        <v>#DIV/0!</v>
      </c>
      <c r="R74" s="1879" t="s">
        <v>1564</v>
      </c>
    </row>
    <row r="75" spans="1:18" ht="13.5" thickBot="1">
      <c r="A75" s="1835"/>
      <c r="B75" s="383" t="s">
        <v>1501</v>
      </c>
      <c r="C75" s="384">
        <f ca="1">ROUND(C13*C76,0)</f>
        <v>0</v>
      </c>
      <c r="D75" s="1835"/>
      <c r="E75" s="1835"/>
      <c r="F75" s="1835"/>
      <c r="K75" s="1861"/>
      <c r="L75" s="1835"/>
      <c r="O75" s="1877" t="s">
        <v>1043</v>
      </c>
      <c r="P75" s="1878" t="s">
        <v>1544</v>
      </c>
      <c r="Q75" s="1879" t="e">
        <f ca="1">Q65+Q66</f>
        <v>#DIV/0!</v>
      </c>
      <c r="R75" s="1879" t="s">
        <v>1044</v>
      </c>
    </row>
    <row r="76" spans="1:18">
      <c r="B76" s="385" t="s">
        <v>1502</v>
      </c>
      <c r="C76" s="386">
        <f ca="1">INDIRECT("'数据-取费表'!j"&amp;$G$1)</f>
        <v>0</v>
      </c>
      <c r="I76" s="1835"/>
      <c r="J76" s="1835"/>
      <c r="K76" s="1861"/>
      <c r="L76" s="1835"/>
    </row>
    <row r="77" spans="1:18">
      <c r="B77" s="387" t="s">
        <v>1503</v>
      </c>
      <c r="C77" s="388"/>
      <c r="I77" s="1835"/>
      <c r="J77" s="1835"/>
      <c r="K77" s="1861"/>
      <c r="L77" s="1835"/>
    </row>
    <row r="78" spans="1:18">
      <c r="B78" s="311" t="s">
        <v>1504</v>
      </c>
      <c r="C78" s="389"/>
    </row>
    <row r="79" spans="1:18">
      <c r="B79" s="383" t="s">
        <v>1505</v>
      </c>
      <c r="C79" s="315" t="e">
        <f ca="1">1-C80</f>
        <v>#DIV/0!</v>
      </c>
    </row>
    <row r="80" spans="1:18">
      <c r="B80" s="383" t="s">
        <v>1506</v>
      </c>
      <c r="C80" s="315" t="e">
        <f ca="1">ROUND(C75/C39,3)</f>
        <v>#DIV/0!</v>
      </c>
    </row>
    <row r="81" spans="2:3">
      <c r="B81" s="311" t="s">
        <v>1507</v>
      </c>
      <c r="C81" s="279"/>
    </row>
    <row r="82" spans="2:3">
      <c r="B82" s="314" t="s">
        <v>1508</v>
      </c>
      <c r="C82" s="316" t="e">
        <f ca="1">1-C83</f>
        <v>#DIV/0!</v>
      </c>
    </row>
    <row r="83" spans="2:3">
      <c r="B83" s="314" t="s">
        <v>1509</v>
      </c>
      <c r="C83" s="315"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3" t="s">
        <v>2515</v>
      </c>
      <c r="B1" s="2554"/>
      <c r="C1" s="2554"/>
      <c r="D1" s="2554"/>
      <c r="E1" s="2555"/>
    </row>
    <row r="2" spans="1:6" ht="15.75">
      <c r="A2" s="2556" t="s">
        <v>2319</v>
      </c>
      <c r="B2" s="2557">
        <f ca="1">SUMIF(B6:B13,"&lt;&gt;#ref!",B6:B13)</f>
        <v>0</v>
      </c>
      <c r="C2" s="2558" t="s">
        <v>2508</v>
      </c>
      <c r="D2" s="2559" t="s">
        <v>2509</v>
      </c>
      <c r="E2" s="2560">
        <f>SUM(E6:E13)</f>
        <v>0</v>
      </c>
    </row>
    <row r="3" spans="1:6" ht="15.75">
      <c r="A3" s="2556" t="s">
        <v>1390</v>
      </c>
      <c r="B3" s="2557" t="e">
        <f ca="1">ROUND(B2*10000/E2,0)</f>
        <v>#DIV/0!</v>
      </c>
      <c r="C3" s="2558" t="s">
        <v>2516</v>
      </c>
      <c r="D3" s="2561"/>
      <c r="E3" s="2562"/>
    </row>
    <row r="4" spans="1:6" ht="15.75">
      <c r="A4" s="2563"/>
      <c r="B4" s="2561"/>
      <c r="C4" s="2561"/>
      <c r="D4" s="2561"/>
      <c r="E4" s="2562"/>
    </row>
    <row r="5" spans="1:6" ht="15">
      <c r="A5" s="2564" t="s">
        <v>2510</v>
      </c>
      <c r="B5" s="3318" t="s">
        <v>2511</v>
      </c>
      <c r="C5" s="3318"/>
      <c r="D5" s="2565"/>
      <c r="E5" s="2566" t="s">
        <v>2512</v>
      </c>
      <c r="F5" s="2567" t="s">
        <v>2513</v>
      </c>
    </row>
    <row r="6" spans="1:6">
      <c r="A6" s="2568">
        <f>'数据-取费表'!AN6</f>
        <v>0</v>
      </c>
      <c r="B6" s="2567" t="e">
        <f ca="1">IF(F6="是",'数据-取费表'!AO6,0)</f>
        <v>#REF!</v>
      </c>
      <c r="C6" s="2558" t="s">
        <v>2508</v>
      </c>
      <c r="D6" s="2561"/>
      <c r="E6" s="2569">
        <f>IF(OR(A6=0,F6="否"),0,'数据-取费表'!K6+'数据-取费表'!S6)</f>
        <v>0</v>
      </c>
      <c r="F6" s="2570" t="s">
        <v>2514</v>
      </c>
    </row>
    <row r="7" spans="1:6">
      <c r="A7" s="2568">
        <f>'数据-取费表'!AN7</f>
        <v>0</v>
      </c>
      <c r="B7" s="2567" t="e">
        <f ca="1">IF(F7="是",'数据-取费表'!AO7,0)</f>
        <v>#REF!</v>
      </c>
      <c r="C7" s="2558" t="s">
        <v>2508</v>
      </c>
      <c r="D7" s="2561"/>
      <c r="E7" s="2569">
        <f>IF(OR(A7=0,F7="否"),0,'数据-取费表'!K7+'数据-取费表'!S7)</f>
        <v>0</v>
      </c>
      <c r="F7" s="2570" t="s">
        <v>2514</v>
      </c>
    </row>
    <row r="8" spans="1:6">
      <c r="A8" s="2568">
        <f>'数据-取费表'!AN8</f>
        <v>0</v>
      </c>
      <c r="B8" s="2567" t="e">
        <f ca="1">IF(F8="是",'数据-取费表'!AO8,0)</f>
        <v>#REF!</v>
      </c>
      <c r="C8" s="2558" t="s">
        <v>2508</v>
      </c>
      <c r="D8" s="2561"/>
      <c r="E8" s="2569">
        <f>IF(OR(A8=0,F8="否"),0,'数据-取费表'!K8+'数据-取费表'!S8)</f>
        <v>0</v>
      </c>
      <c r="F8" s="2570" t="s">
        <v>2514</v>
      </c>
    </row>
    <row r="9" spans="1:6">
      <c r="A9" s="2568">
        <f>'数据-取费表'!AN9</f>
        <v>0</v>
      </c>
      <c r="B9" s="2567" t="e">
        <f ca="1">IF(F9="是",'数据-取费表'!AO9,0)</f>
        <v>#REF!</v>
      </c>
      <c r="C9" s="2558" t="s">
        <v>2508</v>
      </c>
      <c r="D9" s="2561"/>
      <c r="E9" s="2569">
        <f>IF(OR(A9=0,F9="否"),0,'数据-取费表'!K9+'数据-取费表'!S9)</f>
        <v>0</v>
      </c>
      <c r="F9" s="2570" t="s">
        <v>2514</v>
      </c>
    </row>
    <row r="10" spans="1:6">
      <c r="A10" s="2568">
        <f>'数据-取费表'!AN10</f>
        <v>0</v>
      </c>
      <c r="B10" s="2567" t="e">
        <f ca="1">IF(F10="是",'数据-取费表'!AO10,0)</f>
        <v>#REF!</v>
      </c>
      <c r="C10" s="2558" t="s">
        <v>2508</v>
      </c>
      <c r="D10" s="2561"/>
      <c r="E10" s="2569">
        <f>IF(OR(A10=0,F10="否"),0,'数据-取费表'!K10+'数据-取费表'!S10)</f>
        <v>0</v>
      </c>
      <c r="F10" s="2570" t="s">
        <v>2514</v>
      </c>
    </row>
    <row r="11" spans="1:6">
      <c r="A11" s="2568">
        <f>'数据-取费表'!AN11</f>
        <v>0</v>
      </c>
      <c r="B11" s="2567" t="e">
        <f ca="1">IF(F11="是",'数据-取费表'!AO11,0)</f>
        <v>#REF!</v>
      </c>
      <c r="C11" s="2558" t="s">
        <v>2508</v>
      </c>
      <c r="D11" s="2561"/>
      <c r="E11" s="2569">
        <f>IF(OR(A11=0,F11="否"),0,'数据-取费表'!K11+'数据-取费表'!S11)</f>
        <v>0</v>
      </c>
      <c r="F11" s="2570" t="s">
        <v>2514</v>
      </c>
    </row>
    <row r="12" spans="1:6">
      <c r="A12" s="2568">
        <f>'数据-取费表'!AN12</f>
        <v>0</v>
      </c>
      <c r="B12" s="2567" t="e">
        <f ca="1">IF(F12="是",'数据-取费表'!AO12,0)</f>
        <v>#REF!</v>
      </c>
      <c r="C12" s="2558" t="s">
        <v>2508</v>
      </c>
      <c r="D12" s="2561"/>
      <c r="E12" s="2569">
        <f>IF(OR(A12=0,F12="否"),0,'数据-取费表'!K12+'数据-取费表'!S12)</f>
        <v>0</v>
      </c>
      <c r="F12" s="2570" t="s">
        <v>2514</v>
      </c>
    </row>
    <row r="13" spans="1:6" ht="15" thickBot="1">
      <c r="A13" s="2571">
        <f>'数据-取费表'!AN13</f>
        <v>0</v>
      </c>
      <c r="B13" s="2567" t="e">
        <f ca="1">IF(F13="是",'数据-取费表'!AO13,0)</f>
        <v>#REF!</v>
      </c>
      <c r="C13" s="2572" t="s">
        <v>2508</v>
      </c>
      <c r="D13" s="2573"/>
      <c r="E13" s="2569">
        <f>IF(OR(A13=0,F13="否"),0,'数据-取费表'!K13+'数据-取费表'!S13)</f>
        <v>0</v>
      </c>
      <c r="F13" s="2570" t="s">
        <v>2514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ColWidth="8.875" defaultRowHeight="13.5"/>
  <cols>
    <col min="1" max="1" width="10.5" customWidth="1"/>
    <col min="2" max="2" width="12.875" customWidth="1"/>
    <col min="3" max="3" width="8.625" customWidth="1"/>
  </cols>
  <sheetData>
    <row r="1" spans="1:9" ht="14.25">
      <c r="A1" s="3335" t="s">
        <v>1073</v>
      </c>
      <c r="B1" s="3336"/>
      <c r="C1" s="3337"/>
      <c r="D1" s="3338">
        <f>SUM(I10,I15,I20,I21,I23)</f>
        <v>0</v>
      </c>
      <c r="E1" s="3338"/>
      <c r="F1" s="3338"/>
      <c r="G1" s="3338"/>
      <c r="H1" s="3338"/>
      <c r="I1" s="3339"/>
    </row>
    <row r="2" spans="1:9">
      <c r="A2" s="3325" t="s">
        <v>1074</v>
      </c>
      <c r="B2" s="3326" t="s">
        <v>1075</v>
      </c>
      <c r="C2" s="3326"/>
      <c r="D2" s="1295" t="s">
        <v>1076</v>
      </c>
      <c r="E2" s="1295" t="s">
        <v>1077</v>
      </c>
      <c r="F2" s="1295" t="s">
        <v>1078</v>
      </c>
      <c r="G2" s="1295" t="s">
        <v>1079</v>
      </c>
      <c r="H2" s="1295" t="s">
        <v>1080</v>
      </c>
      <c r="I2" s="1296" t="s">
        <v>1081</v>
      </c>
    </row>
    <row r="3" spans="1:9">
      <c r="A3" s="3325"/>
      <c r="B3" s="3326" t="s">
        <v>1082</v>
      </c>
      <c r="C3" s="3326"/>
      <c r="D3" s="1297"/>
      <c r="E3" s="1295"/>
      <c r="F3" s="1298"/>
      <c r="G3" s="1298"/>
      <c r="H3" s="1299"/>
      <c r="I3" s="1300">
        <f>ROUND(D3*E3*F3*G3*H3/10000,0)</f>
        <v>0</v>
      </c>
    </row>
    <row r="4" spans="1:9">
      <c r="A4" s="3325"/>
      <c r="B4" s="3326" t="s">
        <v>1083</v>
      </c>
      <c r="C4" s="3326"/>
      <c r="D4" s="1297"/>
      <c r="E4" s="1295"/>
      <c r="F4" s="1298"/>
      <c r="G4" s="1298"/>
      <c r="H4" s="1299"/>
      <c r="I4" s="1300">
        <f t="shared" ref="I4:I9" si="0">ROUND(D4*E4*F4*G4*H4/10000,0)</f>
        <v>0</v>
      </c>
    </row>
    <row r="5" spans="1:9">
      <c r="A5" s="3325"/>
      <c r="B5" s="3326" t="s">
        <v>1084</v>
      </c>
      <c r="C5" s="3326"/>
      <c r="D5" s="1297"/>
      <c r="E5" s="1295"/>
      <c r="F5" s="1298"/>
      <c r="G5" s="1298"/>
      <c r="H5" s="1299"/>
      <c r="I5" s="1300">
        <f t="shared" si="0"/>
        <v>0</v>
      </c>
    </row>
    <row r="6" spans="1:9">
      <c r="A6" s="3325"/>
      <c r="B6" s="3326" t="s">
        <v>1085</v>
      </c>
      <c r="C6" s="3326"/>
      <c r="D6" s="1297"/>
      <c r="E6" s="1295"/>
      <c r="F6" s="1298"/>
      <c r="G6" s="1298"/>
      <c r="H6" s="1299"/>
      <c r="I6" s="1300">
        <f t="shared" si="0"/>
        <v>0</v>
      </c>
    </row>
    <row r="7" spans="1:9">
      <c r="A7" s="3325"/>
      <c r="B7" s="3326" t="s">
        <v>1086</v>
      </c>
      <c r="C7" s="3326"/>
      <c r="D7" s="1297"/>
      <c r="E7" s="1295"/>
      <c r="F7" s="1298"/>
      <c r="G7" s="1298"/>
      <c r="H7" s="1299"/>
      <c r="I7" s="1300">
        <f t="shared" si="0"/>
        <v>0</v>
      </c>
    </row>
    <row r="8" spans="1:9">
      <c r="A8" s="3325"/>
      <c r="B8" s="3326" t="s">
        <v>1087</v>
      </c>
      <c r="C8" s="3326"/>
      <c r="D8" s="1297"/>
      <c r="E8" s="1295"/>
      <c r="F8" s="1298"/>
      <c r="G8" s="1298"/>
      <c r="H8" s="1299"/>
      <c r="I8" s="1300">
        <f t="shared" si="0"/>
        <v>0</v>
      </c>
    </row>
    <row r="9" spans="1:9">
      <c r="A9" s="3325"/>
      <c r="B9" s="3326" t="s">
        <v>1088</v>
      </c>
      <c r="C9" s="3326"/>
      <c r="D9" s="1297"/>
      <c r="E9" s="1295"/>
      <c r="F9" s="1298"/>
      <c r="G9" s="1298"/>
      <c r="H9" s="1299"/>
      <c r="I9" s="1300">
        <f t="shared" si="0"/>
        <v>0</v>
      </c>
    </row>
    <row r="10" spans="1:9">
      <c r="A10" s="3325"/>
      <c r="B10" s="3327" t="s">
        <v>1089</v>
      </c>
      <c r="C10" s="3327"/>
      <c r="D10" s="1301"/>
      <c r="E10" s="1301" t="e">
        <f>ROUND(D1*10000/D10/H9,0)</f>
        <v>#DIV/0!</v>
      </c>
      <c r="F10" s="1302"/>
      <c r="G10" s="1302"/>
      <c r="H10" s="1303"/>
      <c r="I10" s="1304">
        <f>SUM(I3:I9)</f>
        <v>0</v>
      </c>
    </row>
    <row r="11" spans="1:9" ht="14.25">
      <c r="A11" s="3325" t="s">
        <v>1090</v>
      </c>
      <c r="B11" s="3326" t="s">
        <v>1091</v>
      </c>
      <c r="C11" s="3326"/>
      <c r="D11" s="1297" t="s">
        <v>1092</v>
      </c>
      <c r="E11" s="1297" t="s">
        <v>1093</v>
      </c>
      <c r="F11" s="1298" t="s">
        <v>1094</v>
      </c>
      <c r="G11" s="1298" t="s">
        <v>1080</v>
      </c>
      <c r="H11" s="1305" t="s">
        <v>1095</v>
      </c>
      <c r="I11" s="1296" t="s">
        <v>1081</v>
      </c>
    </row>
    <row r="12" spans="1:9">
      <c r="A12" s="3325"/>
      <c r="B12" s="3326" t="s">
        <v>1096</v>
      </c>
      <c r="C12" s="3326"/>
      <c r="D12" s="1297"/>
      <c r="E12" s="1297"/>
      <c r="F12" s="1298"/>
      <c r="G12" s="1299"/>
      <c r="H12" s="1306"/>
      <c r="I12" s="1296">
        <f>ROUND(D12*E12*F12*G12/10000,0)</f>
        <v>0</v>
      </c>
    </row>
    <row r="13" spans="1:9">
      <c r="A13" s="3325"/>
      <c r="B13" s="3326" t="s">
        <v>1097</v>
      </c>
      <c r="C13" s="3326"/>
      <c r="D13" s="1297"/>
      <c r="E13" s="1297"/>
      <c r="F13" s="1298"/>
      <c r="G13" s="1299"/>
      <c r="H13" s="1306"/>
      <c r="I13" s="1296">
        <f>ROUND(D13*E13*F13*G13/10000,0)</f>
        <v>0</v>
      </c>
    </row>
    <row r="14" spans="1:9">
      <c r="A14" s="3325"/>
      <c r="B14" s="3326" t="s">
        <v>1098</v>
      </c>
      <c r="C14" s="3326"/>
      <c r="D14" s="1297"/>
      <c r="E14" s="1297"/>
      <c r="F14" s="1298"/>
      <c r="G14" s="1299"/>
      <c r="H14" s="1306"/>
      <c r="I14" s="1296">
        <f>ROUND(D14*E14*F14*G14/10000,0)</f>
        <v>0</v>
      </c>
    </row>
    <row r="15" spans="1:9">
      <c r="A15" s="3325"/>
      <c r="B15" s="3327" t="s">
        <v>1089</v>
      </c>
      <c r="C15" s="3327"/>
      <c r="D15" s="1301"/>
      <c r="E15" s="1301">
        <f>SUM(E12:E14)</f>
        <v>0</v>
      </c>
      <c r="F15" s="1302"/>
      <c r="G15" s="1299"/>
      <c r="H15" s="1306"/>
      <c r="I15" s="1307">
        <f>SUM(I12:I14)</f>
        <v>0</v>
      </c>
    </row>
    <row r="16" spans="1:9" ht="24">
      <c r="A16" s="3325" t="s">
        <v>1099</v>
      </c>
      <c r="B16" s="3326" t="s">
        <v>1100</v>
      </c>
      <c r="C16" s="3326"/>
      <c r="D16" s="1297" t="s">
        <v>1076</v>
      </c>
      <c r="E16" s="1308" t="s">
        <v>1101</v>
      </c>
      <c r="F16" s="1298" t="s">
        <v>1102</v>
      </c>
      <c r="G16" s="1299" t="s">
        <v>1080</v>
      </c>
      <c r="H16" s="1305" t="s">
        <v>1095</v>
      </c>
      <c r="I16" s="1296" t="s">
        <v>1081</v>
      </c>
    </row>
    <row r="17" spans="1:9" ht="14.25">
      <c r="A17" s="3325"/>
      <c r="B17" s="3326" t="s">
        <v>1103</v>
      </c>
      <c r="C17" s="3326"/>
      <c r="D17" s="1297"/>
      <c r="E17" s="1297"/>
      <c r="F17" s="1298"/>
      <c r="G17" s="1299"/>
      <c r="H17" s="1309"/>
      <c r="I17" s="1310">
        <f>ROUND(D17*E17*F17*G17/10000,0)</f>
        <v>0</v>
      </c>
    </row>
    <row r="18" spans="1:9" ht="14.25">
      <c r="A18" s="3325"/>
      <c r="B18" s="3326" t="s">
        <v>1104</v>
      </c>
      <c r="C18" s="3326"/>
      <c r="D18" s="1297"/>
      <c r="E18" s="1297"/>
      <c r="F18" s="1298"/>
      <c r="G18" s="1299"/>
      <c r="H18" s="1309"/>
      <c r="I18" s="1310">
        <f>ROUND(D18*E18*F18*G18/10000,0)</f>
        <v>0</v>
      </c>
    </row>
    <row r="19" spans="1:9" ht="14.25">
      <c r="A19" s="3325"/>
      <c r="B19" s="3326" t="s">
        <v>1105</v>
      </c>
      <c r="C19" s="3326"/>
      <c r="D19" s="1297"/>
      <c r="E19" s="1297"/>
      <c r="F19" s="1298"/>
      <c r="G19" s="1299"/>
      <c r="H19" s="1309"/>
      <c r="I19" s="1310">
        <f>ROUND(D19*E19*F19*G19/10000,0)</f>
        <v>0</v>
      </c>
    </row>
    <row r="20" spans="1:9">
      <c r="A20" s="3325"/>
      <c r="B20" s="3327" t="s">
        <v>1089</v>
      </c>
      <c r="C20" s="3327"/>
      <c r="D20" s="1301">
        <f>SUM(D17:D19)</f>
        <v>0</v>
      </c>
      <c r="E20" s="1301"/>
      <c r="F20" s="1302"/>
      <c r="G20" s="1299"/>
      <c r="H20" s="1306"/>
      <c r="I20" s="1307">
        <f>SUM(I17:I19)</f>
        <v>0</v>
      </c>
    </row>
    <row r="21" spans="1:9">
      <c r="A21" s="3325" t="s">
        <v>1106</v>
      </c>
      <c r="B21" s="3328"/>
      <c r="C21" s="3328"/>
      <c r="D21" s="3328"/>
      <c r="E21" s="3328"/>
      <c r="F21" s="3328"/>
      <c r="G21" s="3328"/>
      <c r="H21" s="1758">
        <v>0.1</v>
      </c>
      <c r="I21" s="1304">
        <f>ROUND(I10*H21,0)</f>
        <v>0</v>
      </c>
    </row>
    <row r="22" spans="1:9" ht="14.25">
      <c r="A22" s="3329" t="s">
        <v>1107</v>
      </c>
      <c r="B22" s="3330"/>
      <c r="C22" s="3331"/>
      <c r="D22" s="1311" t="s">
        <v>1108</v>
      </c>
      <c r="E22" s="1311" t="s">
        <v>1109</v>
      </c>
      <c r="F22" s="1312" t="s">
        <v>1110</v>
      </c>
      <c r="G22" s="1312" t="s">
        <v>1111</v>
      </c>
      <c r="H22" s="1305" t="s">
        <v>1112</v>
      </c>
      <c r="I22" s="1296" t="s">
        <v>1113</v>
      </c>
    </row>
    <row r="23" spans="1:9" ht="14.25" thickBot="1">
      <c r="A23" s="3332"/>
      <c r="B23" s="3333"/>
      <c r="C23" s="3334"/>
      <c r="D23" s="1313"/>
      <c r="E23" s="1313"/>
      <c r="F23" s="1313"/>
      <c r="G23" s="1314"/>
      <c r="H23" s="1315"/>
      <c r="I23" s="1316">
        <f>ROUND(E23*D23*F23*(1-G23)/10000,0)</f>
        <v>0</v>
      </c>
    </row>
    <row r="26" spans="1:9">
      <c r="A26" s="1317" t="s">
        <v>1114</v>
      </c>
      <c r="B26" s="1317"/>
      <c r="C26" s="1317"/>
      <c r="D26" s="1317"/>
      <c r="E26" s="3322">
        <f>C27-C30-C31-C32</f>
        <v>0</v>
      </c>
      <c r="F26" s="3322"/>
      <c r="G26" s="3322"/>
      <c r="H26" s="1730" t="s">
        <v>1336</v>
      </c>
    </row>
    <row r="27" spans="1:9">
      <c r="A27" s="1318">
        <v>1</v>
      </c>
      <c r="B27" s="1319" t="s">
        <v>1115</v>
      </c>
      <c r="C27" s="1319">
        <f>C28+C29</f>
        <v>0</v>
      </c>
      <c r="D27" s="1319"/>
      <c r="E27" s="3323"/>
      <c r="F27" s="3323"/>
      <c r="G27" s="3323"/>
    </row>
    <row r="28" spans="1:9">
      <c r="A28" s="1320" t="s">
        <v>1116</v>
      </c>
      <c r="B28" s="1319" t="s">
        <v>1117</v>
      </c>
      <c r="C28" s="1319"/>
      <c r="D28" s="1319"/>
      <c r="E28" s="3323"/>
      <c r="F28" s="3323"/>
      <c r="G28" s="3323"/>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324"/>
      <c r="F32" s="3324"/>
      <c r="G32" s="3324"/>
    </row>
    <row r="33" spans="1:7" hidden="1">
      <c r="A33" s="3319" t="s">
        <v>1126</v>
      </c>
      <c r="B33" s="3320"/>
      <c r="C33" s="3320"/>
      <c r="D33" s="3321"/>
      <c r="E33" s="3322"/>
      <c r="F33" s="3322"/>
      <c r="G33" s="3322"/>
    </row>
    <row r="34" spans="1:7" hidden="1">
      <c r="A34" s="1322">
        <v>1</v>
      </c>
      <c r="B34" s="1319" t="s">
        <v>1127</v>
      </c>
      <c r="C34" s="1319"/>
      <c r="D34" s="1319"/>
      <c r="E34" s="3323"/>
      <c r="F34" s="3323"/>
      <c r="G34" s="3323"/>
    </row>
    <row r="35" spans="1:7" hidden="1">
      <c r="A35" s="1322">
        <v>2</v>
      </c>
      <c r="B35" s="1319" t="s">
        <v>1128</v>
      </c>
      <c r="C35" s="1319"/>
      <c r="D35" s="1319"/>
      <c r="E35" s="3323"/>
      <c r="F35" s="3323"/>
      <c r="G35" s="3323"/>
    </row>
    <row r="36" spans="1:7" hidden="1">
      <c r="A36" s="1322">
        <v>3</v>
      </c>
      <c r="B36" s="1319" t="s">
        <v>1129</v>
      </c>
      <c r="C36" s="1319"/>
      <c r="D36" s="1319"/>
      <c r="E36" s="3323"/>
      <c r="F36" s="3323"/>
      <c r="G36" s="3323"/>
    </row>
    <row r="37" spans="1:7" hidden="1">
      <c r="A37" s="1322">
        <v>4</v>
      </c>
      <c r="B37" s="1319" t="s">
        <v>1130</v>
      </c>
      <c r="C37" s="1319"/>
      <c r="D37" s="1319"/>
      <c r="E37" s="3323"/>
      <c r="F37" s="3323"/>
      <c r="G37" s="3323"/>
    </row>
    <row r="38" spans="1:7" hidden="1">
      <c r="A38" s="3319" t="s">
        <v>1131</v>
      </c>
      <c r="B38" s="3320"/>
      <c r="C38" s="3320"/>
      <c r="D38" s="3321"/>
      <c r="E38" s="3322"/>
      <c r="F38" s="3322"/>
      <c r="G38" s="33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0" customWidth="1"/>
    <col min="2" max="2" width="15.625" style="400" customWidth="1"/>
    <col min="3" max="3" width="15.1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2614"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2" customFormat="1" ht="28.5" customHeight="1" thickBot="1">
      <c r="A1" s="1611" t="s">
        <v>2517</v>
      </c>
      <c r="B1" s="2574" t="s">
        <v>2631</v>
      </c>
      <c r="C1" s="1627" t="s">
        <v>2519</v>
      </c>
      <c r="D1" s="1614"/>
      <c r="E1" s="2647"/>
      <c r="F1" s="2576"/>
      <c r="G1" s="1624" t="s">
        <v>2632</v>
      </c>
      <c r="H1" s="1623"/>
      <c r="I1" s="1623"/>
      <c r="J1" s="1623"/>
      <c r="K1" s="1625"/>
      <c r="L1" s="1626"/>
      <c r="M1" s="1627"/>
      <c r="N1" s="1627"/>
      <c r="O1" s="1627"/>
      <c r="P1" s="2648"/>
      <c r="Q1" s="2649"/>
      <c r="R1" s="2649"/>
      <c r="S1" s="2649"/>
      <c r="T1" s="2649"/>
      <c r="U1" s="2649"/>
      <c r="V1" s="2649"/>
      <c r="W1" s="2649"/>
      <c r="X1" s="2649"/>
      <c r="Y1" s="2649"/>
      <c r="Z1" s="2649"/>
      <c r="AA1" s="2649"/>
      <c r="AB1" s="2649"/>
      <c r="AC1" s="2650"/>
    </row>
    <row r="2" spans="1:29" s="395" customFormat="1" ht="28.5" customHeight="1" thickTop="1">
      <c r="A2" s="1610" t="s">
        <v>2319</v>
      </c>
      <c r="B2" s="1412" t="e">
        <f ca="1">IF(C2="——",ROUND(C49*D3/10000,0),ROUND(C49*D3/10000,0)-D2)</f>
        <v>#DIV/0!</v>
      </c>
      <c r="C2" s="2578"/>
      <c r="D2" s="1359" t="e">
        <f ca="1">SUMIF(INDIRECT("'"&amp;F2&amp;"'"&amp;"!A:A"),"承租人权益价值",INDIRECT("'"&amp;F2&amp;"'"&amp;"!c:c"))</f>
        <v>#REF!</v>
      </c>
      <c r="E2" s="2579" t="s">
        <v>2320</v>
      </c>
      <c r="F2" s="2580"/>
      <c r="G2" s="1119"/>
      <c r="H2" s="1119"/>
      <c r="I2" s="1119"/>
      <c r="J2" s="1119"/>
      <c r="K2" s="1119"/>
      <c r="L2" s="1122"/>
      <c r="M2" s="1123"/>
      <c r="N2" s="1123"/>
      <c r="O2" s="1123"/>
      <c r="P2" s="2651"/>
      <c r="Q2" s="1123"/>
      <c r="R2" s="1123"/>
      <c r="S2" s="1123"/>
      <c r="T2" s="1123"/>
      <c r="U2" s="1123"/>
      <c r="V2" s="1123"/>
      <c r="W2" s="1123"/>
      <c r="X2" s="1123"/>
      <c r="Y2" s="1123"/>
      <c r="Z2" s="1123"/>
      <c r="AA2" s="1123"/>
      <c r="AB2" s="1123"/>
      <c r="AC2" s="2652"/>
    </row>
    <row r="3" spans="1:29" s="395" customFormat="1" ht="28.5" customHeight="1" thickBot="1">
      <c r="A3" s="244" t="s">
        <v>2321</v>
      </c>
      <c r="B3" s="606" t="e">
        <f ca="1">IF(C2="——",C49,ROUND(B2*10000/D3,0))</f>
        <v>#DIV/0!</v>
      </c>
      <c r="C3" s="397" t="s">
        <v>2633</v>
      </c>
      <c r="D3" s="396">
        <f>IF(D1="",'数据-汇总表'!E3,SUMIF('数据-汇总表'!$C19:$C33,D1,'数据-汇总表'!$E19:$E33))</f>
        <v>900384.25897299999</v>
      </c>
      <c r="E3" s="2653"/>
      <c r="F3" s="1120"/>
      <c r="G3" s="1119"/>
      <c r="H3" s="1119"/>
      <c r="I3" s="1119"/>
      <c r="J3" s="1119"/>
      <c r="K3" s="1121"/>
      <c r="L3" s="1122"/>
      <c r="M3" s="1123"/>
      <c r="N3" s="1123"/>
      <c r="O3" s="1123"/>
      <c r="P3" s="2651"/>
      <c r="Q3" s="1123"/>
      <c r="R3" s="1123"/>
      <c r="S3" s="1123"/>
      <c r="T3" s="1123"/>
      <c r="U3" s="1123"/>
      <c r="V3" s="1123"/>
      <c r="W3" s="1123"/>
      <c r="X3" s="1123"/>
      <c r="Y3" s="1123"/>
      <c r="Z3" s="1123"/>
      <c r="AA3" s="1123"/>
      <c r="AB3" s="1123"/>
      <c r="AC3" s="2653"/>
    </row>
    <row r="4" spans="1:29" ht="15">
      <c r="A4" s="398" t="s">
        <v>2634</v>
      </c>
      <c r="B4" s="399"/>
      <c r="C4" s="3264" t="s">
        <v>2635</v>
      </c>
      <c r="D4" s="3277"/>
      <c r="E4" s="3278" t="s">
        <v>2636</v>
      </c>
      <c r="F4" s="3279"/>
      <c r="G4" s="3264" t="s">
        <v>2637</v>
      </c>
      <c r="H4" s="3277"/>
      <c r="I4" s="3264" t="s">
        <v>2638</v>
      </c>
      <c r="J4" s="3277"/>
      <c r="K4" s="607" t="s">
        <v>2639</v>
      </c>
      <c r="L4" s="1124"/>
      <c r="M4" s="1125"/>
      <c r="N4" s="1125"/>
      <c r="O4" s="1125"/>
      <c r="P4" s="3280" t="s">
        <v>2640</v>
      </c>
      <c r="Q4" s="3281"/>
      <c r="R4" s="3286" t="s">
        <v>2636</v>
      </c>
      <c r="S4" s="3287"/>
      <c r="T4" s="3286" t="s">
        <v>2637</v>
      </c>
      <c r="U4" s="3287"/>
      <c r="V4" s="3273" t="s">
        <v>2638</v>
      </c>
      <c r="W4" s="3273"/>
      <c r="X4" s="1806"/>
      <c r="Y4" s="3286" t="s">
        <v>2640</v>
      </c>
      <c r="Z4" s="3287"/>
      <c r="AA4" s="3274" t="s">
        <v>2636</v>
      </c>
      <c r="AB4" s="3273" t="s">
        <v>2637</v>
      </c>
      <c r="AC4" s="3274" t="s">
        <v>2638</v>
      </c>
    </row>
    <row r="5" spans="1:29" ht="15">
      <c r="A5" s="401"/>
      <c r="B5" s="402"/>
      <c r="C5" s="3294" t="s">
        <v>2531</v>
      </c>
      <c r="D5" s="3295"/>
      <c r="E5" s="3301" t="s">
        <v>2532</v>
      </c>
      <c r="F5" s="3302"/>
      <c r="G5" s="3294" t="s">
        <v>2533</v>
      </c>
      <c r="H5" s="3295"/>
      <c r="I5" s="3294" t="s">
        <v>2534</v>
      </c>
      <c r="J5" s="3295"/>
      <c r="K5" s="607"/>
      <c r="L5" s="1124"/>
      <c r="M5" s="1125"/>
      <c r="N5" s="1125"/>
      <c r="O5" s="1125"/>
      <c r="P5" s="3282"/>
      <c r="Q5" s="3283"/>
      <c r="R5" s="3288"/>
      <c r="S5" s="3289"/>
      <c r="T5" s="3288"/>
      <c r="U5" s="3289"/>
      <c r="V5" s="3273"/>
      <c r="W5" s="3273"/>
      <c r="X5" s="1806"/>
      <c r="Y5" s="3288"/>
      <c r="Z5" s="3289"/>
      <c r="AA5" s="3275"/>
      <c r="AB5" s="3273"/>
      <c r="AC5" s="3275"/>
    </row>
    <row r="6" spans="1:29" ht="15.75" thickBot="1">
      <c r="A6" s="403"/>
      <c r="B6" s="404"/>
      <c r="C6" s="3292" t="s">
        <v>2535</v>
      </c>
      <c r="D6" s="3293"/>
      <c r="E6" s="3299" t="s">
        <v>2535</v>
      </c>
      <c r="F6" s="3300"/>
      <c r="G6" s="3292" t="s">
        <v>2535</v>
      </c>
      <c r="H6" s="3293"/>
      <c r="I6" s="3292" t="s">
        <v>2535</v>
      </c>
      <c r="J6" s="3293"/>
      <c r="K6" s="607" t="s">
        <v>2536</v>
      </c>
      <c r="L6" s="1124"/>
      <c r="M6" s="1125"/>
      <c r="N6" s="1125"/>
      <c r="O6" s="1125"/>
      <c r="P6" s="3284"/>
      <c r="Q6" s="3285"/>
      <c r="R6" s="3288"/>
      <c r="S6" s="3289"/>
      <c r="T6" s="3290"/>
      <c r="U6" s="3291"/>
      <c r="V6" s="3273"/>
      <c r="W6" s="3273"/>
      <c r="X6" s="1806"/>
      <c r="Y6" s="3290"/>
      <c r="Z6" s="3291"/>
      <c r="AA6" s="3276"/>
      <c r="AB6" s="3273"/>
      <c r="AC6" s="3276"/>
    </row>
    <row r="7" spans="1:29" s="116" customFormat="1" ht="15.75" thickBot="1">
      <c r="A7" s="405" t="s">
        <v>2537</v>
      </c>
      <c r="B7" s="406"/>
      <c r="C7" s="407">
        <f>'数据-取费表'!B2</f>
        <v>43782</v>
      </c>
      <c r="D7" s="408">
        <v>100</v>
      </c>
      <c r="E7" s="409"/>
      <c r="F7" s="410">
        <f>SUMIF(58:58,YEAR(E7)&amp;"-"&amp;MONTH(E7),59:59)</f>
        <v>0</v>
      </c>
      <c r="G7" s="409"/>
      <c r="H7" s="408">
        <f>SUMIF(58:58,YEAR(G7)&amp;"-"&amp;MONTH(G7),59:59)</f>
        <v>0</v>
      </c>
      <c r="I7" s="409"/>
      <c r="J7" s="408">
        <f>SUMIF(58:58,YEAR(I7)&amp;"-"&amp;MONTH(I7),59:59)</f>
        <v>0</v>
      </c>
      <c r="K7" s="608"/>
      <c r="L7" s="1126"/>
      <c r="M7" s="1127"/>
      <c r="N7" s="1127"/>
      <c r="O7" s="1127"/>
      <c r="P7" s="3296" t="s">
        <v>2538</v>
      </c>
      <c r="Q7" s="3298"/>
      <c r="R7" s="766" t="s">
        <v>17</v>
      </c>
      <c r="S7" s="767">
        <f t="shared" ref="S7:S15" si="0">F7</f>
        <v>0</v>
      </c>
      <c r="T7" s="766" t="s">
        <v>17</v>
      </c>
      <c r="U7" s="767">
        <f t="shared" ref="U7:U15" si="1">H7</f>
        <v>0</v>
      </c>
      <c r="V7" s="766" t="s">
        <v>17</v>
      </c>
      <c r="W7" s="767">
        <f t="shared" ref="W7:W15" si="2">J7</f>
        <v>0</v>
      </c>
      <c r="X7" s="768"/>
      <c r="Y7" s="3296" t="s">
        <v>2538</v>
      </c>
      <c r="Z7" s="3297"/>
      <c r="AA7" s="769" t="e">
        <f>D7/F7</f>
        <v>#DIV/0!</v>
      </c>
      <c r="AB7" s="769" t="e">
        <f>D7/H7</f>
        <v>#DIV/0!</v>
      </c>
      <c r="AC7" s="769" t="e">
        <f>D7/J7</f>
        <v>#DIV/0!</v>
      </c>
    </row>
    <row r="8" spans="1:29" s="116" customFormat="1" ht="15.75" thickBot="1">
      <c r="A8" s="405" t="s">
        <v>2539</v>
      </c>
      <c r="B8" s="406"/>
      <c r="C8" s="411" t="s">
        <v>2641</v>
      </c>
      <c r="D8" s="408">
        <v>100</v>
      </c>
      <c r="E8" s="411"/>
      <c r="F8" s="410">
        <f>SUMIF(61:61,E8,62:62)-SUMIF(61:61,C8,62:62)+100</f>
        <v>0</v>
      </c>
      <c r="G8" s="411"/>
      <c r="H8" s="408">
        <f>SUMIF(61:61,G8,62:62)-SUMIF(61:61,C8,62:62)+100</f>
        <v>0</v>
      </c>
      <c r="I8" s="411"/>
      <c r="J8" s="408">
        <f>SUMIF(61:61,I8,62:62)-SUMIF(61:61,C8,62:62)+100</f>
        <v>0</v>
      </c>
      <c r="K8" s="608"/>
      <c r="L8" s="1126"/>
      <c r="M8" s="1127"/>
      <c r="N8" s="1127"/>
      <c r="O8" s="1127"/>
      <c r="P8" s="3296" t="s">
        <v>2541</v>
      </c>
      <c r="Q8" s="3297"/>
      <c r="R8" s="766" t="s">
        <v>17</v>
      </c>
      <c r="S8" s="767">
        <f t="shared" si="0"/>
        <v>0</v>
      </c>
      <c r="T8" s="766" t="s">
        <v>17</v>
      </c>
      <c r="U8" s="767">
        <f t="shared" si="1"/>
        <v>0</v>
      </c>
      <c r="V8" s="766" t="s">
        <v>17</v>
      </c>
      <c r="W8" s="767">
        <f t="shared" si="2"/>
        <v>0</v>
      </c>
      <c r="X8" s="768"/>
      <c r="Y8" s="3296" t="s">
        <v>2541</v>
      </c>
      <c r="Z8" s="3297"/>
      <c r="AA8" s="769" t="e">
        <f t="shared" ref="AA8:AA46" si="3">D8/F8</f>
        <v>#DIV/0!</v>
      </c>
      <c r="AB8" s="769" t="e">
        <f t="shared" ref="AB8:AB46" si="4">D8/H8</f>
        <v>#DIV/0!</v>
      </c>
      <c r="AC8" s="769" t="e">
        <f t="shared" ref="AC8:AC46" si="5">D8/J8</f>
        <v>#DIV/0!</v>
      </c>
    </row>
    <row r="9" spans="1:29" s="116" customFormat="1">
      <c r="A9" s="412" t="s">
        <v>2542</v>
      </c>
      <c r="B9" s="71" t="s">
        <v>2543</v>
      </c>
      <c r="C9" s="413"/>
      <c r="D9" s="132">
        <v>100</v>
      </c>
      <c r="E9" s="414"/>
      <c r="F9" s="415">
        <f>SUMIF(63:63,E9,64:64)-SUMIF(63:63,C9,64:64)+100</f>
        <v>100</v>
      </c>
      <c r="G9" s="414"/>
      <c r="H9" s="132">
        <f>SUMIF(63:63,G9,64:64)-SUMIF(63:63,C9,64:64)+100</f>
        <v>100</v>
      </c>
      <c r="I9" s="414"/>
      <c r="J9" s="132">
        <f>SUMIF(63:63,I9,64:64)-SUMIF(63:63,C9,64:64)+100</f>
        <v>100</v>
      </c>
      <c r="K9" s="608"/>
      <c r="L9" s="1126"/>
      <c r="M9" s="1127"/>
      <c r="N9" s="1127"/>
      <c r="O9" s="1127"/>
      <c r="P9" s="3266" t="s">
        <v>2544</v>
      </c>
      <c r="Q9" s="1788" t="str">
        <f t="shared" ref="Q9:Q15" si="6">B9</f>
        <v>用途</v>
      </c>
      <c r="R9" s="766" t="s">
        <v>17</v>
      </c>
      <c r="S9" s="767">
        <f t="shared" si="0"/>
        <v>100</v>
      </c>
      <c r="T9" s="766" t="s">
        <v>17</v>
      </c>
      <c r="U9" s="767">
        <f t="shared" si="1"/>
        <v>100</v>
      </c>
      <c r="V9" s="766" t="s">
        <v>17</v>
      </c>
      <c r="W9" s="767">
        <f t="shared" si="2"/>
        <v>100</v>
      </c>
      <c r="X9" s="768"/>
      <c r="Y9" s="3087" t="s">
        <v>2545</v>
      </c>
      <c r="Z9" s="55" t="str">
        <f t="shared" ref="Z9:Z15" si="7">Q9</f>
        <v>用途</v>
      </c>
      <c r="AA9" s="769">
        <f t="shared" si="3"/>
        <v>1</v>
      </c>
      <c r="AB9" s="769">
        <f t="shared" si="4"/>
        <v>1</v>
      </c>
      <c r="AC9" s="769">
        <f t="shared" si="5"/>
        <v>1</v>
      </c>
    </row>
    <row r="10" spans="1:29" s="424" customFormat="1" ht="27">
      <c r="A10" s="418"/>
      <c r="B10" s="419" t="s">
        <v>2546</v>
      </c>
      <c r="C10" s="420"/>
      <c r="D10" s="133">
        <v>100</v>
      </c>
      <c r="E10" s="421"/>
      <c r="F10" s="422">
        <f>SUMIF(65:65,E10,66:66)-SUMIF(65:65,C10,66:66)+100</f>
        <v>100</v>
      </c>
      <c r="G10" s="420"/>
      <c r="H10" s="133">
        <f>SUMIF(65:65,G10,66:66)-SUMIF(65:65,C10,66:66)+100</f>
        <v>100</v>
      </c>
      <c r="I10" s="420"/>
      <c r="J10" s="133">
        <f>SUMIF(65:65,I10,66:66)-SUMIF(65:65,C10,66:66)+100</f>
        <v>100</v>
      </c>
      <c r="K10" s="609"/>
      <c r="L10" s="1129"/>
      <c r="M10" s="1130"/>
      <c r="N10" s="1130"/>
      <c r="O10" s="1130"/>
      <c r="P10" s="3266"/>
      <c r="Q10" s="1788" t="str">
        <f t="shared" si="6"/>
        <v>土地使用年限（年）</v>
      </c>
      <c r="R10" s="766" t="s">
        <v>17</v>
      </c>
      <c r="S10" s="767">
        <f t="shared" si="0"/>
        <v>100</v>
      </c>
      <c r="T10" s="766" t="s">
        <v>17</v>
      </c>
      <c r="U10" s="767">
        <f t="shared" si="1"/>
        <v>100</v>
      </c>
      <c r="V10" s="766" t="s">
        <v>17</v>
      </c>
      <c r="W10" s="767">
        <f t="shared" si="2"/>
        <v>100</v>
      </c>
      <c r="X10" s="768"/>
      <c r="Y10" s="3087"/>
      <c r="Z10" s="55" t="str">
        <f t="shared" si="7"/>
        <v>土地使用年限（年）</v>
      </c>
      <c r="AA10" s="769">
        <f t="shared" si="3"/>
        <v>1</v>
      </c>
      <c r="AB10" s="769">
        <f t="shared" si="4"/>
        <v>1</v>
      </c>
      <c r="AC10" s="769">
        <f t="shared" si="5"/>
        <v>1</v>
      </c>
    </row>
    <row r="11" spans="1:29" ht="15">
      <c r="A11" s="425"/>
      <c r="B11" s="419" t="s">
        <v>2547</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2"/>
      <c r="M11" s="1125"/>
      <c r="N11" s="1125"/>
      <c r="O11" s="1125"/>
      <c r="P11" s="3266"/>
      <c r="Q11" s="1788" t="str">
        <f t="shared" si="6"/>
        <v>容积率</v>
      </c>
      <c r="R11" s="766" t="s">
        <v>17</v>
      </c>
      <c r="S11" s="767" t="e">
        <f t="shared" si="0"/>
        <v>#N/A</v>
      </c>
      <c r="T11" s="766" t="s">
        <v>17</v>
      </c>
      <c r="U11" s="767" t="e">
        <f t="shared" si="1"/>
        <v>#N/A</v>
      </c>
      <c r="V11" s="766" t="s">
        <v>17</v>
      </c>
      <c r="W11" s="767" t="e">
        <f t="shared" si="2"/>
        <v>#N/A</v>
      </c>
      <c r="X11" s="768"/>
      <c r="Y11" s="3087"/>
      <c r="Z11" s="55" t="str">
        <f t="shared" si="7"/>
        <v>容积率</v>
      </c>
      <c r="AA11" s="769" t="e">
        <f t="shared" si="3"/>
        <v>#N/A</v>
      </c>
      <c r="AB11" s="769" t="e">
        <f t="shared" si="4"/>
        <v>#N/A</v>
      </c>
      <c r="AC11" s="769" t="e">
        <f t="shared" si="5"/>
        <v>#N/A</v>
      </c>
    </row>
    <row r="12" spans="1:29" s="116" customFormat="1" ht="15">
      <c r="A12" s="428"/>
      <c r="B12" s="2592">
        <v>111</v>
      </c>
      <c r="C12" s="429"/>
      <c r="D12" s="430">
        <v>100</v>
      </c>
      <c r="E12" s="431"/>
      <c r="F12" s="422">
        <f>SUMIF(70:70,E12,71:71)-SUMIF(70:70,C12,71:71)+100</f>
        <v>100</v>
      </c>
      <c r="G12" s="431"/>
      <c r="H12" s="133">
        <f>SUMIF(70:70,G12,71:71)-SUMIF(70:70,C12,71:71)+100</f>
        <v>100</v>
      </c>
      <c r="I12" s="431"/>
      <c r="J12" s="133">
        <f>SUMIF(70:70,I12,71:71)-SUMIF(70:70,C12,71:71)+100</f>
        <v>100</v>
      </c>
      <c r="K12" s="610"/>
      <c r="L12" s="1126"/>
      <c r="M12" s="1127"/>
      <c r="N12" s="1127"/>
      <c r="O12" s="1127"/>
      <c r="P12" s="3266"/>
      <c r="Q12" s="1788">
        <f t="shared" si="6"/>
        <v>111</v>
      </c>
      <c r="R12" s="766" t="s">
        <v>17</v>
      </c>
      <c r="S12" s="767">
        <f t="shared" si="0"/>
        <v>100</v>
      </c>
      <c r="T12" s="766" t="s">
        <v>17</v>
      </c>
      <c r="U12" s="767">
        <f t="shared" si="1"/>
        <v>100</v>
      </c>
      <c r="V12" s="766" t="s">
        <v>17</v>
      </c>
      <c r="W12" s="767">
        <f t="shared" si="2"/>
        <v>100</v>
      </c>
      <c r="X12" s="768"/>
      <c r="Y12" s="3087"/>
      <c r="Z12" s="55">
        <f t="shared" si="7"/>
        <v>111</v>
      </c>
      <c r="AA12" s="769">
        <f>D12/F12</f>
        <v>1</v>
      </c>
      <c r="AB12" s="769">
        <f>D12/H12</f>
        <v>1</v>
      </c>
      <c r="AC12" s="769">
        <f>D12/J12</f>
        <v>1</v>
      </c>
    </row>
    <row r="13" spans="1:29" ht="15">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610"/>
      <c r="L13" s="1134"/>
      <c r="M13" s="1125"/>
      <c r="N13" s="1125"/>
      <c r="O13" s="1125"/>
      <c r="P13" s="3266"/>
      <c r="Q13" s="1788">
        <f t="shared" si="6"/>
        <v>111</v>
      </c>
      <c r="R13" s="766" t="s">
        <v>17</v>
      </c>
      <c r="S13" s="767">
        <f t="shared" si="0"/>
        <v>100</v>
      </c>
      <c r="T13" s="766" t="s">
        <v>17</v>
      </c>
      <c r="U13" s="767">
        <f t="shared" si="1"/>
        <v>100</v>
      </c>
      <c r="V13" s="766" t="s">
        <v>17</v>
      </c>
      <c r="W13" s="767">
        <f t="shared" si="2"/>
        <v>100</v>
      </c>
      <c r="X13" s="768"/>
      <c r="Y13" s="3087"/>
      <c r="Z13" s="55">
        <f t="shared" si="7"/>
        <v>111</v>
      </c>
      <c r="AA13" s="769">
        <f t="shared" si="3"/>
        <v>1</v>
      </c>
      <c r="AB13" s="769">
        <f t="shared" si="4"/>
        <v>1</v>
      </c>
      <c r="AC13" s="769">
        <f t="shared" si="5"/>
        <v>1</v>
      </c>
    </row>
    <row r="14" spans="1:29" ht="15.75" thickBot="1">
      <c r="A14" s="433"/>
      <c r="B14" s="2594">
        <v>111</v>
      </c>
      <c r="C14" s="434"/>
      <c r="D14" s="435">
        <v>100</v>
      </c>
      <c r="E14" s="431"/>
      <c r="F14" s="436">
        <f>SUMIF(74:74,E14,75:75)-SUMIF(74:74,C14,75:75)+100</f>
        <v>100</v>
      </c>
      <c r="G14" s="431"/>
      <c r="H14" s="435">
        <f>SUMIF(74:74,G14,75:75)-SUMIF(74:74,C14,75:75)+100</f>
        <v>100</v>
      </c>
      <c r="I14" s="431"/>
      <c r="J14" s="435">
        <f>SUMIF(74:74,I14,75:75)-SUMIF(74:74,C14,75:75)+100</f>
        <v>100</v>
      </c>
      <c r="K14" s="610"/>
      <c r="L14" s="1134"/>
      <c r="M14" s="1125"/>
      <c r="N14" s="1125"/>
      <c r="O14" s="1125"/>
      <c r="P14" s="3266"/>
      <c r="Q14" s="1788">
        <f t="shared" si="6"/>
        <v>111</v>
      </c>
      <c r="R14" s="766" t="s">
        <v>17</v>
      </c>
      <c r="S14" s="767">
        <f t="shared" si="0"/>
        <v>100</v>
      </c>
      <c r="T14" s="766" t="s">
        <v>17</v>
      </c>
      <c r="U14" s="767">
        <f t="shared" si="1"/>
        <v>100</v>
      </c>
      <c r="V14" s="766" t="s">
        <v>17</v>
      </c>
      <c r="W14" s="767">
        <f t="shared" si="2"/>
        <v>100</v>
      </c>
      <c r="X14" s="768"/>
      <c r="Y14" s="3087"/>
      <c r="Z14" s="55">
        <f t="shared" si="7"/>
        <v>111</v>
      </c>
      <c r="AA14" s="769">
        <f t="shared" si="3"/>
        <v>1</v>
      </c>
      <c r="AB14" s="769">
        <f t="shared" si="4"/>
        <v>1</v>
      </c>
      <c r="AC14" s="769">
        <f t="shared" si="5"/>
        <v>1</v>
      </c>
    </row>
    <row r="15" spans="1:29" ht="71.25">
      <c r="A15" s="437" t="s">
        <v>2548</v>
      </c>
      <c r="B15" s="69" t="s">
        <v>2642</v>
      </c>
      <c r="C15" s="2595"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4"/>
      <c r="M15" s="1125"/>
      <c r="N15" s="1125"/>
      <c r="O15" s="1125"/>
      <c r="P15" s="3305" t="s">
        <v>2549</v>
      </c>
      <c r="Q15" s="1803" t="str">
        <f t="shared" si="6"/>
        <v>商业繁华度</v>
      </c>
      <c r="R15" s="770" t="s">
        <v>17</v>
      </c>
      <c r="S15" s="771">
        <f t="shared" si="0"/>
        <v>100</v>
      </c>
      <c r="T15" s="770" t="s">
        <v>17</v>
      </c>
      <c r="U15" s="771">
        <f t="shared" si="1"/>
        <v>100</v>
      </c>
      <c r="V15" s="770" t="s">
        <v>17</v>
      </c>
      <c r="W15" s="771">
        <f t="shared" si="2"/>
        <v>100</v>
      </c>
      <c r="X15" s="1806"/>
      <c r="Y15" s="3269" t="s">
        <v>2549</v>
      </c>
      <c r="Z15" s="1807" t="str">
        <f t="shared" si="7"/>
        <v>商业繁华度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25"/>
      <c r="P16" s="3306"/>
      <c r="Q16" s="1803"/>
      <c r="R16" s="770"/>
      <c r="S16" s="771"/>
      <c r="T16" s="770"/>
      <c r="U16" s="771"/>
      <c r="V16" s="770"/>
      <c r="W16" s="771"/>
      <c r="X16" s="1806"/>
      <c r="Y16" s="3270"/>
      <c r="Z16" s="1807"/>
      <c r="AA16" s="1804">
        <v>1</v>
      </c>
      <c r="AB16" s="1804">
        <v>1</v>
      </c>
      <c r="AC16" s="1804">
        <v>1</v>
      </c>
    </row>
    <row r="17" spans="1:29" ht="85.5">
      <c r="A17" s="425"/>
      <c r="B17" s="448" t="s">
        <v>2092</v>
      </c>
      <c r="C17" s="2599"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4"/>
      <c r="M17" s="1125"/>
      <c r="N17" s="1125"/>
      <c r="O17" s="1125"/>
      <c r="P17" s="3306"/>
      <c r="Q17" s="1803" t="str">
        <f>B17</f>
        <v>交通便捷度</v>
      </c>
      <c r="R17" s="770" t="s">
        <v>17</v>
      </c>
      <c r="S17" s="771">
        <f>F17</f>
        <v>100</v>
      </c>
      <c r="T17" s="770" t="s">
        <v>17</v>
      </c>
      <c r="U17" s="771">
        <f>H17</f>
        <v>100</v>
      </c>
      <c r="V17" s="770" t="s">
        <v>17</v>
      </c>
      <c r="W17" s="771">
        <f>J17</f>
        <v>100</v>
      </c>
      <c r="X17" s="1806"/>
      <c r="Y17" s="3270"/>
      <c r="Z17" s="1807" t="str">
        <f>Q17</f>
        <v>交通便捷度</v>
      </c>
      <c r="AA17" s="1804">
        <f t="shared" si="3"/>
        <v>1</v>
      </c>
      <c r="AB17" s="1804">
        <f t="shared" si="4"/>
        <v>1</v>
      </c>
      <c r="AC17" s="1804">
        <f t="shared" si="5"/>
        <v>1</v>
      </c>
    </row>
    <row r="18" spans="1:29" ht="15">
      <c r="A18" s="425"/>
      <c r="B18" s="453"/>
      <c r="C18" s="2600"/>
      <c r="D18" s="447"/>
      <c r="E18" s="2602"/>
      <c r="F18" s="450"/>
      <c r="G18" s="2601"/>
      <c r="H18" s="445"/>
      <c r="I18" s="2602"/>
      <c r="J18" s="445"/>
      <c r="K18" s="612"/>
      <c r="L18" s="1134"/>
      <c r="M18" s="1125"/>
      <c r="N18" s="1125"/>
      <c r="O18" s="1125"/>
      <c r="P18" s="3306"/>
      <c r="Q18" s="1803"/>
      <c r="R18" s="770"/>
      <c r="S18" s="771"/>
      <c r="T18" s="770"/>
      <c r="U18" s="771"/>
      <c r="V18" s="770"/>
      <c r="W18" s="771"/>
      <c r="X18" s="1806"/>
      <c r="Y18" s="3270"/>
      <c r="Z18" s="1807"/>
      <c r="AA18" s="1804">
        <v>1</v>
      </c>
      <c r="AB18" s="1804">
        <v>1</v>
      </c>
      <c r="AC18" s="1804">
        <v>1</v>
      </c>
    </row>
    <row r="19" spans="1:29" ht="42.75">
      <c r="A19" s="425"/>
      <c r="B19" s="448" t="s">
        <v>2643</v>
      </c>
      <c r="C19" s="2599"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4"/>
      <c r="M19" s="1125"/>
      <c r="N19" s="1125"/>
      <c r="O19" s="1125"/>
      <c r="P19" s="3306"/>
      <c r="Q19" s="1803" t="str">
        <f>B19</f>
        <v>公共配套设施</v>
      </c>
      <c r="R19" s="770" t="s">
        <v>17</v>
      </c>
      <c r="S19" s="771">
        <f>F19</f>
        <v>100</v>
      </c>
      <c r="T19" s="770" t="s">
        <v>17</v>
      </c>
      <c r="U19" s="771">
        <f>H19</f>
        <v>100</v>
      </c>
      <c r="V19" s="770" t="s">
        <v>17</v>
      </c>
      <c r="W19" s="771">
        <f>J19</f>
        <v>100</v>
      </c>
      <c r="X19" s="1806"/>
      <c r="Y19" s="3270"/>
      <c r="Z19" s="1807" t="str">
        <f>Q19</f>
        <v>公共配套设施</v>
      </c>
      <c r="AA19" s="1804">
        <f t="shared" si="3"/>
        <v>1</v>
      </c>
      <c r="AB19" s="1804">
        <f t="shared" si="4"/>
        <v>1</v>
      </c>
      <c r="AC19" s="1804">
        <f t="shared" si="5"/>
        <v>1</v>
      </c>
    </row>
    <row r="20" spans="1:29" ht="15">
      <c r="A20" s="425"/>
      <c r="B20" s="453"/>
      <c r="C20" s="444"/>
      <c r="D20" s="445"/>
      <c r="E20" s="2597"/>
      <c r="F20" s="446"/>
      <c r="G20" s="2596"/>
      <c r="H20" s="445"/>
      <c r="I20" s="2597"/>
      <c r="J20" s="445"/>
      <c r="K20" s="612"/>
      <c r="L20" s="1134"/>
      <c r="M20" s="1125"/>
      <c r="N20" s="1125"/>
      <c r="O20" s="1125"/>
      <c r="P20" s="3306"/>
      <c r="Q20" s="1803"/>
      <c r="R20" s="770"/>
      <c r="S20" s="771"/>
      <c r="T20" s="770"/>
      <c r="U20" s="771"/>
      <c r="V20" s="770"/>
      <c r="W20" s="771"/>
      <c r="X20" s="1806"/>
      <c r="Y20" s="3270"/>
      <c r="Z20" s="1807"/>
      <c r="AA20" s="1804">
        <v>1</v>
      </c>
      <c r="AB20" s="1804">
        <v>1</v>
      </c>
      <c r="AC20" s="1804">
        <v>1</v>
      </c>
    </row>
    <row r="21" spans="1:29" ht="28.5">
      <c r="A21" s="425"/>
      <c r="B21" s="1378" t="s">
        <v>2644</v>
      </c>
      <c r="C21" s="2599"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4"/>
      <c r="M21" s="1125"/>
      <c r="N21" s="1125"/>
      <c r="O21" s="1125"/>
      <c r="P21" s="3306"/>
      <c r="Q21" s="1803" t="str">
        <f>B21</f>
        <v>基础设施水平</v>
      </c>
      <c r="R21" s="770" t="s">
        <v>17</v>
      </c>
      <c r="S21" s="771">
        <f>F21</f>
        <v>100</v>
      </c>
      <c r="T21" s="770" t="s">
        <v>17</v>
      </c>
      <c r="U21" s="771">
        <f>H21</f>
        <v>100</v>
      </c>
      <c r="V21" s="770" t="s">
        <v>17</v>
      </c>
      <c r="W21" s="771">
        <f>J21</f>
        <v>100</v>
      </c>
      <c r="X21" s="1806"/>
      <c r="Y21" s="3270"/>
      <c r="Z21" s="1807" t="str">
        <f>Q21</f>
        <v>基础设施水平</v>
      </c>
      <c r="AA21" s="1804">
        <f>D21/F21</f>
        <v>1</v>
      </c>
      <c r="AB21" s="1804">
        <f>D21/H21</f>
        <v>1</v>
      </c>
      <c r="AC21" s="1804">
        <f>D21/J21</f>
        <v>1</v>
      </c>
    </row>
    <row r="22" spans="1:29" ht="15">
      <c r="A22" s="425"/>
      <c r="B22" s="1378"/>
      <c r="C22" s="2600"/>
      <c r="D22" s="445"/>
      <c r="E22" s="444"/>
      <c r="F22" s="446"/>
      <c r="G22" s="444"/>
      <c r="H22" s="445"/>
      <c r="I22" s="444"/>
      <c r="J22" s="445"/>
      <c r="K22" s="1377"/>
      <c r="L22" s="1134"/>
      <c r="M22" s="1125"/>
      <c r="N22" s="1125"/>
      <c r="O22" s="1125"/>
      <c r="P22" s="3306"/>
      <c r="Q22" s="1803"/>
      <c r="R22" s="770"/>
      <c r="S22" s="771"/>
      <c r="T22" s="770"/>
      <c r="U22" s="771"/>
      <c r="V22" s="770"/>
      <c r="W22" s="771"/>
      <c r="X22" s="1806"/>
      <c r="Y22" s="3270"/>
      <c r="Z22" s="1807"/>
      <c r="AA22" s="1804">
        <v>1</v>
      </c>
      <c r="AB22" s="1804">
        <v>1</v>
      </c>
      <c r="AC22" s="1804">
        <v>1</v>
      </c>
    </row>
    <row r="23" spans="1:29" ht="57">
      <c r="A23" s="425"/>
      <c r="B23" s="448" t="s">
        <v>2097</v>
      </c>
      <c r="C23" s="2654"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4"/>
      <c r="M23" s="1125"/>
      <c r="N23" s="1125"/>
      <c r="O23" s="1125"/>
      <c r="P23" s="3306"/>
      <c r="Q23" s="1803" t="str">
        <f>B23</f>
        <v>自然及人文环境</v>
      </c>
      <c r="R23" s="770" t="s">
        <v>17</v>
      </c>
      <c r="S23" s="771">
        <f>F23</f>
        <v>100</v>
      </c>
      <c r="T23" s="770" t="s">
        <v>17</v>
      </c>
      <c r="U23" s="771">
        <f>H23</f>
        <v>100</v>
      </c>
      <c r="V23" s="770" t="s">
        <v>17</v>
      </c>
      <c r="W23" s="771">
        <f>J23</f>
        <v>100</v>
      </c>
      <c r="X23" s="1806"/>
      <c r="Y23" s="3270"/>
      <c r="Z23" s="1807" t="str">
        <f>Q23</f>
        <v>自然及人文环境</v>
      </c>
      <c r="AA23" s="1804">
        <f t="shared" si="3"/>
        <v>1</v>
      </c>
      <c r="AB23" s="1804">
        <f t="shared" si="4"/>
        <v>1</v>
      </c>
      <c r="AC23" s="1804">
        <f t="shared" si="5"/>
        <v>1</v>
      </c>
    </row>
    <row r="24" spans="1:29" ht="15">
      <c r="A24" s="425"/>
      <c r="B24" s="453"/>
      <c r="C24" s="444"/>
      <c r="D24" s="445"/>
      <c r="E24" s="2597"/>
      <c r="F24" s="446"/>
      <c r="G24" s="2596"/>
      <c r="H24" s="445"/>
      <c r="I24" s="2597"/>
      <c r="J24" s="445"/>
      <c r="K24" s="612"/>
      <c r="L24" s="1134"/>
      <c r="M24" s="1125"/>
      <c r="N24" s="1125"/>
      <c r="O24" s="1125"/>
      <c r="P24" s="3306"/>
      <c r="Q24" s="1803"/>
      <c r="R24" s="770"/>
      <c r="S24" s="771"/>
      <c r="T24" s="770"/>
      <c r="U24" s="771"/>
      <c r="V24" s="770"/>
      <c r="W24" s="771"/>
      <c r="X24" s="1806"/>
      <c r="Y24" s="3270"/>
      <c r="Z24" s="1807"/>
      <c r="AA24" s="1804">
        <v>1</v>
      </c>
      <c r="AB24" s="1804">
        <v>1</v>
      </c>
      <c r="AC24" s="1804">
        <v>1</v>
      </c>
    </row>
    <row r="25" spans="1:29" ht="15">
      <c r="A25" s="425"/>
      <c r="B25" s="419" t="s">
        <v>2645</v>
      </c>
      <c r="C25" s="613"/>
      <c r="D25" s="432">
        <v>100</v>
      </c>
      <c r="E25" s="613"/>
      <c r="F25" s="458">
        <f>SUMIF(86:86,E25,87:87)-SUMIF(86:86,C25,87:87)+100</f>
        <v>100</v>
      </c>
      <c r="G25" s="613"/>
      <c r="H25" s="432">
        <f>SUMIF(86:86,G25,87:87)-SUMIF(86:86,C25,87:87)+100</f>
        <v>100</v>
      </c>
      <c r="I25" s="613"/>
      <c r="J25" s="432">
        <f>SUMIF(86:86,I25,87:87)-SUMIF(86:86,C25,87:87)+100</f>
        <v>100</v>
      </c>
      <c r="K25" s="609"/>
      <c r="L25" s="1134"/>
      <c r="M25" s="1125"/>
      <c r="N25" s="1125"/>
      <c r="O25" s="1125"/>
      <c r="P25" s="3306"/>
      <c r="Q25" s="1803" t="str">
        <f t="shared" ref="Q25:Q46" si="8">B25</f>
        <v>临街状况</v>
      </c>
      <c r="R25" s="770" t="s">
        <v>17</v>
      </c>
      <c r="S25" s="771">
        <f>F25</f>
        <v>100</v>
      </c>
      <c r="T25" s="770" t="s">
        <v>17</v>
      </c>
      <c r="U25" s="771">
        <f>H25</f>
        <v>100</v>
      </c>
      <c r="V25" s="770" t="s">
        <v>17</v>
      </c>
      <c r="W25" s="771">
        <f>J25</f>
        <v>100</v>
      </c>
      <c r="X25" s="1806"/>
      <c r="Y25" s="3270"/>
      <c r="Z25" s="1807" t="str">
        <f>Q25</f>
        <v>临街状况</v>
      </c>
      <c r="AA25" s="1804">
        <f t="shared" si="3"/>
        <v>1</v>
      </c>
      <c r="AB25" s="1804">
        <f t="shared" si="4"/>
        <v>1</v>
      </c>
      <c r="AC25" s="1804">
        <f t="shared" si="5"/>
        <v>1</v>
      </c>
    </row>
    <row r="26" spans="1:29" ht="15">
      <c r="A26" s="425"/>
      <c r="B26" s="1380" t="s">
        <v>2646</v>
      </c>
      <c r="C26" s="431"/>
      <c r="D26" s="432">
        <v>100</v>
      </c>
      <c r="E26" s="431"/>
      <c r="F26" s="458">
        <f>SUMIF(88:88,E26,89:89)-SUMIF(88:88,C26,89:89)+100</f>
        <v>100</v>
      </c>
      <c r="G26" s="431"/>
      <c r="H26" s="432">
        <f>SUMIF(88:88,G26,89:89)-SUMIF(88:88,C26,89:89)+100</f>
        <v>100</v>
      </c>
      <c r="I26" s="431"/>
      <c r="J26" s="432">
        <f>SUMIF(88:88,I26,89:89)-SUMIF(88:88,C26,89:89)+100</f>
        <v>100</v>
      </c>
      <c r="K26" s="610"/>
      <c r="L26" s="1134"/>
      <c r="M26" s="1125"/>
      <c r="N26" s="1125"/>
      <c r="O26" s="1125"/>
      <c r="P26" s="3306"/>
      <c r="Q26" s="1803" t="str">
        <f t="shared" si="8"/>
        <v>平面位置/可视性</v>
      </c>
      <c r="R26" s="770" t="s">
        <v>17</v>
      </c>
      <c r="S26" s="771">
        <f>F26</f>
        <v>100</v>
      </c>
      <c r="T26" s="770" t="s">
        <v>17</v>
      </c>
      <c r="U26" s="771">
        <f>H26</f>
        <v>100</v>
      </c>
      <c r="V26" s="770" t="s">
        <v>17</v>
      </c>
      <c r="W26" s="771">
        <f>J26</f>
        <v>100</v>
      </c>
      <c r="X26" s="1806"/>
      <c r="Y26" s="3270"/>
      <c r="Z26" s="1807" t="str">
        <f>Q26</f>
        <v>平面位置/可视性</v>
      </c>
      <c r="AA26" s="1804">
        <f t="shared" si="3"/>
        <v>1</v>
      </c>
      <c r="AB26" s="1804">
        <f t="shared" si="4"/>
        <v>1</v>
      </c>
      <c r="AC26" s="1804">
        <f t="shared" si="5"/>
        <v>1</v>
      </c>
    </row>
    <row r="27" spans="1:29" s="116" customFormat="1" ht="15">
      <c r="A27" s="428"/>
      <c r="B27" s="448" t="s">
        <v>2647</v>
      </c>
      <c r="C27" s="2655"/>
      <c r="D27" s="459">
        <v>100</v>
      </c>
      <c r="E27" s="2655"/>
      <c r="F27" s="461">
        <f>SUMIF(90:90,E27,91:91)-SUMIF(90:90,C27,91:91)+100</f>
        <v>100</v>
      </c>
      <c r="G27" s="2655"/>
      <c r="H27" s="459">
        <f>SUMIF(90:90,G27,91:91)-SUMIF(90:90,C27,91:91)+100</f>
        <v>100</v>
      </c>
      <c r="I27" s="2655"/>
      <c r="J27" s="459">
        <f>SUMIF(90:90,I27,91:91)-SUMIF(90:90,C27,91:91)+100</f>
        <v>100</v>
      </c>
      <c r="K27" s="609"/>
      <c r="L27" s="1126"/>
      <c r="M27" s="1127"/>
      <c r="N27" s="1127"/>
      <c r="O27" s="1127"/>
      <c r="P27" s="3306"/>
      <c r="Q27" s="1788" t="str">
        <f t="shared" si="8"/>
        <v>人流量</v>
      </c>
      <c r="R27" s="766" t="s">
        <v>17</v>
      </c>
      <c r="S27" s="767">
        <f>F27</f>
        <v>100</v>
      </c>
      <c r="T27" s="766" t="s">
        <v>17</v>
      </c>
      <c r="U27" s="767">
        <f>H27</f>
        <v>100</v>
      </c>
      <c r="V27" s="766" t="s">
        <v>17</v>
      </c>
      <c r="W27" s="767">
        <f>J27</f>
        <v>100</v>
      </c>
      <c r="X27" s="768"/>
      <c r="Y27" s="3270"/>
      <c r="Z27" s="55" t="str">
        <f>Q27</f>
        <v>人流量</v>
      </c>
      <c r="AA27" s="1804">
        <f>D27/F27</f>
        <v>1</v>
      </c>
      <c r="AB27" s="1804">
        <f>D27/H27</f>
        <v>1</v>
      </c>
      <c r="AC27" s="1804">
        <f>D27/J27</f>
        <v>1</v>
      </c>
    </row>
    <row r="28" spans="1:29" ht="15">
      <c r="A28" s="425"/>
      <c r="B28" s="419" t="s">
        <v>2648</v>
      </c>
      <c r="C28" s="613"/>
      <c r="D28" s="432">
        <v>100</v>
      </c>
      <c r="E28" s="613"/>
      <c r="F28" s="458">
        <f>SUMIF(92:92,E28,93:93)-SUMIF(92:92,C28,93:93)+100</f>
        <v>100</v>
      </c>
      <c r="G28" s="613"/>
      <c r="H28" s="432">
        <f>SUMIF(92:92,G28,93:93)-SUMIF(92:92,C28,93:93)+100</f>
        <v>100</v>
      </c>
      <c r="I28" s="613"/>
      <c r="J28" s="432">
        <f>SUMIF(92:92,I28,93:93)-SUMIF(92:92,C28,93:93)+100</f>
        <v>100</v>
      </c>
      <c r="K28" s="610"/>
      <c r="L28" s="1134"/>
      <c r="M28" s="1125"/>
      <c r="N28" s="1125"/>
      <c r="O28" s="1125"/>
      <c r="P28" s="3306"/>
      <c r="Q28" s="1803" t="str">
        <f t="shared" si="8"/>
        <v>楼层</v>
      </c>
      <c r="R28" s="770" t="s">
        <v>17</v>
      </c>
      <c r="S28" s="771">
        <f t="shared" ref="S28:S46" si="9">F28</f>
        <v>100</v>
      </c>
      <c r="T28" s="770" t="s">
        <v>17</v>
      </c>
      <c r="U28" s="771">
        <f t="shared" ref="U28:U46" si="10">H28</f>
        <v>100</v>
      </c>
      <c r="V28" s="770" t="s">
        <v>17</v>
      </c>
      <c r="W28" s="771">
        <f t="shared" ref="W28:W46" si="11">J28</f>
        <v>100</v>
      </c>
      <c r="X28" s="1806"/>
      <c r="Y28" s="3270"/>
      <c r="Z28" s="1807" t="str">
        <f t="shared" ref="Z28:Z46" si="12">Q28</f>
        <v>楼层</v>
      </c>
      <c r="AA28" s="1804">
        <f t="shared" si="3"/>
        <v>1</v>
      </c>
      <c r="AB28" s="1804">
        <f t="shared" si="4"/>
        <v>1</v>
      </c>
      <c r="AC28" s="1804">
        <f t="shared" si="5"/>
        <v>1</v>
      </c>
    </row>
    <row r="29" spans="1:29" ht="15">
      <c r="A29" s="425"/>
      <c r="B29" s="1380">
        <v>111</v>
      </c>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306"/>
      <c r="Q29" s="1803">
        <f t="shared" si="8"/>
        <v>111</v>
      </c>
      <c r="R29" s="770" t="s">
        <v>17</v>
      </c>
      <c r="S29" s="771">
        <f t="shared" si="9"/>
        <v>100</v>
      </c>
      <c r="T29" s="770" t="s">
        <v>17</v>
      </c>
      <c r="U29" s="771">
        <f t="shared" si="10"/>
        <v>100</v>
      </c>
      <c r="V29" s="770" t="s">
        <v>17</v>
      </c>
      <c r="W29" s="771">
        <f t="shared" si="11"/>
        <v>100</v>
      </c>
      <c r="X29" s="1806"/>
      <c r="Y29" s="3270"/>
      <c r="Z29" s="1807">
        <f t="shared" si="12"/>
        <v>111</v>
      </c>
      <c r="AA29" s="1804">
        <f t="shared" si="3"/>
        <v>1</v>
      </c>
      <c r="AB29" s="1804">
        <f t="shared" si="4"/>
        <v>1</v>
      </c>
      <c r="AC29" s="1804">
        <f t="shared" si="5"/>
        <v>1</v>
      </c>
    </row>
    <row r="30" spans="1:29" ht="15">
      <c r="A30" s="425"/>
      <c r="B30" s="1380">
        <v>111</v>
      </c>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306"/>
      <c r="Q30" s="1803">
        <f t="shared" si="8"/>
        <v>111</v>
      </c>
      <c r="R30" s="770" t="s">
        <v>17</v>
      </c>
      <c r="S30" s="771">
        <f t="shared" si="9"/>
        <v>100</v>
      </c>
      <c r="T30" s="770" t="s">
        <v>17</v>
      </c>
      <c r="U30" s="771">
        <f t="shared" si="10"/>
        <v>100</v>
      </c>
      <c r="V30" s="770" t="s">
        <v>17</v>
      </c>
      <c r="W30" s="771">
        <f t="shared" si="11"/>
        <v>100</v>
      </c>
      <c r="X30" s="1806"/>
      <c r="Y30" s="3270"/>
      <c r="Z30" s="1807">
        <f t="shared" si="12"/>
        <v>111</v>
      </c>
      <c r="AA30" s="1804">
        <f t="shared" si="3"/>
        <v>1</v>
      </c>
      <c r="AB30" s="1804">
        <f t="shared" si="4"/>
        <v>1</v>
      </c>
      <c r="AC30" s="1804">
        <f t="shared" si="5"/>
        <v>1</v>
      </c>
    </row>
    <row r="31" spans="1:29" ht="15.75" thickBot="1">
      <c r="A31" s="433"/>
      <c r="B31" s="1380">
        <v>111</v>
      </c>
      <c r="C31" s="434"/>
      <c r="D31" s="435">
        <v>100</v>
      </c>
      <c r="E31" s="431"/>
      <c r="F31" s="436">
        <f>SUMIF(98:98,E31,99:99)-SUMIF(98:98,C31,99:99)+100</f>
        <v>100</v>
      </c>
      <c r="G31" s="431"/>
      <c r="H31" s="435">
        <f>SUMIF(98:98,G31,99:99)-SUMIF(98:98,C31,99:99)+100</f>
        <v>100</v>
      </c>
      <c r="I31" s="431"/>
      <c r="J31" s="435">
        <f>SUMIF(98:98,I31,99:99)-SUMIF(98:98,C31,99:99)+100</f>
        <v>100</v>
      </c>
      <c r="K31" s="610"/>
      <c r="L31" s="1134"/>
      <c r="M31" s="1125"/>
      <c r="N31" s="1125"/>
      <c r="O31" s="1125"/>
      <c r="P31" s="3306"/>
      <c r="Q31" s="1803">
        <f t="shared" si="8"/>
        <v>111</v>
      </c>
      <c r="R31" s="770" t="s">
        <v>17</v>
      </c>
      <c r="S31" s="771">
        <f t="shared" si="9"/>
        <v>100</v>
      </c>
      <c r="T31" s="770" t="s">
        <v>17</v>
      </c>
      <c r="U31" s="771">
        <f t="shared" si="10"/>
        <v>100</v>
      </c>
      <c r="V31" s="770" t="s">
        <v>17</v>
      </c>
      <c r="W31" s="771">
        <f t="shared" si="11"/>
        <v>100</v>
      </c>
      <c r="X31" s="1806"/>
      <c r="Y31" s="3270"/>
      <c r="Z31" s="1807">
        <f t="shared" si="12"/>
        <v>111</v>
      </c>
      <c r="AA31" s="1804">
        <f t="shared" si="3"/>
        <v>1</v>
      </c>
      <c r="AB31" s="1804">
        <f t="shared" si="4"/>
        <v>1</v>
      </c>
      <c r="AC31" s="1804">
        <f t="shared" si="5"/>
        <v>1</v>
      </c>
    </row>
    <row r="32" spans="1:29" ht="15">
      <c r="A32" s="437" t="s">
        <v>2552</v>
      </c>
      <c r="B32" s="71" t="s">
        <v>2649</v>
      </c>
      <c r="C32" s="2609"/>
      <c r="D32" s="464">
        <v>100</v>
      </c>
      <c r="E32" s="2609"/>
      <c r="F32" s="458">
        <f>SUMIF(100:100,E32,101:101)-SUMIF(100:100,C32,101:101)+100</f>
        <v>100</v>
      </c>
      <c r="G32" s="2609"/>
      <c r="H32" s="432">
        <f>SUMIF(100:100,G32,101:101)-SUMIF(100:100,C32,101:101)+100</f>
        <v>100</v>
      </c>
      <c r="I32" s="2609"/>
      <c r="J32" s="464">
        <f>SUMIF(100:100,I32,101:101)-SUMIF(100:100,C32,101:101)+100</f>
        <v>100</v>
      </c>
      <c r="K32" s="609"/>
      <c r="L32" s="1134"/>
      <c r="M32" s="1125"/>
      <c r="N32" s="1125"/>
      <c r="O32" s="1125"/>
      <c r="P32" s="3307" t="s">
        <v>2554</v>
      </c>
      <c r="Q32" s="1803" t="str">
        <f t="shared" si="8"/>
        <v>商业类型</v>
      </c>
      <c r="R32" s="770" t="s">
        <v>17</v>
      </c>
      <c r="S32" s="771">
        <f t="shared" si="9"/>
        <v>100</v>
      </c>
      <c r="T32" s="770" t="s">
        <v>17</v>
      </c>
      <c r="U32" s="771">
        <f t="shared" si="10"/>
        <v>100</v>
      </c>
      <c r="V32" s="770" t="s">
        <v>17</v>
      </c>
      <c r="W32" s="771">
        <f t="shared" si="11"/>
        <v>100</v>
      </c>
      <c r="X32" s="1806"/>
      <c r="Y32" s="3272" t="s">
        <v>2554</v>
      </c>
      <c r="Z32" s="1807" t="str">
        <f t="shared" si="12"/>
        <v>商业类型</v>
      </c>
      <c r="AA32" s="1804">
        <f t="shared" si="3"/>
        <v>1</v>
      </c>
      <c r="AB32" s="1804">
        <f t="shared" si="4"/>
        <v>1</v>
      </c>
      <c r="AC32" s="1804">
        <f t="shared" si="5"/>
        <v>1</v>
      </c>
    </row>
    <row r="33" spans="1:29" s="468" customFormat="1" ht="15">
      <c r="A33" s="465"/>
      <c r="B33" s="419" t="s">
        <v>2555</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2"/>
      <c r="M33" s="1135"/>
      <c r="N33" s="1135"/>
      <c r="O33" s="1135"/>
      <c r="P33" s="3308"/>
      <c r="Q33" s="772" t="str">
        <f t="shared" si="8"/>
        <v>项目建筑规模</v>
      </c>
      <c r="R33" s="773" t="s">
        <v>17</v>
      </c>
      <c r="S33" s="774" t="e">
        <f t="shared" si="9"/>
        <v>#N/A</v>
      </c>
      <c r="T33" s="773" t="s">
        <v>17</v>
      </c>
      <c r="U33" s="774" t="e">
        <f t="shared" si="10"/>
        <v>#N/A</v>
      </c>
      <c r="V33" s="773" t="s">
        <v>17</v>
      </c>
      <c r="W33" s="774" t="e">
        <f t="shared" si="11"/>
        <v>#N/A</v>
      </c>
      <c r="X33" s="775"/>
      <c r="Y33" s="3272"/>
      <c r="Z33" s="776" t="str">
        <f t="shared" si="12"/>
        <v>项目建筑规模</v>
      </c>
      <c r="AA33" s="1804" t="e">
        <f t="shared" si="3"/>
        <v>#N/A</v>
      </c>
      <c r="AB33" s="1804" t="e">
        <f t="shared" si="4"/>
        <v>#N/A</v>
      </c>
      <c r="AC33" s="1804" t="e">
        <f t="shared" si="5"/>
        <v>#N/A</v>
      </c>
    </row>
    <row r="34" spans="1:29" ht="15">
      <c r="A34" s="469"/>
      <c r="B34" s="419" t="s">
        <v>2556</v>
      </c>
      <c r="C34" s="2610"/>
      <c r="D34" s="432">
        <v>100</v>
      </c>
      <c r="E34" s="2610"/>
      <c r="F34" s="458">
        <f>SUMIF(105:105,E34,106:106)-SUMIF(105:105,C34,106:106)+100</f>
        <v>100</v>
      </c>
      <c r="G34" s="2610"/>
      <c r="H34" s="432">
        <f>SUMIF(105:105,G34,106:106)-SUMIF(105:105,C34,106:106)+100</f>
        <v>100</v>
      </c>
      <c r="I34" s="2610"/>
      <c r="J34" s="432">
        <f>SUMIF(105:105,I34,106:106)-SUMIF(105:105,C34,106:106)+100</f>
        <v>100</v>
      </c>
      <c r="K34" s="609"/>
      <c r="L34" s="1134"/>
      <c r="M34" s="1125"/>
      <c r="N34" s="1125"/>
      <c r="O34" s="1125"/>
      <c r="P34" s="3308"/>
      <c r="Q34" s="1803" t="str">
        <f t="shared" si="8"/>
        <v>建筑结构</v>
      </c>
      <c r="R34" s="770" t="s">
        <v>17</v>
      </c>
      <c r="S34" s="771">
        <f t="shared" si="9"/>
        <v>100</v>
      </c>
      <c r="T34" s="770" t="s">
        <v>17</v>
      </c>
      <c r="U34" s="771">
        <f t="shared" si="10"/>
        <v>100</v>
      </c>
      <c r="V34" s="770" t="s">
        <v>17</v>
      </c>
      <c r="W34" s="771">
        <f t="shared" si="11"/>
        <v>100</v>
      </c>
      <c r="X34" s="1806"/>
      <c r="Y34" s="3272"/>
      <c r="Z34" s="1807" t="str">
        <f t="shared" si="12"/>
        <v>建筑结构</v>
      </c>
      <c r="AA34" s="1804">
        <f t="shared" si="3"/>
        <v>1</v>
      </c>
      <c r="AB34" s="1804">
        <f t="shared" si="4"/>
        <v>1</v>
      </c>
      <c r="AC34" s="1804">
        <f t="shared" si="5"/>
        <v>1</v>
      </c>
    </row>
    <row r="35" spans="1:29" ht="15">
      <c r="A35" s="469"/>
      <c r="B35" s="419" t="s">
        <v>2650</v>
      </c>
      <c r="C35" s="2605"/>
      <c r="D35" s="432">
        <v>100</v>
      </c>
      <c r="E35" s="2605"/>
      <c r="F35" s="458">
        <f>SUMIF(107:107,E35,108:108)-SUMIF(107:107,C35,108:108)+100</f>
        <v>100</v>
      </c>
      <c r="G35" s="2605"/>
      <c r="H35" s="432">
        <f>SUMIF(107:107,G35,108:108)-SUMIF(107:107,C35,108:108)+100</f>
        <v>100</v>
      </c>
      <c r="I35" s="2605"/>
      <c r="J35" s="432">
        <f>SUMIF(107:107,I35,108:108)-SUMIF(107:107,C35,108:108)+100</f>
        <v>100</v>
      </c>
      <c r="K35" s="609"/>
      <c r="L35" s="1134"/>
      <c r="M35" s="1125"/>
      <c r="N35" s="1125"/>
      <c r="O35" s="1125"/>
      <c r="P35" s="3308"/>
      <c r="Q35" s="1803" t="str">
        <f t="shared" si="8"/>
        <v>公共部分装修</v>
      </c>
      <c r="R35" s="770" t="s">
        <v>17</v>
      </c>
      <c r="S35" s="771">
        <f t="shared" si="9"/>
        <v>100</v>
      </c>
      <c r="T35" s="770" t="s">
        <v>17</v>
      </c>
      <c r="U35" s="771">
        <f t="shared" si="10"/>
        <v>100</v>
      </c>
      <c r="V35" s="770" t="s">
        <v>17</v>
      </c>
      <c r="W35" s="771">
        <f t="shared" si="11"/>
        <v>100</v>
      </c>
      <c r="X35" s="1806"/>
      <c r="Y35" s="3272"/>
      <c r="Z35" s="1807" t="str">
        <f t="shared" si="12"/>
        <v>公共部分装修</v>
      </c>
      <c r="AA35" s="1804">
        <f t="shared" si="3"/>
        <v>1</v>
      </c>
      <c r="AB35" s="1804">
        <f t="shared" si="4"/>
        <v>1</v>
      </c>
      <c r="AC35" s="1804">
        <f t="shared" si="5"/>
        <v>1</v>
      </c>
    </row>
    <row r="36" spans="1:29" ht="15">
      <c r="A36" s="469"/>
      <c r="B36" s="419" t="s">
        <v>2651</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4"/>
      <c r="M36" s="1125"/>
      <c r="N36" s="1125"/>
      <c r="O36" s="1125"/>
      <c r="P36" s="3308"/>
      <c r="Q36" s="1803" t="str">
        <f t="shared" si="8"/>
        <v>成新度</v>
      </c>
      <c r="R36" s="770" t="s">
        <v>17</v>
      </c>
      <c r="S36" s="771" t="e">
        <f t="shared" si="9"/>
        <v>#N/A</v>
      </c>
      <c r="T36" s="770" t="s">
        <v>17</v>
      </c>
      <c r="U36" s="771" t="e">
        <f t="shared" si="10"/>
        <v>#N/A</v>
      </c>
      <c r="V36" s="770" t="s">
        <v>17</v>
      </c>
      <c r="W36" s="771" t="e">
        <f t="shared" si="11"/>
        <v>#N/A</v>
      </c>
      <c r="X36" s="1806"/>
      <c r="Y36" s="3272"/>
      <c r="Z36" s="1807" t="str">
        <f t="shared" si="12"/>
        <v>成新度</v>
      </c>
      <c r="AA36" s="1804" t="e">
        <f t="shared" si="3"/>
        <v>#N/A</v>
      </c>
      <c r="AB36" s="1804" t="e">
        <f t="shared" si="4"/>
        <v>#N/A</v>
      </c>
      <c r="AC36" s="1804" t="e">
        <f t="shared" si="5"/>
        <v>#N/A</v>
      </c>
    </row>
    <row r="37" spans="1:29" s="116" customFormat="1" ht="15">
      <c r="A37" s="470"/>
      <c r="B37" s="419" t="s">
        <v>2652</v>
      </c>
      <c r="C37" s="2605"/>
      <c r="D37" s="133">
        <v>100</v>
      </c>
      <c r="E37" s="2605"/>
      <c r="F37" s="458">
        <f>SUMIF(112:112,E37,113:113)-SUMIF(112:112,C37,113:113)+100</f>
        <v>100</v>
      </c>
      <c r="G37" s="2605"/>
      <c r="H37" s="432">
        <f>SUMIF(112:112,G37,113:113)-SUMIF(112:112,C37,113:113)+100</f>
        <v>100</v>
      </c>
      <c r="I37" s="2605"/>
      <c r="J37" s="432">
        <f>SUMIF(112:112,I37,113:113)-SUMIF(112:112,C37,113:113)+100</f>
        <v>100</v>
      </c>
      <c r="K37" s="609"/>
      <c r="L37" s="1126"/>
      <c r="M37" s="1127"/>
      <c r="N37" s="1127"/>
      <c r="O37" s="1127"/>
      <c r="P37" s="3308"/>
      <c r="Q37" s="1788" t="str">
        <f t="shared" si="8"/>
        <v>市政基础设施</v>
      </c>
      <c r="R37" s="766" t="s">
        <v>17</v>
      </c>
      <c r="S37" s="767">
        <f t="shared" si="9"/>
        <v>100</v>
      </c>
      <c r="T37" s="766" t="s">
        <v>17</v>
      </c>
      <c r="U37" s="767">
        <f t="shared" si="10"/>
        <v>100</v>
      </c>
      <c r="V37" s="766" t="s">
        <v>17</v>
      </c>
      <c r="W37" s="767">
        <f t="shared" si="11"/>
        <v>100</v>
      </c>
      <c r="X37" s="768"/>
      <c r="Y37" s="3272"/>
      <c r="Z37" s="55" t="str">
        <f t="shared" si="12"/>
        <v>市政基础设施</v>
      </c>
      <c r="AA37" s="769">
        <f t="shared" si="3"/>
        <v>1</v>
      </c>
      <c r="AB37" s="769">
        <f t="shared" si="4"/>
        <v>1</v>
      </c>
      <c r="AC37" s="769">
        <f t="shared" si="5"/>
        <v>1</v>
      </c>
    </row>
    <row r="38" spans="1:29" ht="15">
      <c r="A38" s="469"/>
      <c r="B38" s="419" t="s">
        <v>2653</v>
      </c>
      <c r="C38" s="2605"/>
      <c r="D38" s="432">
        <v>100</v>
      </c>
      <c r="E38" s="2605"/>
      <c r="F38" s="458">
        <f>SUMIF(114:114,E38,115:115)-SUMIF(114:114,C38,115:115)+100</f>
        <v>100</v>
      </c>
      <c r="G38" s="2605"/>
      <c r="H38" s="432">
        <f>SUMIF(114:114,G38,115:115)-SUMIF(114:114,C38,115:115)+100</f>
        <v>100</v>
      </c>
      <c r="I38" s="2605"/>
      <c r="J38" s="432">
        <f>SUMIF(114:114,I38,115:115)-SUMIF(114:114,C38,115:115)+100</f>
        <v>100</v>
      </c>
      <c r="K38" s="609"/>
      <c r="L38" s="1134"/>
      <c r="M38" s="1125"/>
      <c r="N38" s="1125"/>
      <c r="O38" s="1125"/>
      <c r="P38" s="3308" t="s">
        <v>2554</v>
      </c>
      <c r="Q38" s="1803" t="str">
        <f t="shared" si="8"/>
        <v>业态</v>
      </c>
      <c r="R38" s="770" t="s">
        <v>17</v>
      </c>
      <c r="S38" s="771">
        <f t="shared" si="9"/>
        <v>100</v>
      </c>
      <c r="T38" s="770" t="s">
        <v>17</v>
      </c>
      <c r="U38" s="771">
        <f t="shared" si="10"/>
        <v>100</v>
      </c>
      <c r="V38" s="770" t="s">
        <v>17</v>
      </c>
      <c r="W38" s="771">
        <f t="shared" si="11"/>
        <v>100</v>
      </c>
      <c r="X38" s="1806"/>
      <c r="Y38" s="3272" t="s">
        <v>2554</v>
      </c>
      <c r="Z38" s="1807" t="str">
        <f t="shared" si="12"/>
        <v>业态</v>
      </c>
      <c r="AA38" s="1804">
        <f t="shared" si="3"/>
        <v>1</v>
      </c>
      <c r="AB38" s="1804">
        <f t="shared" si="4"/>
        <v>1</v>
      </c>
      <c r="AC38" s="1804">
        <f t="shared" si="5"/>
        <v>1</v>
      </c>
    </row>
    <row r="39" spans="1:29" ht="15">
      <c r="A39" s="469"/>
      <c r="B39" s="419" t="s">
        <v>2654</v>
      </c>
      <c r="C39" s="2605"/>
      <c r="D39" s="432">
        <v>100</v>
      </c>
      <c r="E39" s="2605"/>
      <c r="F39" s="458">
        <f>SUMIF(116:116,E39,117:117)-SUMIF(116:116,C39,117:117)+100</f>
        <v>100</v>
      </c>
      <c r="G39" s="2605"/>
      <c r="H39" s="432">
        <f>SUMIF(116:116,G39,117:117)-SUMIF(116:116,C39,117:117)+100</f>
        <v>100</v>
      </c>
      <c r="I39" s="2605"/>
      <c r="J39" s="432">
        <f>SUMIF(116:116,I39,117:117)-SUMIF(116:116,C39,117:117)+100</f>
        <v>100</v>
      </c>
      <c r="K39" s="609"/>
      <c r="L39" s="1134"/>
      <c r="M39" s="1125"/>
      <c r="N39" s="1125"/>
      <c r="O39" s="1125"/>
      <c r="P39" s="3308"/>
      <c r="Q39" s="1803" t="str">
        <f t="shared" si="8"/>
        <v>层高</v>
      </c>
      <c r="R39" s="770" t="s">
        <v>17</v>
      </c>
      <c r="S39" s="771">
        <f t="shared" si="9"/>
        <v>100</v>
      </c>
      <c r="T39" s="770" t="s">
        <v>17</v>
      </c>
      <c r="U39" s="771">
        <f t="shared" si="10"/>
        <v>100</v>
      </c>
      <c r="V39" s="770" t="s">
        <v>17</v>
      </c>
      <c r="W39" s="771">
        <f t="shared" si="11"/>
        <v>100</v>
      </c>
      <c r="X39" s="1806"/>
      <c r="Y39" s="3272"/>
      <c r="Z39" s="1807" t="str">
        <f t="shared" si="12"/>
        <v>层高</v>
      </c>
      <c r="AA39" s="1804">
        <f t="shared" si="3"/>
        <v>1</v>
      </c>
      <c r="AB39" s="1804">
        <f t="shared" si="4"/>
        <v>1</v>
      </c>
      <c r="AC39" s="1804">
        <f t="shared" si="5"/>
        <v>1</v>
      </c>
    </row>
    <row r="40" spans="1:29" ht="15">
      <c r="A40" s="469"/>
      <c r="B40" s="419" t="s">
        <v>2655</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4"/>
      <c r="M40" s="1125"/>
      <c r="N40" s="1125"/>
      <c r="O40" s="1125"/>
      <c r="P40" s="3308"/>
      <c r="Q40" s="1803" t="str">
        <f t="shared" si="8"/>
        <v>单套建筑面积</v>
      </c>
      <c r="R40" s="770" t="s">
        <v>17</v>
      </c>
      <c r="S40" s="771">
        <f t="shared" si="9"/>
        <v>100</v>
      </c>
      <c r="T40" s="770" t="s">
        <v>17</v>
      </c>
      <c r="U40" s="771">
        <f t="shared" si="10"/>
        <v>100</v>
      </c>
      <c r="V40" s="770" t="s">
        <v>17</v>
      </c>
      <c r="W40" s="771">
        <f t="shared" si="11"/>
        <v>100</v>
      </c>
      <c r="X40" s="1806"/>
      <c r="Y40" s="3272"/>
      <c r="Z40" s="1807" t="str">
        <f t="shared" si="12"/>
        <v>单套建筑面积</v>
      </c>
      <c r="AA40" s="1804">
        <f t="shared" si="3"/>
        <v>1</v>
      </c>
      <c r="AB40" s="1804">
        <f t="shared" si="4"/>
        <v>1</v>
      </c>
      <c r="AC40" s="1804">
        <f t="shared" si="5"/>
        <v>1</v>
      </c>
    </row>
    <row r="41" spans="1:29" s="468" customFormat="1" ht="15">
      <c r="A41" s="465"/>
      <c r="B41" s="1805" t="s">
        <v>2656</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2"/>
      <c r="M41" s="1135"/>
      <c r="N41" s="1135"/>
      <c r="O41" s="1135"/>
      <c r="P41" s="3308"/>
      <c r="Q41" s="772" t="str">
        <f t="shared" si="8"/>
        <v>进深比</v>
      </c>
      <c r="R41" s="773" t="s">
        <v>17</v>
      </c>
      <c r="S41" s="774">
        <f t="shared" si="9"/>
        <v>100</v>
      </c>
      <c r="T41" s="773" t="s">
        <v>17</v>
      </c>
      <c r="U41" s="774">
        <f t="shared" si="10"/>
        <v>100</v>
      </c>
      <c r="V41" s="773" t="s">
        <v>17</v>
      </c>
      <c r="W41" s="774">
        <f t="shared" si="11"/>
        <v>100</v>
      </c>
      <c r="X41" s="775"/>
      <c r="Y41" s="3272"/>
      <c r="Z41" s="776" t="str">
        <f t="shared" si="12"/>
        <v>进深比</v>
      </c>
      <c r="AA41" s="1804">
        <f t="shared" si="3"/>
        <v>1</v>
      </c>
      <c r="AB41" s="1804">
        <f t="shared" si="4"/>
        <v>1</v>
      </c>
      <c r="AC41" s="1804">
        <f t="shared" si="5"/>
        <v>1</v>
      </c>
    </row>
    <row r="42" spans="1:29" ht="15">
      <c r="A42" s="469"/>
      <c r="B42" s="419" t="s">
        <v>2657</v>
      </c>
      <c r="C42" s="2605"/>
      <c r="D42" s="432">
        <v>100</v>
      </c>
      <c r="E42" s="2605"/>
      <c r="F42" s="458">
        <f>SUMIF(122:122,E42,123:123)-SUMIF(122:122,C42,123:123)+100</f>
        <v>100</v>
      </c>
      <c r="G42" s="2605"/>
      <c r="H42" s="432">
        <f>SUMIF(122:122,G42,123:123)-SUMIF(122:122,C42,123:123)+100</f>
        <v>100</v>
      </c>
      <c r="I42" s="2605"/>
      <c r="J42" s="432">
        <f>SUMIF(122:122,I42,123:123)-SUMIF(122:122,C42,123:123)+100</f>
        <v>100</v>
      </c>
      <c r="K42" s="609"/>
      <c r="L42" s="1134"/>
      <c r="M42" s="1125"/>
      <c r="N42" s="1125"/>
      <c r="O42" s="1125"/>
      <c r="P42" s="3308"/>
      <c r="Q42" s="1803" t="str">
        <f t="shared" si="8"/>
        <v>内部装修</v>
      </c>
      <c r="R42" s="770" t="s">
        <v>17</v>
      </c>
      <c r="S42" s="771">
        <f t="shared" si="9"/>
        <v>100</v>
      </c>
      <c r="T42" s="770" t="s">
        <v>17</v>
      </c>
      <c r="U42" s="771">
        <f t="shared" si="10"/>
        <v>100</v>
      </c>
      <c r="V42" s="770" t="s">
        <v>17</v>
      </c>
      <c r="W42" s="771">
        <f t="shared" si="11"/>
        <v>100</v>
      </c>
      <c r="X42" s="1806"/>
      <c r="Y42" s="3272"/>
      <c r="Z42" s="1807" t="str">
        <f t="shared" si="12"/>
        <v>内部装修</v>
      </c>
      <c r="AA42" s="1804">
        <f t="shared" si="3"/>
        <v>1</v>
      </c>
      <c r="AB42" s="1804">
        <f t="shared" si="4"/>
        <v>1</v>
      </c>
      <c r="AC42" s="1804">
        <f t="shared" si="5"/>
        <v>1</v>
      </c>
    </row>
    <row r="43" spans="1:29" ht="15">
      <c r="A43" s="469"/>
      <c r="B43" s="419" t="s">
        <v>2565</v>
      </c>
      <c r="C43" s="2605"/>
      <c r="D43" s="432">
        <v>100</v>
      </c>
      <c r="E43" s="2605"/>
      <c r="F43" s="458">
        <f>SUMIF(124:124,E43,125:125)-SUMIF(124:124,C43,125:125)+100</f>
        <v>100</v>
      </c>
      <c r="G43" s="2605"/>
      <c r="H43" s="432">
        <f>SUMIF(124:124,G43,125:125)-SUMIF(124:124,C43,125:125)+100</f>
        <v>100</v>
      </c>
      <c r="I43" s="2605"/>
      <c r="J43" s="432">
        <f>SUMIF(124:124,I43,125:125)-SUMIF(124:124,C43,125:125)+100</f>
        <v>100</v>
      </c>
      <c r="K43" s="609"/>
      <c r="L43" s="1134"/>
      <c r="M43" s="1125"/>
      <c r="N43" s="1125"/>
      <c r="O43" s="1125"/>
      <c r="P43" s="3308"/>
      <c r="Q43" s="1803" t="str">
        <f t="shared" si="8"/>
        <v>内部装修维护情况</v>
      </c>
      <c r="R43" s="770" t="s">
        <v>17</v>
      </c>
      <c r="S43" s="771">
        <f t="shared" si="9"/>
        <v>100</v>
      </c>
      <c r="T43" s="770" t="s">
        <v>17</v>
      </c>
      <c r="U43" s="771">
        <f t="shared" si="10"/>
        <v>100</v>
      </c>
      <c r="V43" s="770" t="s">
        <v>17</v>
      </c>
      <c r="W43" s="771">
        <f t="shared" si="11"/>
        <v>100</v>
      </c>
      <c r="X43" s="1806"/>
      <c r="Y43" s="3272"/>
      <c r="Z43" s="1807" t="str">
        <f t="shared" si="12"/>
        <v>内部装修维护情况</v>
      </c>
      <c r="AA43" s="1804">
        <f t="shared" si="3"/>
        <v>1</v>
      </c>
      <c r="AB43" s="1804">
        <f t="shared" si="4"/>
        <v>1</v>
      </c>
      <c r="AC43" s="1804">
        <f t="shared" si="5"/>
        <v>1</v>
      </c>
    </row>
    <row r="44" spans="1:29" s="116" customFormat="1" ht="15">
      <c r="A44" s="470"/>
      <c r="B44" s="1380">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6"/>
      <c r="M44" s="1127"/>
      <c r="N44" s="1127"/>
      <c r="O44" s="1127"/>
      <c r="P44" s="3308"/>
      <c r="Q44" s="1788">
        <f t="shared" si="8"/>
        <v>111</v>
      </c>
      <c r="R44" s="766" t="s">
        <v>17</v>
      </c>
      <c r="S44" s="767">
        <f t="shared" si="9"/>
        <v>100</v>
      </c>
      <c r="T44" s="766" t="s">
        <v>17</v>
      </c>
      <c r="U44" s="767">
        <f t="shared" si="10"/>
        <v>100</v>
      </c>
      <c r="V44" s="766" t="s">
        <v>17</v>
      </c>
      <c r="W44" s="767">
        <f t="shared" si="11"/>
        <v>100</v>
      </c>
      <c r="X44" s="768"/>
      <c r="Y44" s="3272"/>
      <c r="Z44" s="55">
        <f t="shared" si="12"/>
        <v>111</v>
      </c>
      <c r="AA44" s="769">
        <f t="shared" si="3"/>
        <v>1</v>
      </c>
      <c r="AB44" s="769">
        <f t="shared" si="4"/>
        <v>1</v>
      </c>
      <c r="AC44" s="769">
        <f t="shared" si="5"/>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308"/>
      <c r="Q45" s="1803">
        <f t="shared" si="8"/>
        <v>111</v>
      </c>
      <c r="R45" s="770" t="s">
        <v>17</v>
      </c>
      <c r="S45" s="771">
        <f t="shared" si="9"/>
        <v>100</v>
      </c>
      <c r="T45" s="770" t="s">
        <v>17</v>
      </c>
      <c r="U45" s="771">
        <f t="shared" si="10"/>
        <v>100</v>
      </c>
      <c r="V45" s="770" t="s">
        <v>17</v>
      </c>
      <c r="W45" s="771">
        <f t="shared" si="11"/>
        <v>100</v>
      </c>
      <c r="X45" s="1806"/>
      <c r="Y45" s="3272"/>
      <c r="Z45" s="1807">
        <f t="shared" si="12"/>
        <v>111</v>
      </c>
      <c r="AA45" s="1804">
        <f t="shared" si="3"/>
        <v>1</v>
      </c>
      <c r="AB45" s="1804">
        <f t="shared" si="4"/>
        <v>1</v>
      </c>
      <c r="AC45" s="1804">
        <f t="shared" si="5"/>
        <v>1</v>
      </c>
    </row>
    <row r="46" spans="1:29" ht="15.75" thickBot="1">
      <c r="A46" s="475"/>
      <c r="B46" s="2594">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309"/>
      <c r="Q46" s="1803">
        <f t="shared" si="8"/>
        <v>111</v>
      </c>
      <c r="R46" s="770" t="s">
        <v>17</v>
      </c>
      <c r="S46" s="771">
        <f t="shared" si="9"/>
        <v>100</v>
      </c>
      <c r="T46" s="770" t="s">
        <v>17</v>
      </c>
      <c r="U46" s="771">
        <f t="shared" si="10"/>
        <v>100</v>
      </c>
      <c r="V46" s="770" t="s">
        <v>17</v>
      </c>
      <c r="W46" s="771">
        <f t="shared" si="11"/>
        <v>100</v>
      </c>
      <c r="X46" s="1806"/>
      <c r="Y46" s="3310"/>
      <c r="Z46" s="1807">
        <f t="shared" si="12"/>
        <v>111</v>
      </c>
      <c r="AA46" s="1804">
        <f t="shared" si="3"/>
        <v>1</v>
      </c>
      <c r="AB46" s="1804">
        <f t="shared" si="4"/>
        <v>1</v>
      </c>
      <c r="AC46" s="1804">
        <f t="shared" si="5"/>
        <v>1</v>
      </c>
    </row>
    <row r="47" spans="1:29" ht="15">
      <c r="A47" s="476" t="s">
        <v>2566</v>
      </c>
      <c r="B47" s="477"/>
      <c r="C47" s="1401" t="s">
        <v>1</v>
      </c>
      <c r="D47" s="1402"/>
      <c r="E47" s="1403"/>
      <c r="F47" s="1404"/>
      <c r="G47" s="1405"/>
      <c r="H47" s="1406"/>
      <c r="I47" s="1403"/>
      <c r="J47" s="1406"/>
      <c r="K47" s="779"/>
      <c r="L47" s="1137"/>
      <c r="M47" s="1138"/>
      <c r="N47" s="1125"/>
      <c r="O47" s="1138"/>
      <c r="P47" s="3267" t="str">
        <f>A47</f>
        <v>成交单价（元/平方米）</v>
      </c>
      <c r="Q47" s="3267"/>
      <c r="R47" s="3273">
        <f>E47</f>
        <v>0</v>
      </c>
      <c r="S47" s="3273"/>
      <c r="T47" s="3273">
        <f>G47</f>
        <v>0</v>
      </c>
      <c r="U47" s="3273"/>
      <c r="V47" s="3273">
        <f>I47</f>
        <v>0</v>
      </c>
      <c r="W47" s="3273"/>
      <c r="X47" s="755"/>
      <c r="Y47" s="777"/>
      <c r="Z47" s="755"/>
      <c r="AA47" s="755"/>
      <c r="AB47" s="755"/>
      <c r="AC47" s="755"/>
    </row>
    <row r="48" spans="1:29" ht="15.75" thickBot="1">
      <c r="A48" s="483" t="s">
        <v>2658</v>
      </c>
      <c r="B48" s="484"/>
      <c r="C48" s="1407" t="e">
        <f>R49</f>
        <v>#DIV/0!</v>
      </c>
      <c r="D48" s="1408"/>
      <c r="E48" s="1409" t="e">
        <f>R48</f>
        <v>#DIV/0!</v>
      </c>
      <c r="F48" s="1409"/>
      <c r="G48" s="1407" t="e">
        <f>T48</f>
        <v>#DIV/0!</v>
      </c>
      <c r="H48" s="1408"/>
      <c r="I48" s="1409" t="e">
        <f>V48</f>
        <v>#DIV/0!</v>
      </c>
      <c r="J48" s="1408"/>
      <c r="K48" s="780"/>
      <c r="L48" s="1137"/>
      <c r="M48" s="1138"/>
      <c r="N48" s="1125"/>
      <c r="O48" s="1138"/>
      <c r="P48" s="3267" t="str">
        <f>A48</f>
        <v>比较价值（元/平方米）</v>
      </c>
      <c r="Q48" s="3267"/>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755"/>
      <c r="Y48" s="755"/>
      <c r="Z48" s="755"/>
      <c r="AA48" s="755"/>
      <c r="AB48" s="755"/>
      <c r="AC48" s="755"/>
    </row>
    <row r="49" spans="1:29" ht="15.75" thickBot="1">
      <c r="A49" s="489" t="s">
        <v>2659</v>
      </c>
      <c r="B49" s="490"/>
      <c r="C49" s="1411" t="e">
        <f>R49</f>
        <v>#DIV/0!</v>
      </c>
      <c r="D49" s="1411"/>
      <c r="E49" s="1411"/>
      <c r="F49" s="1411"/>
      <c r="G49" s="1411"/>
      <c r="H49" s="1411"/>
      <c r="I49" s="1411"/>
      <c r="J49" s="1411"/>
      <c r="K49" s="781"/>
      <c r="L49" s="1137"/>
      <c r="M49" s="1138"/>
      <c r="N49" s="1125"/>
      <c r="O49" s="1138"/>
      <c r="P49" s="3261" t="str">
        <f>A49</f>
        <v>估价对象XX用房的比较价值（楼面单价，元/平方米）</v>
      </c>
      <c r="Q49" s="3262"/>
      <c r="R49" s="3312" t="e">
        <f>IF(F1="售价",ROUND(AVERAGE(R48:V48),0),ROUND(AVERAGE(R48:V48),1))</f>
        <v>#DIV/0!</v>
      </c>
      <c r="S49" s="3312"/>
      <c r="T49" s="3312"/>
      <c r="U49" s="3312"/>
      <c r="V49" s="3312"/>
      <c r="W49" s="3312"/>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c r="P50" s="672"/>
      <c r="Q50" s="755"/>
      <c r="R50" s="755"/>
      <c r="S50" s="755"/>
      <c r="T50" s="755"/>
      <c r="U50" s="755"/>
      <c r="V50" s="755"/>
      <c r="W50" s="755"/>
      <c r="X50" s="755"/>
      <c r="Y50" s="755"/>
      <c r="Z50" s="755"/>
      <c r="AA50" s="755"/>
      <c r="AB50" s="755"/>
      <c r="AC50" s="755"/>
    </row>
    <row r="51" spans="1:29">
      <c r="A51" s="1138"/>
      <c r="B51" s="1138"/>
      <c r="C51" s="1138"/>
      <c r="D51" s="1138"/>
      <c r="E51" s="1138"/>
      <c r="F51" s="1138"/>
      <c r="G51" s="1138"/>
      <c r="H51" s="1138"/>
      <c r="I51" s="1138"/>
      <c r="J51" s="1138"/>
      <c r="K51" s="1099"/>
      <c r="L51" s="1100"/>
      <c r="M51" s="1138"/>
      <c r="N51" s="1138"/>
      <c r="O51" s="1138"/>
      <c r="P51" s="672"/>
      <c r="Q51" s="755"/>
      <c r="R51" s="755"/>
      <c r="S51" s="755"/>
      <c r="T51" s="755"/>
      <c r="U51" s="755"/>
      <c r="V51" s="755"/>
      <c r="W51" s="755"/>
      <c r="X51" s="755"/>
      <c r="Y51" s="755"/>
      <c r="Z51" s="755"/>
      <c r="AA51" s="755"/>
      <c r="AB51" s="755"/>
      <c r="AC51" s="755"/>
    </row>
    <row r="52" spans="1:29" ht="13.5" customHeight="1">
      <c r="A52" s="1138"/>
      <c r="B52" s="1138"/>
      <c r="C52" s="494" t="s">
        <v>2660</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c r="P52" s="672"/>
      <c r="Q52" s="755"/>
      <c r="R52" s="755"/>
      <c r="S52" s="755"/>
      <c r="T52" s="755"/>
      <c r="U52" s="755"/>
      <c r="V52" s="755"/>
      <c r="W52" s="755"/>
      <c r="X52" s="755"/>
      <c r="Y52" s="755"/>
      <c r="Z52" s="755"/>
      <c r="AA52" s="755"/>
      <c r="AB52" s="755"/>
      <c r="AC52" s="755"/>
    </row>
    <row r="53" spans="1:29" ht="13.5" customHeight="1">
      <c r="A53" s="1138"/>
      <c r="B53" s="1138"/>
      <c r="C53" s="494" t="s">
        <v>2661</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c r="P53" s="672"/>
      <c r="Q53" s="755"/>
      <c r="R53" s="755"/>
      <c r="S53" s="755"/>
      <c r="T53" s="755"/>
      <c r="U53" s="755"/>
      <c r="V53" s="755"/>
      <c r="W53" s="755"/>
      <c r="X53" s="755"/>
      <c r="Y53" s="755"/>
      <c r="Z53" s="755"/>
      <c r="AA53" s="755"/>
      <c r="AB53" s="755"/>
      <c r="AC53" s="755"/>
    </row>
    <row r="54" spans="1:29" s="499" customFormat="1" ht="13.5" customHeight="1">
      <c r="A54" s="1139"/>
      <c r="B54" s="1139"/>
      <c r="C54" s="494" t="s">
        <v>2662</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56"/>
      <c r="Q54" s="756"/>
      <c r="R54" s="756"/>
      <c r="S54" s="756"/>
      <c r="T54" s="756"/>
      <c r="U54" s="756"/>
      <c r="V54" s="756"/>
      <c r="W54" s="756"/>
      <c r="X54" s="756"/>
      <c r="Y54" s="756"/>
      <c r="Z54" s="756"/>
      <c r="AA54" s="756"/>
      <c r="AB54" s="756"/>
      <c r="AC54" s="756"/>
    </row>
    <row r="55" spans="1:29" s="499" customFormat="1">
      <c r="A55" s="1139"/>
      <c r="B55" s="1140"/>
      <c r="C55" s="1144"/>
      <c r="D55" s="1139"/>
      <c r="E55" s="1139"/>
      <c r="F55" s="1139"/>
      <c r="G55" s="1139"/>
      <c r="H55" s="1139"/>
      <c r="I55" s="1139"/>
      <c r="J55" s="1139"/>
      <c r="K55" s="1142"/>
      <c r="L55" s="1143"/>
      <c r="M55" s="1139"/>
      <c r="N55" s="1139"/>
      <c r="O55" s="1139"/>
      <c r="P55" s="2656"/>
      <c r="Q55" s="756"/>
      <c r="R55" s="756"/>
      <c r="S55" s="756"/>
      <c r="T55" s="756"/>
      <c r="U55" s="756"/>
      <c r="V55" s="756"/>
      <c r="W55" s="756"/>
      <c r="X55" s="756"/>
      <c r="Y55" s="756"/>
      <c r="Z55" s="756"/>
      <c r="AA55" s="756"/>
      <c r="AB55" s="756"/>
      <c r="AC55" s="756"/>
    </row>
    <row r="56" spans="1:29">
      <c r="A56" s="1138"/>
      <c r="B56" s="1140"/>
      <c r="C56" s="1144"/>
      <c r="D56" s="1138"/>
      <c r="E56" s="1138"/>
      <c r="F56" s="1138"/>
      <c r="G56" s="1138"/>
      <c r="H56" s="1138"/>
      <c r="I56" s="1138"/>
      <c r="J56" s="1138"/>
      <c r="K56" s="1099"/>
      <c r="L56" s="1100"/>
      <c r="M56" s="1138"/>
      <c r="N56" s="1138"/>
      <c r="O56" s="1138"/>
      <c r="P56" s="672"/>
      <c r="Q56" s="755"/>
      <c r="R56" s="755"/>
      <c r="S56" s="755"/>
      <c r="T56" s="755"/>
      <c r="U56" s="755"/>
      <c r="V56" s="755"/>
      <c r="W56" s="755"/>
      <c r="X56" s="755"/>
      <c r="Y56" s="755"/>
      <c r="Z56" s="755"/>
      <c r="AA56" s="755"/>
      <c r="AB56" s="755"/>
      <c r="AC56" s="755"/>
    </row>
    <row r="57" spans="1:29" ht="21.75" thickBot="1">
      <c r="A57" s="759" t="s">
        <v>2663</v>
      </c>
      <c r="B57" s="755"/>
      <c r="C57" s="760"/>
      <c r="D57" s="760"/>
      <c r="E57" s="760"/>
      <c r="F57" s="761"/>
      <c r="G57" s="761"/>
      <c r="H57" s="760"/>
      <c r="I57" s="760"/>
      <c r="J57" s="760"/>
      <c r="K57" s="762"/>
      <c r="L57" s="1155"/>
      <c r="M57" s="1153"/>
      <c r="N57" s="1153"/>
      <c r="O57" s="1153"/>
      <c r="P57" s="2657"/>
      <c r="Q57" s="2658"/>
      <c r="R57" s="755"/>
      <c r="S57" s="755"/>
      <c r="T57" s="755"/>
      <c r="U57" s="755"/>
      <c r="V57" s="755"/>
      <c r="W57" s="755"/>
      <c r="X57" s="755"/>
      <c r="Y57" s="755"/>
      <c r="Z57" s="755"/>
      <c r="AA57" s="755"/>
      <c r="AB57" s="755"/>
      <c r="AC57" s="755"/>
    </row>
    <row r="58" spans="1:29" s="505" customFormat="1" ht="15">
      <c r="A58" s="502" t="s">
        <v>2537</v>
      </c>
      <c r="B58" s="503"/>
      <c r="C58" s="1567" t="str">
        <f>YEAR(C7)&amp;"-"&amp;MONTH(C7)</f>
        <v>2019-11</v>
      </c>
      <c r="D58" s="1568">
        <f>EDATE(C58,-1)</f>
        <v>43739</v>
      </c>
      <c r="E58" s="1568">
        <f t="shared" ref="E58:N58" si="13">EDATE(D58,-1)</f>
        <v>43709</v>
      </c>
      <c r="F58" s="1568">
        <f t="shared" si="13"/>
        <v>43678</v>
      </c>
      <c r="G58" s="1568">
        <f t="shared" si="13"/>
        <v>43647</v>
      </c>
      <c r="H58" s="1568">
        <f t="shared" si="13"/>
        <v>43617</v>
      </c>
      <c r="I58" s="1568">
        <f t="shared" si="13"/>
        <v>43586</v>
      </c>
      <c r="J58" s="1568">
        <f t="shared" si="13"/>
        <v>43556</v>
      </c>
      <c r="K58" s="1568">
        <f t="shared" si="13"/>
        <v>43525</v>
      </c>
      <c r="L58" s="1568">
        <f t="shared" si="13"/>
        <v>43497</v>
      </c>
      <c r="M58" s="1568">
        <f t="shared" si="13"/>
        <v>43466</v>
      </c>
      <c r="N58" s="1568">
        <f t="shared" si="13"/>
        <v>43435</v>
      </c>
      <c r="O58" s="1568">
        <f>EDATE(N58,-1)</f>
        <v>43405</v>
      </c>
      <c r="P58" s="1563"/>
    </row>
    <row r="59" spans="1:29" s="116" customFormat="1" ht="15">
      <c r="A59" s="506"/>
      <c r="B59" s="507"/>
      <c r="C59" s="1566">
        <v>100</v>
      </c>
      <c r="D59" s="509"/>
      <c r="E59" s="509"/>
      <c r="F59" s="509"/>
      <c r="G59" s="509"/>
      <c r="H59" s="509"/>
      <c r="I59" s="509"/>
      <c r="J59" s="509"/>
      <c r="K59" s="509"/>
      <c r="L59" s="509"/>
      <c r="M59" s="510"/>
      <c r="N59" s="509"/>
      <c r="O59" s="510"/>
      <c r="P59" s="2618"/>
    </row>
    <row r="60" spans="1:29" s="116" customFormat="1" ht="15.75" thickBot="1">
      <c r="A60" s="512" t="s">
        <v>2574</v>
      </c>
      <c r="B60" s="513"/>
      <c r="C60" s="514"/>
      <c r="D60" s="515"/>
      <c r="E60" s="515"/>
      <c r="F60" s="515"/>
      <c r="G60" s="515"/>
      <c r="H60" s="515"/>
      <c r="I60" s="515"/>
      <c r="J60" s="515"/>
      <c r="K60" s="515"/>
      <c r="L60" s="515"/>
      <c r="M60" s="516"/>
      <c r="N60" s="515"/>
      <c r="O60" s="516"/>
      <c r="P60" s="2618"/>
      <c r="Q60" s="501"/>
    </row>
    <row r="61" spans="1:29" s="116" customFormat="1" ht="15">
      <c r="A61" s="518" t="s">
        <v>2539</v>
      </c>
      <c r="B61" s="507"/>
      <c r="C61" s="519" t="s">
        <v>2641</v>
      </c>
      <c r="D61" s="520"/>
      <c r="E61" s="520"/>
      <c r="F61" s="520"/>
      <c r="G61" s="520"/>
      <c r="H61" s="520"/>
      <c r="I61" s="520"/>
      <c r="J61" s="520"/>
      <c r="K61" s="520"/>
      <c r="L61" s="521"/>
      <c r="M61" s="522"/>
      <c r="N61" s="1145"/>
      <c r="O61" s="1145"/>
      <c r="P61" s="2619"/>
      <c r="Q61" s="501"/>
    </row>
    <row r="62" spans="1:29" s="116" customFormat="1" ht="15.75" thickBot="1">
      <c r="A62" s="518"/>
      <c r="B62" s="507"/>
      <c r="C62" s="508">
        <v>100</v>
      </c>
      <c r="D62" s="509"/>
      <c r="E62" s="509"/>
      <c r="F62" s="509"/>
      <c r="G62" s="509"/>
      <c r="H62" s="509"/>
      <c r="I62" s="509"/>
      <c r="J62" s="509"/>
      <c r="K62" s="509"/>
      <c r="L62" s="509"/>
      <c r="M62" s="511"/>
      <c r="N62" s="1145"/>
      <c r="O62" s="1145"/>
      <c r="P62" s="2618"/>
      <c r="Q62" s="501"/>
    </row>
    <row r="63" spans="1:29">
      <c r="A63" s="524" t="s">
        <v>2577</v>
      </c>
      <c r="B63" s="525" t="s">
        <v>2543</v>
      </c>
      <c r="C63" s="526">
        <f>C9</f>
        <v>0</v>
      </c>
      <c r="D63" s="527"/>
      <c r="E63" s="527"/>
      <c r="F63" s="527"/>
      <c r="G63" s="527"/>
      <c r="H63" s="527"/>
      <c r="I63" s="527"/>
      <c r="J63" s="527"/>
      <c r="K63" s="528"/>
      <c r="L63" s="529"/>
      <c r="M63" s="530"/>
      <c r="N63" s="1146"/>
      <c r="O63" s="1146"/>
      <c r="P63" s="2620"/>
      <c r="Q63" s="501"/>
    </row>
    <row r="64" spans="1:29" ht="15.75" thickBot="1">
      <c r="A64" s="531"/>
      <c r="B64" s="532"/>
      <c r="C64" s="533">
        <v>100</v>
      </c>
      <c r="D64" s="533"/>
      <c r="E64" s="533"/>
      <c r="F64" s="533"/>
      <c r="G64" s="533"/>
      <c r="H64" s="533"/>
      <c r="I64" s="533"/>
      <c r="J64" s="533"/>
      <c r="K64" s="533"/>
      <c r="L64" s="533"/>
      <c r="M64" s="534"/>
      <c r="N64" s="1147"/>
      <c r="O64" s="1147"/>
      <c r="P64" s="2620"/>
      <c r="Q64" s="501"/>
    </row>
    <row r="65" spans="1:17" ht="27.75" thickTop="1">
      <c r="A65" s="531"/>
      <c r="B65" s="535" t="s">
        <v>2546</v>
      </c>
      <c r="C65" s="536" t="s">
        <v>2578</v>
      </c>
      <c r="D65" s="536" t="s">
        <v>2579</v>
      </c>
      <c r="E65" s="536" t="s">
        <v>2580</v>
      </c>
      <c r="F65" s="536" t="s">
        <v>2581</v>
      </c>
      <c r="G65" s="536" t="s">
        <v>2582</v>
      </c>
      <c r="H65" s="536" t="s">
        <v>2583</v>
      </c>
      <c r="I65" s="536" t="s">
        <v>2584</v>
      </c>
      <c r="J65" s="536"/>
      <c r="K65" s="537"/>
      <c r="L65" s="538"/>
      <c r="M65" s="539"/>
      <c r="N65" s="1146"/>
      <c r="O65" s="1146"/>
      <c r="P65" s="2620"/>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7"/>
      <c r="O66" s="1147"/>
      <c r="P66" s="2620"/>
      <c r="Q66" s="501"/>
    </row>
    <row r="67" spans="1:17" ht="15.75" thickTop="1">
      <c r="A67" s="531"/>
      <c r="B67" s="543" t="s">
        <v>2547</v>
      </c>
      <c r="C67" s="544" t="str">
        <f>C68&amp;"（含）"&amp;"-"&amp;D68</f>
        <v>（含）-</v>
      </c>
      <c r="D67" s="544" t="str">
        <f t="shared" ref="D67:L67" si="14">D68&amp;"（含）"&amp;"-"&amp;E68</f>
        <v>（含）-</v>
      </c>
      <c r="E67" s="544" t="str">
        <f t="shared" si="14"/>
        <v>（含）-</v>
      </c>
      <c r="F67" s="544" t="str">
        <f t="shared" si="14"/>
        <v>（含）-</v>
      </c>
      <c r="G67" s="544" t="str">
        <f t="shared" si="14"/>
        <v>（含）-</v>
      </c>
      <c r="H67" s="544" t="str">
        <f t="shared" si="14"/>
        <v>（含）-</v>
      </c>
      <c r="I67" s="544" t="str">
        <f t="shared" si="14"/>
        <v>（含）-</v>
      </c>
      <c r="J67" s="544" t="str">
        <f t="shared" si="14"/>
        <v>（含）-</v>
      </c>
      <c r="K67" s="544" t="str">
        <f t="shared" si="14"/>
        <v>（含）-</v>
      </c>
      <c r="L67" s="544" t="str">
        <f t="shared" si="14"/>
        <v>（含）-</v>
      </c>
      <c r="M67" s="445" t="str">
        <f>M68&amp;"（含）"&amp;"-"&amp;P68</f>
        <v>（含）-</v>
      </c>
      <c r="N67" s="1147"/>
      <c r="O67" s="1147"/>
      <c r="P67" s="2620"/>
      <c r="Q67" s="501"/>
    </row>
    <row r="68" spans="1:17" ht="15">
      <c r="A68" s="531"/>
      <c r="B68" s="545"/>
      <c r="C68" s="546"/>
      <c r="D68" s="546"/>
      <c r="E68" s="546"/>
      <c r="F68" s="546"/>
      <c r="G68" s="546"/>
      <c r="H68" s="546"/>
      <c r="I68" s="546"/>
      <c r="J68" s="546"/>
      <c r="K68" s="547"/>
      <c r="L68" s="548"/>
      <c r="M68" s="549"/>
      <c r="N68" s="1146"/>
      <c r="O68" s="1146"/>
      <c r="P68" s="2620"/>
      <c r="Q68" s="501"/>
    </row>
    <row r="69" spans="1:17" ht="15.75" thickBot="1">
      <c r="A69" s="531"/>
      <c r="B69" s="532"/>
      <c r="C69" s="541">
        <v>100</v>
      </c>
      <c r="D69" s="541">
        <f t="shared" ref="D69:M69" si="15">C69-$K11</f>
        <v>100</v>
      </c>
      <c r="E69" s="541">
        <f t="shared" si="15"/>
        <v>100</v>
      </c>
      <c r="F69" s="541">
        <f t="shared" si="15"/>
        <v>100</v>
      </c>
      <c r="G69" s="541">
        <f t="shared" si="15"/>
        <v>100</v>
      </c>
      <c r="H69" s="541">
        <f t="shared" si="15"/>
        <v>100</v>
      </c>
      <c r="I69" s="541">
        <f t="shared" si="15"/>
        <v>100</v>
      </c>
      <c r="J69" s="541">
        <f t="shared" si="15"/>
        <v>100</v>
      </c>
      <c r="K69" s="541">
        <f t="shared" si="15"/>
        <v>100</v>
      </c>
      <c r="L69" s="541">
        <f t="shared" si="15"/>
        <v>100</v>
      </c>
      <c r="M69" s="542">
        <f t="shared" si="15"/>
        <v>100</v>
      </c>
      <c r="N69" s="1147"/>
      <c r="O69" s="1147"/>
      <c r="P69" s="2620"/>
      <c r="Q69" s="501"/>
    </row>
    <row r="70" spans="1:17" s="468" customFormat="1" ht="15.75" thickTop="1">
      <c r="A70" s="550"/>
      <c r="B70" s="535">
        <f>B12</f>
        <v>111</v>
      </c>
      <c r="C70" s="551"/>
      <c r="D70" s="551"/>
      <c r="E70" s="551"/>
      <c r="F70" s="551"/>
      <c r="G70" s="551"/>
      <c r="H70" s="552"/>
      <c r="I70" s="552"/>
      <c r="J70" s="552"/>
      <c r="K70" s="552"/>
      <c r="L70" s="553"/>
      <c r="M70" s="554"/>
      <c r="N70" s="1148"/>
      <c r="O70" s="1148"/>
      <c r="P70" s="2621"/>
      <c r="Q70" s="556"/>
    </row>
    <row r="71" spans="1:17" s="468" customFormat="1" ht="15.75" thickBot="1">
      <c r="A71" s="550"/>
      <c r="B71" s="540"/>
      <c r="C71" s="557"/>
      <c r="D71" s="533"/>
      <c r="E71" s="533"/>
      <c r="F71" s="533"/>
      <c r="G71" s="533"/>
      <c r="H71" s="533"/>
      <c r="I71" s="533"/>
      <c r="J71" s="533"/>
      <c r="K71" s="533"/>
      <c r="L71" s="533"/>
      <c r="M71" s="534"/>
      <c r="N71" s="1147"/>
      <c r="O71" s="1147"/>
      <c r="P71" s="2621"/>
      <c r="Q71" s="556"/>
    </row>
    <row r="72" spans="1:17" s="468" customFormat="1" ht="15.75" thickTop="1">
      <c r="A72" s="550"/>
      <c r="B72" s="535">
        <f>B13</f>
        <v>111</v>
      </c>
      <c r="C72" s="551"/>
      <c r="D72" s="551"/>
      <c r="E72" s="551"/>
      <c r="F72" s="551"/>
      <c r="G72" s="551"/>
      <c r="H72" s="552"/>
      <c r="I72" s="552"/>
      <c r="J72" s="552"/>
      <c r="K72" s="552"/>
      <c r="L72" s="553"/>
      <c r="M72" s="554"/>
      <c r="N72" s="1148"/>
      <c r="O72" s="1148"/>
      <c r="P72" s="2622"/>
      <c r="Q72" s="558"/>
    </row>
    <row r="73" spans="1:17" s="468" customFormat="1" ht="15.75" thickBot="1">
      <c r="A73" s="550"/>
      <c r="B73" s="540"/>
      <c r="C73" s="557"/>
      <c r="D73" s="533"/>
      <c r="E73" s="533"/>
      <c r="F73" s="533"/>
      <c r="G73" s="557"/>
      <c r="H73" s="559"/>
      <c r="I73" s="559"/>
      <c r="J73" s="559"/>
      <c r="K73" s="559"/>
      <c r="L73" s="559"/>
      <c r="M73" s="560"/>
      <c r="N73" s="1148"/>
      <c r="O73" s="1148"/>
      <c r="P73" s="2621"/>
      <c r="Q73" s="556"/>
    </row>
    <row r="74" spans="1:17" s="468" customFormat="1" ht="15.75" thickTop="1">
      <c r="A74" s="550"/>
      <c r="B74" s="543">
        <f>B14</f>
        <v>111</v>
      </c>
      <c r="C74" s="551"/>
      <c r="D74" s="551"/>
      <c r="E74" s="551"/>
      <c r="F74" s="551"/>
      <c r="G74" s="520"/>
      <c r="H74" s="561"/>
      <c r="I74" s="561"/>
      <c r="J74" s="561"/>
      <c r="K74" s="561"/>
      <c r="L74" s="562"/>
      <c r="M74" s="563"/>
      <c r="N74" s="1148"/>
      <c r="O74" s="1148"/>
      <c r="P74" s="2623"/>
      <c r="Q74" s="556"/>
    </row>
    <row r="75" spans="1:17" s="468" customFormat="1" ht="15.75" thickBot="1">
      <c r="A75" s="565"/>
      <c r="B75" s="566"/>
      <c r="C75" s="567"/>
      <c r="D75" s="567"/>
      <c r="E75" s="567"/>
      <c r="F75" s="567"/>
      <c r="G75" s="567"/>
      <c r="H75" s="568"/>
      <c r="I75" s="568"/>
      <c r="J75" s="568"/>
      <c r="K75" s="568"/>
      <c r="L75" s="568"/>
      <c r="M75" s="569"/>
      <c r="N75" s="1148"/>
      <c r="O75" s="1148"/>
      <c r="P75" s="2621"/>
      <c r="Q75" s="556"/>
    </row>
    <row r="76" spans="1:17">
      <c r="A76" s="524" t="s">
        <v>2548</v>
      </c>
      <c r="B76" s="525" t="s">
        <v>2585</v>
      </c>
      <c r="C76" s="570" t="s">
        <v>2586</v>
      </c>
      <c r="D76" s="570" t="s">
        <v>2587</v>
      </c>
      <c r="E76" s="570" t="s">
        <v>2588</v>
      </c>
      <c r="F76" s="570" t="s">
        <v>2589</v>
      </c>
      <c r="G76" s="570" t="s">
        <v>2590</v>
      </c>
      <c r="H76" s="526"/>
      <c r="I76" s="526"/>
      <c r="J76" s="526"/>
      <c r="K76" s="571"/>
      <c r="L76" s="572"/>
      <c r="M76" s="573"/>
      <c r="N76" s="1146"/>
      <c r="O76" s="1146"/>
      <c r="P76" s="2624"/>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0"/>
      <c r="Q77" s="501"/>
    </row>
    <row r="78" spans="1:17" ht="15.75" thickTop="1">
      <c r="A78" s="531"/>
      <c r="B78" s="535" t="s">
        <v>2591</v>
      </c>
      <c r="C78" s="575" t="s">
        <v>2586</v>
      </c>
      <c r="D78" s="575" t="s">
        <v>2587</v>
      </c>
      <c r="E78" s="575" t="s">
        <v>2588</v>
      </c>
      <c r="F78" s="575" t="s">
        <v>2589</v>
      </c>
      <c r="G78" s="575" t="s">
        <v>2590</v>
      </c>
      <c r="H78" s="536"/>
      <c r="I78" s="536"/>
      <c r="J78" s="536"/>
      <c r="K78" s="537"/>
      <c r="L78" s="538"/>
      <c r="M78" s="539"/>
      <c r="N78" s="1146"/>
      <c r="O78" s="1146"/>
      <c r="P78" s="2620"/>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0"/>
      <c r="Q79" s="501"/>
    </row>
    <row r="80" spans="1:17" ht="15.75" thickTop="1">
      <c r="A80" s="531"/>
      <c r="B80" s="535" t="s">
        <v>2592</v>
      </c>
      <c r="C80" s="575" t="s">
        <v>2586</v>
      </c>
      <c r="D80" s="575" t="s">
        <v>2587</v>
      </c>
      <c r="E80" s="575" t="s">
        <v>2588</v>
      </c>
      <c r="F80" s="575" t="s">
        <v>2589</v>
      </c>
      <c r="G80" s="575" t="s">
        <v>2590</v>
      </c>
      <c r="H80" s="536"/>
      <c r="I80" s="536"/>
      <c r="J80" s="536"/>
      <c r="K80" s="537"/>
      <c r="L80" s="538"/>
      <c r="M80" s="539"/>
      <c r="N80" s="1146"/>
      <c r="O80" s="1146"/>
      <c r="P80" s="2620"/>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0"/>
      <c r="Q81" s="501"/>
    </row>
    <row r="82" spans="1:17" ht="15.75" thickTop="1">
      <c r="A82" s="531"/>
      <c r="B82" s="543" t="s">
        <v>2644</v>
      </c>
      <c r="C82" s="657" t="s">
        <v>2664</v>
      </c>
      <c r="D82" s="657" t="s">
        <v>2665</v>
      </c>
      <c r="E82" s="657" t="s">
        <v>2666</v>
      </c>
      <c r="F82" s="657" t="s">
        <v>2667</v>
      </c>
      <c r="G82" s="657" t="s">
        <v>2668</v>
      </c>
      <c r="H82" s="536"/>
      <c r="I82" s="536"/>
      <c r="J82" s="536"/>
      <c r="K82" s="536"/>
      <c r="L82" s="536"/>
      <c r="M82" s="1376"/>
      <c r="N82" s="1147"/>
      <c r="O82" s="1147"/>
      <c r="P82" s="2620"/>
      <c r="Q82" s="501"/>
    </row>
    <row r="83" spans="1:17" ht="15.75" thickBot="1">
      <c r="A83" s="531"/>
      <c r="B83" s="543"/>
      <c r="C83" s="541">
        <v>100</v>
      </c>
      <c r="D83" s="541">
        <f>C83-$K21</f>
        <v>100</v>
      </c>
      <c r="E83" s="541">
        <f>D83-$K21</f>
        <v>100</v>
      </c>
      <c r="F83" s="541">
        <f>E83-$K21</f>
        <v>100</v>
      </c>
      <c r="G83" s="541">
        <f>F83-$K21</f>
        <v>100</v>
      </c>
      <c r="H83" s="657"/>
      <c r="I83" s="657"/>
      <c r="J83" s="657"/>
      <c r="K83" s="657"/>
      <c r="L83" s="657"/>
      <c r="M83" s="447"/>
      <c r="N83" s="1147"/>
      <c r="O83" s="1147"/>
      <c r="P83" s="2620"/>
      <c r="Q83" s="501"/>
    </row>
    <row r="84" spans="1:17" ht="15.75" thickTop="1">
      <c r="A84" s="531"/>
      <c r="B84" s="535" t="s">
        <v>2598</v>
      </c>
      <c r="C84" s="575" t="s">
        <v>2586</v>
      </c>
      <c r="D84" s="575" t="s">
        <v>2587</v>
      </c>
      <c r="E84" s="575" t="s">
        <v>2588</v>
      </c>
      <c r="F84" s="575" t="s">
        <v>2589</v>
      </c>
      <c r="G84" s="575" t="s">
        <v>2590</v>
      </c>
      <c r="H84" s="536"/>
      <c r="I84" s="536"/>
      <c r="J84" s="536"/>
      <c r="K84" s="537"/>
      <c r="L84" s="538"/>
      <c r="M84" s="539"/>
      <c r="N84" s="1146"/>
      <c r="O84" s="1146"/>
      <c r="P84" s="2620"/>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0"/>
      <c r="Q85" s="501"/>
    </row>
    <row r="86" spans="1:17" s="116" customFormat="1" ht="15.75" thickTop="1">
      <c r="A86" s="576"/>
      <c r="B86" s="535" t="s">
        <v>2669</v>
      </c>
      <c r="C86" s="551"/>
      <c r="D86" s="551"/>
      <c r="E86" s="551"/>
      <c r="F86" s="551"/>
      <c r="G86" s="551"/>
      <c r="H86" s="551"/>
      <c r="I86" s="551"/>
      <c r="J86" s="551"/>
      <c r="K86" s="551"/>
      <c r="L86" s="577"/>
      <c r="M86" s="578"/>
      <c r="N86" s="1145"/>
      <c r="O86" s="1145"/>
      <c r="P86" s="2620"/>
      <c r="Q86" s="501"/>
    </row>
    <row r="87" spans="1:17" s="116" customFormat="1" ht="15.75" thickBot="1">
      <c r="A87" s="576"/>
      <c r="B87" s="540"/>
      <c r="C87" s="579">
        <v>100</v>
      </c>
      <c r="D87" s="541">
        <f t="shared" ref="D87:M87" si="16">C87-$K25</f>
        <v>100</v>
      </c>
      <c r="E87" s="541">
        <f t="shared" si="16"/>
        <v>100</v>
      </c>
      <c r="F87" s="541">
        <f t="shared" si="16"/>
        <v>100</v>
      </c>
      <c r="G87" s="541">
        <f t="shared" si="16"/>
        <v>100</v>
      </c>
      <c r="H87" s="541">
        <f t="shared" si="16"/>
        <v>100</v>
      </c>
      <c r="I87" s="541">
        <f t="shared" si="16"/>
        <v>100</v>
      </c>
      <c r="J87" s="541">
        <f t="shared" si="16"/>
        <v>100</v>
      </c>
      <c r="K87" s="541">
        <f t="shared" si="16"/>
        <v>100</v>
      </c>
      <c r="L87" s="541">
        <f t="shared" si="16"/>
        <v>100</v>
      </c>
      <c r="M87" s="541">
        <f t="shared" si="16"/>
        <v>100</v>
      </c>
      <c r="N87" s="1147"/>
      <c r="O87" s="1147"/>
      <c r="P87" s="2620"/>
      <c r="Q87" s="501"/>
    </row>
    <row r="88" spans="1:17" s="116" customFormat="1" ht="15.75" thickTop="1">
      <c r="A88" s="576"/>
      <c r="B88" s="535" t="str">
        <f>B26</f>
        <v>平面位置/可视性</v>
      </c>
      <c r="C88" s="551"/>
      <c r="D88" s="551"/>
      <c r="E88" s="551"/>
      <c r="F88" s="2625"/>
      <c r="G88" s="551"/>
      <c r="H88" s="551"/>
      <c r="I88" s="551"/>
      <c r="J88" s="551"/>
      <c r="K88" s="551"/>
      <c r="L88" s="551"/>
      <c r="M88" s="578"/>
      <c r="N88" s="1145"/>
      <c r="O88" s="1145"/>
      <c r="P88" s="2620"/>
      <c r="Q88" s="501"/>
    </row>
    <row r="89" spans="1:17" s="116" customFormat="1" ht="15.75" thickBot="1">
      <c r="A89" s="576"/>
      <c r="B89" s="540"/>
      <c r="C89" s="557"/>
      <c r="D89" s="533"/>
      <c r="E89" s="533"/>
      <c r="F89" s="533"/>
      <c r="G89" s="533"/>
      <c r="H89" s="533"/>
      <c r="I89" s="533"/>
      <c r="J89" s="533"/>
      <c r="K89" s="533"/>
      <c r="L89" s="533"/>
      <c r="M89" s="533"/>
      <c r="N89" s="1147"/>
      <c r="O89" s="1147"/>
      <c r="P89" s="2620"/>
      <c r="Q89" s="501"/>
    </row>
    <row r="90" spans="1:17" s="468" customFormat="1" ht="15.75" thickTop="1">
      <c r="A90" s="550"/>
      <c r="B90" s="535" t="str">
        <f>B27</f>
        <v>人流量</v>
      </c>
      <c r="C90" s="551"/>
      <c r="D90" s="551"/>
      <c r="E90" s="551"/>
      <c r="F90" s="551"/>
      <c r="G90" s="551"/>
      <c r="H90" s="552"/>
      <c r="I90" s="552"/>
      <c r="J90" s="552"/>
      <c r="K90" s="552"/>
      <c r="L90" s="553"/>
      <c r="M90" s="554"/>
      <c r="N90" s="1148"/>
      <c r="O90" s="1148"/>
      <c r="P90" s="2621"/>
      <c r="Q90" s="556"/>
    </row>
    <row r="91" spans="1:17" s="468" customFormat="1" ht="15.75" thickBot="1">
      <c r="A91" s="550"/>
      <c r="B91" s="540"/>
      <c r="C91" s="579">
        <v>100</v>
      </c>
      <c r="D91" s="541">
        <f>C91-$K27</f>
        <v>100</v>
      </c>
      <c r="E91" s="541">
        <f t="shared" ref="E91:M91" si="17">D91-$K27</f>
        <v>100</v>
      </c>
      <c r="F91" s="541">
        <f t="shared" si="17"/>
        <v>100</v>
      </c>
      <c r="G91" s="541">
        <f t="shared" si="17"/>
        <v>100</v>
      </c>
      <c r="H91" s="541">
        <f t="shared" si="17"/>
        <v>100</v>
      </c>
      <c r="I91" s="541">
        <f t="shared" si="17"/>
        <v>100</v>
      </c>
      <c r="J91" s="541">
        <f t="shared" si="17"/>
        <v>100</v>
      </c>
      <c r="K91" s="541">
        <f t="shared" si="17"/>
        <v>100</v>
      </c>
      <c r="L91" s="541">
        <f t="shared" si="17"/>
        <v>100</v>
      </c>
      <c r="M91" s="541">
        <f t="shared" si="17"/>
        <v>100</v>
      </c>
      <c r="N91" s="1148"/>
      <c r="O91" s="1148"/>
      <c r="P91" s="2621"/>
      <c r="Q91" s="556"/>
    </row>
    <row r="92" spans="1:17" ht="15.75" thickTop="1">
      <c r="A92" s="531"/>
      <c r="B92" s="535" t="str">
        <f>B28</f>
        <v>楼层</v>
      </c>
      <c r="C92" s="551"/>
      <c r="D92" s="551"/>
      <c r="E92" s="551"/>
      <c r="F92" s="551"/>
      <c r="G92" s="551"/>
      <c r="H92" s="551"/>
      <c r="I92" s="551"/>
      <c r="J92" s="551"/>
      <c r="K92" s="551"/>
      <c r="L92" s="577"/>
      <c r="M92" s="578"/>
      <c r="N92" s="1146"/>
      <c r="O92" s="1146"/>
      <c r="P92" s="2620"/>
      <c r="Q92" s="501"/>
    </row>
    <row r="93" spans="1:17" ht="15.75" thickBot="1">
      <c r="A93" s="531"/>
      <c r="B93" s="540"/>
      <c r="C93" s="533"/>
      <c r="D93" s="533"/>
      <c r="E93" s="533"/>
      <c r="F93" s="533"/>
      <c r="G93" s="533"/>
      <c r="H93" s="533"/>
      <c r="I93" s="533"/>
      <c r="J93" s="533"/>
      <c r="K93" s="533"/>
      <c r="L93" s="533"/>
      <c r="M93" s="534"/>
      <c r="N93" s="1147"/>
      <c r="O93" s="1147"/>
      <c r="P93" s="2620"/>
      <c r="Q93" s="501"/>
    </row>
    <row r="94" spans="1:17" ht="15.75" thickTop="1">
      <c r="A94" s="531"/>
      <c r="B94" s="535">
        <f>B29</f>
        <v>111</v>
      </c>
      <c r="C94" s="551"/>
      <c r="D94" s="551"/>
      <c r="E94" s="551"/>
      <c r="F94" s="551"/>
      <c r="G94" s="580"/>
      <c r="H94" s="580"/>
      <c r="I94" s="580"/>
      <c r="J94" s="580"/>
      <c r="K94" s="581"/>
      <c r="L94" s="582"/>
      <c r="M94" s="583"/>
      <c r="N94" s="1146"/>
      <c r="O94" s="1146"/>
      <c r="P94" s="2620"/>
      <c r="Q94" s="501"/>
    </row>
    <row r="95" spans="1:17" ht="15.75" thickBot="1">
      <c r="A95" s="531"/>
      <c r="B95" s="540"/>
      <c r="C95" s="557"/>
      <c r="D95" s="533"/>
      <c r="E95" s="533"/>
      <c r="F95" s="533"/>
      <c r="G95" s="533"/>
      <c r="H95" s="533"/>
      <c r="I95" s="533"/>
      <c r="J95" s="533"/>
      <c r="K95" s="533"/>
      <c r="L95" s="533"/>
      <c r="M95" s="534"/>
      <c r="N95" s="1147"/>
      <c r="O95" s="1147"/>
      <c r="P95" s="2620"/>
      <c r="Q95" s="501"/>
    </row>
    <row r="96" spans="1:17" ht="15.75" thickTop="1">
      <c r="A96" s="531"/>
      <c r="B96" s="535">
        <f>B30</f>
        <v>111</v>
      </c>
      <c r="C96" s="551"/>
      <c r="D96" s="551"/>
      <c r="E96" s="551"/>
      <c r="F96" s="551"/>
      <c r="G96" s="580"/>
      <c r="H96" s="580"/>
      <c r="I96" s="580"/>
      <c r="J96" s="580"/>
      <c r="K96" s="581"/>
      <c r="L96" s="582"/>
      <c r="M96" s="583"/>
      <c r="N96" s="1146"/>
      <c r="O96" s="1146"/>
      <c r="P96" s="2620"/>
      <c r="Q96" s="501"/>
    </row>
    <row r="97" spans="1:17" ht="15.75" thickBot="1">
      <c r="A97" s="531"/>
      <c r="B97" s="540"/>
      <c r="C97" s="557"/>
      <c r="D97" s="533"/>
      <c r="E97" s="533"/>
      <c r="F97" s="533"/>
      <c r="G97" s="533"/>
      <c r="H97" s="533"/>
      <c r="I97" s="533"/>
      <c r="J97" s="533"/>
      <c r="K97" s="533"/>
      <c r="L97" s="533"/>
      <c r="M97" s="534"/>
      <c r="N97" s="1147"/>
      <c r="O97" s="1147"/>
      <c r="P97" s="2620"/>
      <c r="Q97" s="501"/>
    </row>
    <row r="98" spans="1:17" ht="15.75" thickTop="1">
      <c r="A98" s="531"/>
      <c r="B98" s="543">
        <f>B31</f>
        <v>111</v>
      </c>
      <c r="C98" s="551"/>
      <c r="D98" s="551"/>
      <c r="E98" s="551"/>
      <c r="F98" s="551"/>
      <c r="G98" s="584"/>
      <c r="H98" s="584"/>
      <c r="I98" s="584"/>
      <c r="J98" s="584"/>
      <c r="K98" s="585"/>
      <c r="L98" s="586"/>
      <c r="M98" s="587"/>
      <c r="N98" s="1146"/>
      <c r="O98" s="1146"/>
      <c r="P98" s="2620"/>
      <c r="Q98" s="501"/>
    </row>
    <row r="99" spans="1:17" ht="15.75" thickBot="1">
      <c r="A99" s="2626"/>
      <c r="B99" s="566"/>
      <c r="C99" s="567"/>
      <c r="D99" s="567"/>
      <c r="E99" s="567"/>
      <c r="F99" s="567"/>
      <c r="G99" s="588"/>
      <c r="H99" s="588"/>
      <c r="I99" s="588"/>
      <c r="J99" s="588"/>
      <c r="K99" s="588"/>
      <c r="L99" s="588"/>
      <c r="M99" s="589"/>
      <c r="N99" s="1147"/>
      <c r="O99" s="1147"/>
      <c r="P99" s="2620"/>
      <c r="Q99" s="501"/>
    </row>
    <row r="100" spans="1:17">
      <c r="A100" s="524" t="s">
        <v>2552</v>
      </c>
      <c r="B100" s="525" t="s">
        <v>2670</v>
      </c>
      <c r="C100" s="527"/>
      <c r="D100" s="527"/>
      <c r="E100" s="527"/>
      <c r="F100" s="527"/>
      <c r="G100" s="527"/>
      <c r="H100" s="527"/>
      <c r="I100" s="527"/>
      <c r="J100" s="527"/>
      <c r="K100" s="528"/>
      <c r="L100" s="529"/>
      <c r="M100" s="530"/>
      <c r="N100" s="1146"/>
      <c r="O100" s="1146"/>
      <c r="P100" s="2620"/>
      <c r="Q100" s="501"/>
    </row>
    <row r="101" spans="1:17" ht="15.75" thickBot="1">
      <c r="A101" s="531"/>
      <c r="B101" s="540"/>
      <c r="C101" s="541">
        <v>100</v>
      </c>
      <c r="D101" s="541">
        <f t="shared" ref="D101:M101" si="18">C101-$K32</f>
        <v>100</v>
      </c>
      <c r="E101" s="541">
        <f t="shared" si="18"/>
        <v>100</v>
      </c>
      <c r="F101" s="541">
        <f t="shared" si="18"/>
        <v>100</v>
      </c>
      <c r="G101" s="541">
        <f t="shared" si="18"/>
        <v>100</v>
      </c>
      <c r="H101" s="541">
        <f t="shared" si="18"/>
        <v>100</v>
      </c>
      <c r="I101" s="541">
        <f t="shared" si="18"/>
        <v>100</v>
      </c>
      <c r="J101" s="541">
        <f t="shared" si="18"/>
        <v>100</v>
      </c>
      <c r="K101" s="541">
        <f t="shared" si="18"/>
        <v>100</v>
      </c>
      <c r="L101" s="541">
        <f t="shared" si="18"/>
        <v>100</v>
      </c>
      <c r="M101" s="542">
        <f t="shared" si="18"/>
        <v>100</v>
      </c>
      <c r="N101" s="1147"/>
      <c r="O101" s="1147"/>
      <c r="P101" s="2620"/>
      <c r="Q101" s="501"/>
    </row>
    <row r="102" spans="1:17" ht="15.75" thickTop="1">
      <c r="A102" s="531"/>
      <c r="B102" s="535" t="s">
        <v>2602</v>
      </c>
      <c r="C102" s="575" t="str">
        <f>C103&amp;"(含)"&amp;"-"&amp;D103</f>
        <v>(含)-</v>
      </c>
      <c r="D102" s="575" t="str">
        <f t="shared" ref="D102:L102" si="19">D103&amp;"(含)"&amp;"-"&amp;E103</f>
        <v>(含)-</v>
      </c>
      <c r="E102" s="575" t="str">
        <f t="shared" si="19"/>
        <v>(含)-</v>
      </c>
      <c r="F102" s="575" t="str">
        <f t="shared" si="19"/>
        <v>(含)-</v>
      </c>
      <c r="G102" s="575" t="str">
        <f t="shared" si="19"/>
        <v>(含)-</v>
      </c>
      <c r="H102" s="575" t="str">
        <f t="shared" si="19"/>
        <v>(含)-</v>
      </c>
      <c r="I102" s="575" t="str">
        <f t="shared" si="19"/>
        <v>(含)-</v>
      </c>
      <c r="J102" s="575" t="str">
        <f t="shared" si="19"/>
        <v>(含)-</v>
      </c>
      <c r="K102" s="575" t="str">
        <f t="shared" si="19"/>
        <v>(含)-</v>
      </c>
      <c r="L102" s="575" t="str">
        <f t="shared" si="19"/>
        <v>(含)-</v>
      </c>
      <c r="M102" s="619" t="str">
        <f>M103&amp;"(含)"&amp;"-"&amp;P103</f>
        <v>(含)-</v>
      </c>
      <c r="N102" s="1145"/>
      <c r="O102" s="1145"/>
      <c r="P102" s="2620"/>
      <c r="Q102" s="501"/>
    </row>
    <row r="103" spans="1:17" s="468" customFormat="1">
      <c r="A103" s="590"/>
      <c r="B103" s="591"/>
      <c r="C103" s="592"/>
      <c r="D103" s="592"/>
      <c r="E103" s="592"/>
      <c r="F103" s="592"/>
      <c r="G103" s="592"/>
      <c r="H103" s="592"/>
      <c r="I103" s="592"/>
      <c r="J103" s="593"/>
      <c r="K103" s="593"/>
      <c r="L103" s="594"/>
      <c r="M103" s="595"/>
      <c r="N103" s="1148"/>
      <c r="O103" s="1148"/>
      <c r="P103" s="2621"/>
      <c r="Q103" s="556"/>
    </row>
    <row r="104" spans="1:17" s="468" customFormat="1" ht="15.75" thickBot="1">
      <c r="A104" s="550"/>
      <c r="B104" s="540"/>
      <c r="C104" s="557"/>
      <c r="D104" s="533"/>
      <c r="E104" s="533"/>
      <c r="F104" s="533"/>
      <c r="G104" s="533"/>
      <c r="H104" s="533"/>
      <c r="I104" s="533"/>
      <c r="J104" s="533"/>
      <c r="K104" s="533"/>
      <c r="L104" s="533"/>
      <c r="M104" s="534"/>
      <c r="N104" s="1147"/>
      <c r="O104" s="1147"/>
      <c r="P104" s="2621"/>
      <c r="Q104" s="556"/>
    </row>
    <row r="105" spans="1:17" ht="15" thickTop="1">
      <c r="A105" s="596"/>
      <c r="B105" s="535" t="s">
        <v>2603</v>
      </c>
      <c r="C105" s="551"/>
      <c r="D105" s="551"/>
      <c r="E105" s="580"/>
      <c r="F105" s="580"/>
      <c r="G105" s="580"/>
      <c r="H105" s="580"/>
      <c r="I105" s="580"/>
      <c r="J105" s="580"/>
      <c r="K105" s="581"/>
      <c r="L105" s="582"/>
      <c r="M105" s="583"/>
      <c r="N105" s="1146"/>
      <c r="O105" s="1146"/>
      <c r="P105" s="2620"/>
      <c r="Q105" s="501"/>
    </row>
    <row r="106" spans="1:17" ht="15.75" thickBot="1">
      <c r="A106" s="531"/>
      <c r="B106" s="540"/>
      <c r="C106" s="541">
        <v>100</v>
      </c>
      <c r="D106" s="541">
        <f t="shared" ref="D106:M106" si="20">C106-$K34</f>
        <v>100</v>
      </c>
      <c r="E106" s="541">
        <f t="shared" si="20"/>
        <v>100</v>
      </c>
      <c r="F106" s="541">
        <f t="shared" si="20"/>
        <v>100</v>
      </c>
      <c r="G106" s="541">
        <f t="shared" si="20"/>
        <v>100</v>
      </c>
      <c r="H106" s="541">
        <f t="shared" si="20"/>
        <v>100</v>
      </c>
      <c r="I106" s="541">
        <f t="shared" si="20"/>
        <v>100</v>
      </c>
      <c r="J106" s="541">
        <f t="shared" si="20"/>
        <v>100</v>
      </c>
      <c r="K106" s="541">
        <f t="shared" si="20"/>
        <v>100</v>
      </c>
      <c r="L106" s="541">
        <f t="shared" si="20"/>
        <v>100</v>
      </c>
      <c r="M106" s="542">
        <f t="shared" si="20"/>
        <v>100</v>
      </c>
      <c r="N106" s="1147"/>
      <c r="O106" s="1147"/>
      <c r="P106" s="2620"/>
      <c r="Q106" s="501"/>
    </row>
    <row r="107" spans="1:17" ht="15" thickTop="1">
      <c r="A107" s="596"/>
      <c r="B107" s="535" t="s">
        <v>2605</v>
      </c>
      <c r="C107" s="551"/>
      <c r="D107" s="551"/>
      <c r="E107" s="551"/>
      <c r="F107" s="580"/>
      <c r="G107" s="580"/>
      <c r="H107" s="580"/>
      <c r="I107" s="580"/>
      <c r="J107" s="580"/>
      <c r="K107" s="581"/>
      <c r="L107" s="582"/>
      <c r="M107" s="583"/>
      <c r="N107" s="1146"/>
      <c r="O107" s="1146"/>
      <c r="P107" s="2620"/>
      <c r="Q107" s="501"/>
    </row>
    <row r="108" spans="1:17" ht="15.75" thickBot="1">
      <c r="A108" s="531"/>
      <c r="B108" s="540"/>
      <c r="C108" s="541">
        <v>100</v>
      </c>
      <c r="D108" s="541">
        <f t="shared" ref="D108:M108" si="21">C108-$K35</f>
        <v>100</v>
      </c>
      <c r="E108" s="541">
        <f t="shared" si="21"/>
        <v>100</v>
      </c>
      <c r="F108" s="541">
        <f t="shared" si="21"/>
        <v>100</v>
      </c>
      <c r="G108" s="541">
        <f t="shared" si="21"/>
        <v>100</v>
      </c>
      <c r="H108" s="541">
        <f t="shared" si="21"/>
        <v>100</v>
      </c>
      <c r="I108" s="541">
        <f t="shared" si="21"/>
        <v>100</v>
      </c>
      <c r="J108" s="541">
        <f t="shared" si="21"/>
        <v>100</v>
      </c>
      <c r="K108" s="541">
        <f t="shared" si="21"/>
        <v>100</v>
      </c>
      <c r="L108" s="541">
        <f t="shared" si="21"/>
        <v>100</v>
      </c>
      <c r="M108" s="542">
        <f t="shared" si="21"/>
        <v>100</v>
      </c>
      <c r="N108" s="1147"/>
      <c r="O108" s="1147"/>
      <c r="P108" s="2620"/>
      <c r="Q108" s="501"/>
    </row>
    <row r="109" spans="1:17" ht="15" thickTop="1">
      <c r="A109" s="596"/>
      <c r="B109" s="535" t="s">
        <v>1991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0"/>
      <c r="Q109" s="501"/>
    </row>
    <row r="110" spans="1:17">
      <c r="A110" s="596"/>
      <c r="B110" s="543"/>
      <c r="C110" s="600">
        <v>0.5</v>
      </c>
      <c r="D110" s="600">
        <v>0.6</v>
      </c>
      <c r="E110" s="600">
        <v>0.7</v>
      </c>
      <c r="F110" s="600">
        <v>0.8</v>
      </c>
      <c r="G110" s="600">
        <v>0.9</v>
      </c>
      <c r="H110" s="600">
        <v>1.0001</v>
      </c>
      <c r="I110" s="620"/>
      <c r="J110" s="620"/>
      <c r="K110" s="621"/>
      <c r="L110" s="622"/>
      <c r="M110" s="623"/>
      <c r="N110" s="1146"/>
      <c r="O110" s="1146"/>
      <c r="P110" s="2620"/>
      <c r="Q110" s="501"/>
    </row>
    <row r="111" spans="1:17" ht="15.75" thickBot="1">
      <c r="A111" s="531"/>
      <c r="B111" s="540"/>
      <c r="C111" s="579">
        <v>100</v>
      </c>
      <c r="D111" s="541">
        <f>C111+$K36</f>
        <v>100</v>
      </c>
      <c r="E111" s="541">
        <f t="shared" ref="E111:M111" si="22">D111+$K36</f>
        <v>100</v>
      </c>
      <c r="F111" s="541">
        <f t="shared" si="22"/>
        <v>100</v>
      </c>
      <c r="G111" s="541">
        <f t="shared" si="22"/>
        <v>100</v>
      </c>
      <c r="H111" s="541">
        <f t="shared" si="22"/>
        <v>100</v>
      </c>
      <c r="I111" s="541">
        <f t="shared" si="22"/>
        <v>100</v>
      </c>
      <c r="J111" s="541">
        <f t="shared" si="22"/>
        <v>100</v>
      </c>
      <c r="K111" s="541">
        <f t="shared" si="22"/>
        <v>100</v>
      </c>
      <c r="L111" s="541">
        <f t="shared" si="22"/>
        <v>100</v>
      </c>
      <c r="M111" s="541">
        <f t="shared" si="22"/>
        <v>100</v>
      </c>
      <c r="N111" s="1147"/>
      <c r="O111" s="1147"/>
      <c r="P111" s="2620"/>
      <c r="Q111" s="501"/>
    </row>
    <row r="112" spans="1:17" s="468" customFormat="1" ht="15" thickTop="1">
      <c r="A112" s="590"/>
      <c r="B112" s="535" t="s">
        <v>2607</v>
      </c>
      <c r="C112" s="551"/>
      <c r="D112" s="551"/>
      <c r="E112" s="551"/>
      <c r="F112" s="551"/>
      <c r="G112" s="551"/>
      <c r="H112" s="580"/>
      <c r="I112" s="580"/>
      <c r="J112" s="580"/>
      <c r="K112" s="581"/>
      <c r="L112" s="582"/>
      <c r="M112" s="583"/>
      <c r="N112" s="1148"/>
      <c r="O112" s="1148"/>
      <c r="P112" s="2621"/>
      <c r="Q112" s="556"/>
    </row>
    <row r="113" spans="1:17" s="468" customFormat="1" ht="15.75" thickBot="1">
      <c r="A113" s="550"/>
      <c r="B113" s="540"/>
      <c r="C113" s="541">
        <v>100</v>
      </c>
      <c r="D113" s="541">
        <f>C113-$K37</f>
        <v>100</v>
      </c>
      <c r="E113" s="541">
        <f t="shared" ref="E113:M113" si="23">D113-$K37</f>
        <v>100</v>
      </c>
      <c r="F113" s="541">
        <f t="shared" si="23"/>
        <v>100</v>
      </c>
      <c r="G113" s="541">
        <f t="shared" si="23"/>
        <v>100</v>
      </c>
      <c r="H113" s="541">
        <f t="shared" si="23"/>
        <v>100</v>
      </c>
      <c r="I113" s="541">
        <f t="shared" si="23"/>
        <v>100</v>
      </c>
      <c r="J113" s="541">
        <f t="shared" si="23"/>
        <v>100</v>
      </c>
      <c r="K113" s="541">
        <f t="shared" si="23"/>
        <v>100</v>
      </c>
      <c r="L113" s="541">
        <f t="shared" si="23"/>
        <v>100</v>
      </c>
      <c r="M113" s="541">
        <f t="shared" si="23"/>
        <v>100</v>
      </c>
      <c r="N113" s="1148"/>
      <c r="O113" s="1148"/>
      <c r="P113" s="2621"/>
      <c r="Q113" s="556"/>
    </row>
    <row r="114" spans="1:17" ht="15" thickTop="1">
      <c r="A114" s="596"/>
      <c r="B114" s="535" t="s">
        <v>2671</v>
      </c>
      <c r="C114" s="551"/>
      <c r="D114" s="551"/>
      <c r="E114" s="580"/>
      <c r="F114" s="580"/>
      <c r="G114" s="580"/>
      <c r="H114" s="580"/>
      <c r="I114" s="580"/>
      <c r="J114" s="580"/>
      <c r="K114" s="581"/>
      <c r="L114" s="582"/>
      <c r="M114" s="583"/>
      <c r="N114" s="1146"/>
      <c r="O114" s="1146"/>
      <c r="P114" s="2620"/>
      <c r="Q114" s="501"/>
    </row>
    <row r="115" spans="1:17" ht="15.75" thickBot="1">
      <c r="A115" s="531"/>
      <c r="B115" s="540"/>
      <c r="C115" s="541">
        <v>100</v>
      </c>
      <c r="D115" s="541">
        <f t="shared" ref="D115:M115" si="24">C115-$K38</f>
        <v>100</v>
      </c>
      <c r="E115" s="541">
        <f t="shared" si="24"/>
        <v>100</v>
      </c>
      <c r="F115" s="541">
        <f t="shared" si="24"/>
        <v>100</v>
      </c>
      <c r="G115" s="541">
        <f t="shared" si="24"/>
        <v>100</v>
      </c>
      <c r="H115" s="541">
        <f t="shared" si="24"/>
        <v>100</v>
      </c>
      <c r="I115" s="541">
        <f t="shared" si="24"/>
        <v>100</v>
      </c>
      <c r="J115" s="541">
        <f t="shared" si="24"/>
        <v>100</v>
      </c>
      <c r="K115" s="541">
        <f t="shared" si="24"/>
        <v>100</v>
      </c>
      <c r="L115" s="541">
        <f t="shared" si="24"/>
        <v>100</v>
      </c>
      <c r="M115" s="542">
        <f t="shared" si="24"/>
        <v>100</v>
      </c>
      <c r="N115" s="1147"/>
      <c r="O115" s="1147"/>
      <c r="P115" s="2620"/>
      <c r="Q115" s="501"/>
    </row>
    <row r="116" spans="1:17" ht="15" thickTop="1">
      <c r="A116" s="596"/>
      <c r="B116" s="535" t="s">
        <v>2672</v>
      </c>
      <c r="C116" s="551"/>
      <c r="D116" s="551"/>
      <c r="E116" s="551"/>
      <c r="F116" s="551"/>
      <c r="G116" s="551"/>
      <c r="H116" s="580"/>
      <c r="I116" s="580"/>
      <c r="J116" s="580"/>
      <c r="K116" s="581"/>
      <c r="L116" s="582"/>
      <c r="M116" s="583"/>
      <c r="N116" s="1146"/>
      <c r="O116" s="1146"/>
      <c r="P116" s="2620"/>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0"/>
      <c r="Q117" s="501"/>
    </row>
    <row r="118" spans="1:17" ht="15" thickTop="1">
      <c r="A118" s="596"/>
      <c r="B118" s="535" t="s">
        <v>2673</v>
      </c>
      <c r="C118" s="624"/>
      <c r="D118" s="624"/>
      <c r="E118" s="624"/>
      <c r="F118" s="624"/>
      <c r="G118" s="624"/>
      <c r="H118" s="552"/>
      <c r="I118" s="552"/>
      <c r="J118" s="552"/>
      <c r="K118" s="552"/>
      <c r="L118" s="553"/>
      <c r="M118" s="554"/>
      <c r="N118" s="1146"/>
      <c r="O118" s="1146"/>
      <c r="P118" s="2620"/>
      <c r="Q118" s="501"/>
    </row>
    <row r="119" spans="1:17" ht="15.75" thickBot="1">
      <c r="A119" s="531"/>
      <c r="B119" s="540"/>
      <c r="C119" s="557"/>
      <c r="D119" s="533"/>
      <c r="E119" s="533"/>
      <c r="F119" s="533"/>
      <c r="G119" s="533"/>
      <c r="H119" s="533"/>
      <c r="I119" s="533"/>
      <c r="J119" s="533"/>
      <c r="K119" s="533"/>
      <c r="L119" s="533"/>
      <c r="M119" s="534"/>
      <c r="N119" s="1147"/>
      <c r="O119" s="1147"/>
      <c r="P119" s="2620"/>
      <c r="Q119" s="501"/>
    </row>
    <row r="120" spans="1:17" s="468" customFormat="1" ht="15" thickTop="1">
      <c r="A120" s="590"/>
      <c r="B120" s="535" t="s">
        <v>2674</v>
      </c>
      <c r="C120" s="580"/>
      <c r="D120" s="580"/>
      <c r="E120" s="580"/>
      <c r="F120" s="580"/>
      <c r="G120" s="552"/>
      <c r="H120" s="552"/>
      <c r="I120" s="552"/>
      <c r="J120" s="552"/>
      <c r="K120" s="552"/>
      <c r="L120" s="553"/>
      <c r="M120" s="554"/>
      <c r="N120" s="1148"/>
      <c r="O120" s="1148"/>
      <c r="P120" s="2621"/>
      <c r="Q120" s="556"/>
    </row>
    <row r="121" spans="1:17" s="468" customFormat="1" ht="15.75" thickBot="1">
      <c r="A121" s="550"/>
      <c r="B121" s="532"/>
      <c r="C121" s="579">
        <v>100</v>
      </c>
      <c r="D121" s="541">
        <f>C121-$K41</f>
        <v>100</v>
      </c>
      <c r="E121" s="541">
        <f t="shared" ref="E121:M121" si="25">D121-$K41</f>
        <v>100</v>
      </c>
      <c r="F121" s="541">
        <f t="shared" si="25"/>
        <v>100</v>
      </c>
      <c r="G121" s="541">
        <f t="shared" si="25"/>
        <v>100</v>
      </c>
      <c r="H121" s="541">
        <f t="shared" si="25"/>
        <v>100</v>
      </c>
      <c r="I121" s="541">
        <f t="shared" si="25"/>
        <v>100</v>
      </c>
      <c r="J121" s="541">
        <f t="shared" si="25"/>
        <v>100</v>
      </c>
      <c r="K121" s="541">
        <f t="shared" si="25"/>
        <v>100</v>
      </c>
      <c r="L121" s="541">
        <f t="shared" si="25"/>
        <v>100</v>
      </c>
      <c r="M121" s="542">
        <f t="shared" si="25"/>
        <v>100</v>
      </c>
      <c r="N121" s="1148"/>
      <c r="O121" s="1148"/>
      <c r="P121" s="2621"/>
      <c r="Q121" s="556"/>
    </row>
    <row r="122" spans="1:17" ht="15" thickTop="1">
      <c r="A122" s="596"/>
      <c r="B122" s="535" t="s">
        <v>2609</v>
      </c>
      <c r="C122" s="551"/>
      <c r="D122" s="551"/>
      <c r="E122" s="551"/>
      <c r="F122" s="580"/>
      <c r="G122" s="580"/>
      <c r="H122" s="580"/>
      <c r="I122" s="580"/>
      <c r="J122" s="580"/>
      <c r="K122" s="581"/>
      <c r="L122" s="582"/>
      <c r="M122" s="583"/>
      <c r="N122" s="1146"/>
      <c r="O122" s="1146"/>
      <c r="P122" s="2620"/>
      <c r="Q122" s="501"/>
    </row>
    <row r="123" spans="1:17" ht="15.75" thickBot="1">
      <c r="A123" s="531"/>
      <c r="B123" s="540"/>
      <c r="C123" s="541">
        <v>100</v>
      </c>
      <c r="D123" s="541">
        <f t="shared" ref="D123:M123" si="26">C123-$K42</f>
        <v>100</v>
      </c>
      <c r="E123" s="541">
        <f t="shared" si="26"/>
        <v>100</v>
      </c>
      <c r="F123" s="541">
        <f t="shared" si="26"/>
        <v>100</v>
      </c>
      <c r="G123" s="541">
        <f t="shared" si="26"/>
        <v>100</v>
      </c>
      <c r="H123" s="541">
        <f t="shared" si="26"/>
        <v>100</v>
      </c>
      <c r="I123" s="541">
        <f t="shared" si="26"/>
        <v>100</v>
      </c>
      <c r="J123" s="541">
        <f t="shared" si="26"/>
        <v>100</v>
      </c>
      <c r="K123" s="541">
        <f t="shared" si="26"/>
        <v>100</v>
      </c>
      <c r="L123" s="541">
        <f t="shared" si="26"/>
        <v>100</v>
      </c>
      <c r="M123" s="542">
        <f t="shared" si="26"/>
        <v>100</v>
      </c>
      <c r="N123" s="1147"/>
      <c r="O123" s="1147"/>
      <c r="P123" s="2620"/>
      <c r="Q123" s="501"/>
    </row>
    <row r="124" spans="1:17" ht="15" thickTop="1">
      <c r="A124" s="596"/>
      <c r="B124" s="535" t="s">
        <v>2610</v>
      </c>
      <c r="C124" s="575" t="s">
        <v>2586</v>
      </c>
      <c r="D124" s="575" t="s">
        <v>2587</v>
      </c>
      <c r="E124" s="575" t="s">
        <v>2588</v>
      </c>
      <c r="F124" s="575" t="s">
        <v>2589</v>
      </c>
      <c r="G124" s="575" t="s">
        <v>2590</v>
      </c>
      <c r="H124" s="536"/>
      <c r="I124" s="536"/>
      <c r="J124" s="536"/>
      <c r="K124" s="537"/>
      <c r="L124" s="538"/>
      <c r="M124" s="539"/>
      <c r="N124" s="1146"/>
      <c r="O124" s="1146"/>
      <c r="P124" s="2621"/>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0"/>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1"/>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1"/>
      <c r="Q127" s="556"/>
    </row>
    <row r="128" spans="1:17" ht="15" thickTop="1">
      <c r="A128" s="596"/>
      <c r="B128" s="535">
        <f>B45</f>
        <v>111</v>
      </c>
      <c r="C128" s="551"/>
      <c r="D128" s="551"/>
      <c r="E128" s="551"/>
      <c r="F128" s="551"/>
      <c r="G128" s="580"/>
      <c r="H128" s="580"/>
      <c r="I128" s="580"/>
      <c r="J128" s="580"/>
      <c r="K128" s="581"/>
      <c r="L128" s="582"/>
      <c r="M128" s="583"/>
      <c r="N128" s="1146"/>
      <c r="O128" s="1146"/>
      <c r="P128" s="2620"/>
      <c r="Q128" s="501"/>
    </row>
    <row r="129" spans="1:17" ht="15.75" thickBot="1">
      <c r="A129" s="531"/>
      <c r="B129" s="540"/>
      <c r="C129" s="557"/>
      <c r="D129" s="533"/>
      <c r="E129" s="533"/>
      <c r="F129" s="533"/>
      <c r="G129" s="533"/>
      <c r="H129" s="533"/>
      <c r="I129" s="533"/>
      <c r="J129" s="533"/>
      <c r="K129" s="533"/>
      <c r="L129" s="533"/>
      <c r="M129" s="534"/>
      <c r="N129" s="1147"/>
      <c r="O129" s="1147"/>
      <c r="P129" s="2620"/>
      <c r="Q129" s="501"/>
    </row>
    <row r="130" spans="1:17" ht="15" thickTop="1">
      <c r="A130" s="596"/>
      <c r="B130" s="543">
        <f>B46</f>
        <v>111</v>
      </c>
      <c r="C130" s="551"/>
      <c r="D130" s="551"/>
      <c r="E130" s="551"/>
      <c r="F130" s="551"/>
      <c r="G130" s="584"/>
      <c r="H130" s="584"/>
      <c r="I130" s="584"/>
      <c r="J130" s="584"/>
      <c r="K130" s="520"/>
      <c r="L130" s="521"/>
      <c r="M130" s="587"/>
      <c r="N130" s="1146"/>
      <c r="O130" s="1146"/>
      <c r="P130" s="2620"/>
      <c r="Q130" s="501"/>
    </row>
    <row r="131" spans="1:17" ht="15.75" thickBot="1">
      <c r="A131" s="2626"/>
      <c r="B131" s="566"/>
      <c r="C131" s="567"/>
      <c r="D131" s="567"/>
      <c r="E131" s="567"/>
      <c r="F131" s="567"/>
      <c r="G131" s="588"/>
      <c r="H131" s="588"/>
      <c r="I131" s="588"/>
      <c r="J131" s="588"/>
      <c r="K131" s="588"/>
      <c r="L131" s="588"/>
      <c r="M131" s="589"/>
      <c r="N131" s="1147"/>
      <c r="O131" s="1147"/>
      <c r="P131" s="2620"/>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0" customWidth="1"/>
    <col min="2" max="3" width="15.6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1117"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2" customFormat="1" ht="28.5" customHeight="1" thickBot="1">
      <c r="A1" s="1611" t="s">
        <v>2517</v>
      </c>
      <c r="B1" s="2659" t="s">
        <v>2675</v>
      </c>
      <c r="C1" s="1613" t="s">
        <v>2519</v>
      </c>
      <c r="D1" s="1614"/>
      <c r="E1" s="1623"/>
      <c r="F1" s="2576"/>
      <c r="G1" s="1624" t="s">
        <v>2632</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2319</v>
      </c>
      <c r="B2" s="1412" t="e">
        <f ca="1">IF(C2="——",ROUND(C50*D3/10000,0),ROUND(C50*D3/10000,0)-D2)</f>
        <v>#DIV/0!</v>
      </c>
      <c r="C2" s="2578"/>
      <c r="D2" s="1359" t="e">
        <f ca="1">SUMIF(INDIRECT("'"&amp;F2&amp;"'"&amp;"!A:A"),"承租人权益价值",INDIRECT("'"&amp;F2&amp;"'"&amp;"!c:c"))</f>
        <v>#REF!</v>
      </c>
      <c r="E2" s="2579" t="s">
        <v>2320</v>
      </c>
      <c r="F2" s="2580"/>
      <c r="G2" s="1119"/>
      <c r="H2" s="1119"/>
      <c r="I2" s="1119"/>
      <c r="J2" s="1119"/>
      <c r="K2" s="1119"/>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2321</v>
      </c>
      <c r="B3" s="606" t="e">
        <f ca="1">IF(C2="——",C50,ROUND(B2*10000/D3,0))</f>
        <v>#DIV/0!</v>
      </c>
      <c r="C3" s="397" t="s">
        <v>2633</v>
      </c>
      <c r="D3" s="396">
        <f>IF(D1="",'数据-汇总表'!E3,SUMIF('数据-汇总表'!$C19:$C33,D1,'数据-汇总表'!$E19:$E33))</f>
        <v>900384.25897299999</v>
      </c>
      <c r="E3" s="2653"/>
      <c r="F3" s="1120"/>
      <c r="G3" s="1119"/>
      <c r="H3" s="1119"/>
      <c r="I3" s="1119"/>
      <c r="J3" s="1119"/>
      <c r="K3" s="1121"/>
      <c r="L3" s="1122"/>
      <c r="M3" s="1123"/>
      <c r="N3" s="1123"/>
      <c r="O3" s="1123"/>
      <c r="P3" s="764"/>
      <c r="Q3" s="764"/>
      <c r="R3" s="764"/>
      <c r="S3" s="764"/>
      <c r="T3" s="764"/>
      <c r="U3" s="764"/>
      <c r="V3" s="764"/>
      <c r="W3" s="764"/>
      <c r="X3" s="764"/>
      <c r="Y3" s="764"/>
      <c r="Z3" s="764"/>
      <c r="AA3" s="764"/>
      <c r="AB3" s="764"/>
      <c r="AC3" s="765"/>
    </row>
    <row r="4" spans="1:29" ht="15">
      <c r="A4" s="398" t="s">
        <v>2634</v>
      </c>
      <c r="B4" s="399"/>
      <c r="C4" s="3264" t="s">
        <v>2635</v>
      </c>
      <c r="D4" s="3277"/>
      <c r="E4" s="3278" t="s">
        <v>2636</v>
      </c>
      <c r="F4" s="3279"/>
      <c r="G4" s="3264" t="s">
        <v>2637</v>
      </c>
      <c r="H4" s="3277"/>
      <c r="I4" s="3264" t="s">
        <v>2638</v>
      </c>
      <c r="J4" s="3277"/>
      <c r="K4" s="607" t="s">
        <v>2639</v>
      </c>
      <c r="L4" s="1124"/>
      <c r="M4" s="1125"/>
      <c r="N4" s="1125"/>
      <c r="O4" s="1125"/>
      <c r="P4" s="3346" t="s">
        <v>2640</v>
      </c>
      <c r="Q4" s="3347"/>
      <c r="R4" s="3350" t="s">
        <v>2636</v>
      </c>
      <c r="S4" s="3351"/>
      <c r="T4" s="3350" t="s">
        <v>2637</v>
      </c>
      <c r="U4" s="3351"/>
      <c r="V4" s="3352" t="s">
        <v>2638</v>
      </c>
      <c r="W4" s="3352"/>
      <c r="X4" s="2660"/>
      <c r="Y4" s="3350" t="s">
        <v>2640</v>
      </c>
      <c r="Z4" s="3351"/>
      <c r="AA4" s="3354" t="s">
        <v>2636</v>
      </c>
      <c r="AB4" s="3354" t="s">
        <v>2637</v>
      </c>
      <c r="AC4" s="3343" t="s">
        <v>2638</v>
      </c>
    </row>
    <row r="5" spans="1:29" ht="15">
      <c r="A5" s="401"/>
      <c r="B5" s="402"/>
      <c r="C5" s="3294" t="s">
        <v>2531</v>
      </c>
      <c r="D5" s="3295"/>
      <c r="E5" s="3301" t="s">
        <v>2532</v>
      </c>
      <c r="F5" s="3302"/>
      <c r="G5" s="3294" t="s">
        <v>2533</v>
      </c>
      <c r="H5" s="3295"/>
      <c r="I5" s="3294" t="s">
        <v>2534</v>
      </c>
      <c r="J5" s="3295"/>
      <c r="K5" s="607"/>
      <c r="L5" s="1124"/>
      <c r="M5" s="1125"/>
      <c r="N5" s="1125"/>
      <c r="O5" s="1125"/>
      <c r="P5" s="3348"/>
      <c r="Q5" s="3283"/>
      <c r="R5" s="3288"/>
      <c r="S5" s="3289"/>
      <c r="T5" s="3288"/>
      <c r="U5" s="3289"/>
      <c r="V5" s="3273"/>
      <c r="W5" s="3273"/>
      <c r="X5" s="1806"/>
      <c r="Y5" s="3288"/>
      <c r="Z5" s="3289"/>
      <c r="AA5" s="3275"/>
      <c r="AB5" s="3275"/>
      <c r="AC5" s="3344"/>
    </row>
    <row r="6" spans="1:29" ht="15.75" thickBot="1">
      <c r="A6" s="403"/>
      <c r="B6" s="404"/>
      <c r="C6" s="3292" t="s">
        <v>2535</v>
      </c>
      <c r="D6" s="3293"/>
      <c r="E6" s="3299" t="s">
        <v>2535</v>
      </c>
      <c r="F6" s="3300"/>
      <c r="G6" s="3292" t="s">
        <v>2535</v>
      </c>
      <c r="H6" s="3293"/>
      <c r="I6" s="3292" t="s">
        <v>2535</v>
      </c>
      <c r="J6" s="3293"/>
      <c r="K6" s="607" t="s">
        <v>2536</v>
      </c>
      <c r="L6" s="1124"/>
      <c r="M6" s="1125"/>
      <c r="N6" s="1125"/>
      <c r="O6" s="1125"/>
      <c r="P6" s="3349"/>
      <c r="Q6" s="3285"/>
      <c r="R6" s="3288"/>
      <c r="S6" s="3289"/>
      <c r="T6" s="3290"/>
      <c r="U6" s="3291"/>
      <c r="V6" s="3273"/>
      <c r="W6" s="3273"/>
      <c r="X6" s="1806"/>
      <c r="Y6" s="3290"/>
      <c r="Z6" s="3291"/>
      <c r="AA6" s="3276"/>
      <c r="AB6" s="3276"/>
      <c r="AC6" s="3345"/>
    </row>
    <row r="7" spans="1:29" s="116" customFormat="1" ht="15.75" thickBot="1">
      <c r="A7" s="405" t="s">
        <v>2537</v>
      </c>
      <c r="B7" s="406"/>
      <c r="C7" s="407">
        <f>'数据-取费表'!B2</f>
        <v>43782</v>
      </c>
      <c r="D7" s="408">
        <v>100</v>
      </c>
      <c r="E7" s="409"/>
      <c r="F7" s="410">
        <f>SUMIF(59:59,YEAR(E7)&amp;"-"&amp;MONTH(E7),60:60)</f>
        <v>0</v>
      </c>
      <c r="G7" s="409"/>
      <c r="H7" s="408">
        <f>SUMIF(59:59,YEAR(G7)&amp;"-"&amp;MONTH(G7),60:60)</f>
        <v>0</v>
      </c>
      <c r="I7" s="409"/>
      <c r="J7" s="408">
        <f>SUMIF(59:59,YEAR(I7)&amp;"-"&amp;MONTH(I7),60:60)</f>
        <v>0</v>
      </c>
      <c r="K7" s="608"/>
      <c r="L7" s="1126"/>
      <c r="M7" s="1127"/>
      <c r="N7" s="1127"/>
      <c r="O7" s="1127"/>
      <c r="P7" s="3353" t="s">
        <v>2538</v>
      </c>
      <c r="Q7" s="3298"/>
      <c r="R7" s="766" t="s">
        <v>17</v>
      </c>
      <c r="S7" s="767">
        <f t="shared" ref="S7:S15" si="0">F7</f>
        <v>0</v>
      </c>
      <c r="T7" s="766" t="s">
        <v>17</v>
      </c>
      <c r="U7" s="767">
        <f t="shared" ref="U7:U15" si="1">H7</f>
        <v>0</v>
      </c>
      <c r="V7" s="766" t="s">
        <v>17</v>
      </c>
      <c r="W7" s="767">
        <f t="shared" ref="W7:W15" si="2">J7</f>
        <v>0</v>
      </c>
      <c r="X7" s="768"/>
      <c r="Y7" s="3296" t="s">
        <v>2538</v>
      </c>
      <c r="Z7" s="3297"/>
      <c r="AA7" s="769" t="e">
        <f>D7/F7</f>
        <v>#DIV/0!</v>
      </c>
      <c r="AB7" s="769" t="e">
        <f>D7/H7</f>
        <v>#DIV/0!</v>
      </c>
      <c r="AC7" s="2661" t="e">
        <f>D7/J7</f>
        <v>#DIV/0!</v>
      </c>
    </row>
    <row r="8" spans="1:29" s="116" customFormat="1" ht="15.75" thickBot="1">
      <c r="A8" s="405" t="s">
        <v>2539</v>
      </c>
      <c r="B8" s="406"/>
      <c r="C8" s="411" t="s">
        <v>2641</v>
      </c>
      <c r="D8" s="408">
        <v>100</v>
      </c>
      <c r="E8" s="411"/>
      <c r="F8" s="410">
        <f>SUMIF(62:62,E8,63:63)-SUMIF(62:62,C8,63:63)+100</f>
        <v>0</v>
      </c>
      <c r="G8" s="411"/>
      <c r="H8" s="408">
        <f>SUMIF(62:62,G8,63:63)-SUMIF(62:62,C8,63:63)+100</f>
        <v>0</v>
      </c>
      <c r="I8" s="411"/>
      <c r="J8" s="408">
        <f>SUMIF(62:62,I8,63:63)-SUMIF(62:62,C8,63:63)+100</f>
        <v>0</v>
      </c>
      <c r="K8" s="608"/>
      <c r="L8" s="1126"/>
      <c r="M8" s="1127"/>
      <c r="N8" s="1127"/>
      <c r="O8" s="1127"/>
      <c r="P8" s="3353" t="s">
        <v>2541</v>
      </c>
      <c r="Q8" s="3297"/>
      <c r="R8" s="766" t="s">
        <v>17</v>
      </c>
      <c r="S8" s="767">
        <f t="shared" si="0"/>
        <v>0</v>
      </c>
      <c r="T8" s="766" t="s">
        <v>17</v>
      </c>
      <c r="U8" s="767">
        <f t="shared" si="1"/>
        <v>0</v>
      </c>
      <c r="V8" s="766" t="s">
        <v>17</v>
      </c>
      <c r="W8" s="767">
        <f t="shared" si="2"/>
        <v>0</v>
      </c>
      <c r="X8" s="768"/>
      <c r="Y8" s="3296" t="s">
        <v>2541</v>
      </c>
      <c r="Z8" s="3297"/>
      <c r="AA8" s="769" t="e">
        <f t="shared" ref="AA8:AA47" si="3">D8/F8</f>
        <v>#DIV/0!</v>
      </c>
      <c r="AB8" s="769" t="e">
        <f t="shared" ref="AB8:AB47" si="4">D8/H8</f>
        <v>#DIV/0!</v>
      </c>
      <c r="AC8" s="2661" t="e">
        <f t="shared" ref="AC8:AC47" si="5">D8/J8</f>
        <v>#DIV/0!</v>
      </c>
    </row>
    <row r="9" spans="1:29" s="116" customFormat="1">
      <c r="A9" s="412" t="s">
        <v>2542</v>
      </c>
      <c r="B9" s="71" t="s">
        <v>2543</v>
      </c>
      <c r="C9" s="413"/>
      <c r="D9" s="132">
        <v>100</v>
      </c>
      <c r="E9" s="416"/>
      <c r="F9" s="132">
        <f>SUMIF(64:64,E9,65:65)-SUMIF(64:64,C9,65:65)+100</f>
        <v>100</v>
      </c>
      <c r="G9" s="414"/>
      <c r="H9" s="132">
        <f>SUMIF(64:64,G9,65:65)-SUMIF(64:64,C9,65:65)+100</f>
        <v>100</v>
      </c>
      <c r="I9" s="414"/>
      <c r="J9" s="132">
        <f>SUMIF(64:64,I9,65:65)-SUMIF(64:64,C9,65:65)+100</f>
        <v>100</v>
      </c>
      <c r="K9" s="608"/>
      <c r="L9" s="1126"/>
      <c r="M9" s="1127"/>
      <c r="N9" s="1127"/>
      <c r="O9" s="1127"/>
      <c r="P9" s="3266" t="s">
        <v>2544</v>
      </c>
      <c r="Q9" s="1788" t="str">
        <f t="shared" ref="Q9:Q15" si="6">B9</f>
        <v>用途</v>
      </c>
      <c r="R9" s="766" t="s">
        <v>17</v>
      </c>
      <c r="S9" s="767">
        <f t="shared" si="0"/>
        <v>100</v>
      </c>
      <c r="T9" s="766" t="s">
        <v>17</v>
      </c>
      <c r="U9" s="767">
        <f t="shared" si="1"/>
        <v>100</v>
      </c>
      <c r="V9" s="766" t="s">
        <v>17</v>
      </c>
      <c r="W9" s="767">
        <f t="shared" si="2"/>
        <v>100</v>
      </c>
      <c r="X9" s="768"/>
      <c r="Y9" s="3087" t="s">
        <v>2545</v>
      </c>
      <c r="Z9" s="55" t="str">
        <f t="shared" ref="Z9:Z15" si="7">Q9</f>
        <v>用途</v>
      </c>
      <c r="AA9" s="769">
        <f t="shared" si="3"/>
        <v>1</v>
      </c>
      <c r="AB9" s="769">
        <f t="shared" si="4"/>
        <v>1</v>
      </c>
      <c r="AC9" s="2661">
        <f t="shared" si="5"/>
        <v>1</v>
      </c>
    </row>
    <row r="10" spans="1:29" s="424" customFormat="1" ht="27">
      <c r="A10" s="418"/>
      <c r="B10" s="419" t="s">
        <v>2546</v>
      </c>
      <c r="C10" s="420"/>
      <c r="D10" s="133">
        <v>100</v>
      </c>
      <c r="E10" s="420"/>
      <c r="F10" s="133">
        <f>SUMIF(66:66,E10,67:67)-SUMIF(66:66,C10,67:67)+100</f>
        <v>100</v>
      </c>
      <c r="G10" s="421"/>
      <c r="H10" s="133">
        <f>SUMIF(66:66,G10,67:67)-SUMIF(66:66,C10,67:67)+100</f>
        <v>100</v>
      </c>
      <c r="I10" s="420"/>
      <c r="J10" s="133">
        <f>SUMIF(66:66,I10,67:67)-SUMIF(66:66,C10,67:67)+100</f>
        <v>100</v>
      </c>
      <c r="K10" s="609"/>
      <c r="L10" s="1129"/>
      <c r="M10" s="1130"/>
      <c r="N10" s="1130"/>
      <c r="O10" s="1130"/>
      <c r="P10" s="3266"/>
      <c r="Q10" s="1788" t="str">
        <f t="shared" si="6"/>
        <v>土地使用年限（年）</v>
      </c>
      <c r="R10" s="766" t="s">
        <v>17</v>
      </c>
      <c r="S10" s="767">
        <f t="shared" si="0"/>
        <v>100</v>
      </c>
      <c r="T10" s="766" t="s">
        <v>17</v>
      </c>
      <c r="U10" s="767">
        <f t="shared" si="1"/>
        <v>100</v>
      </c>
      <c r="V10" s="766" t="s">
        <v>17</v>
      </c>
      <c r="W10" s="767">
        <f t="shared" si="2"/>
        <v>100</v>
      </c>
      <c r="X10" s="768"/>
      <c r="Y10" s="3087"/>
      <c r="Z10" s="55" t="str">
        <f t="shared" si="7"/>
        <v>土地使用年限（年）</v>
      </c>
      <c r="AA10" s="769">
        <f t="shared" si="3"/>
        <v>1</v>
      </c>
      <c r="AB10" s="769">
        <f t="shared" si="4"/>
        <v>1</v>
      </c>
      <c r="AC10" s="2661">
        <f t="shared" si="5"/>
        <v>1</v>
      </c>
    </row>
    <row r="11" spans="1:29" ht="15">
      <c r="A11" s="425"/>
      <c r="B11" s="419" t="s">
        <v>2547</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2"/>
      <c r="M11" s="1125"/>
      <c r="N11" s="1125"/>
      <c r="O11" s="1125"/>
      <c r="P11" s="3266"/>
      <c r="Q11" s="1788" t="str">
        <f t="shared" si="6"/>
        <v>容积率</v>
      </c>
      <c r="R11" s="766" t="s">
        <v>17</v>
      </c>
      <c r="S11" s="767" t="e">
        <f t="shared" si="0"/>
        <v>#N/A</v>
      </c>
      <c r="T11" s="766" t="s">
        <v>17</v>
      </c>
      <c r="U11" s="767" t="e">
        <f t="shared" si="1"/>
        <v>#N/A</v>
      </c>
      <c r="V11" s="766" t="s">
        <v>17</v>
      </c>
      <c r="W11" s="767" t="e">
        <f t="shared" si="2"/>
        <v>#N/A</v>
      </c>
      <c r="X11" s="768"/>
      <c r="Y11" s="3087"/>
      <c r="Z11" s="55" t="str">
        <f t="shared" si="7"/>
        <v>容积率</v>
      </c>
      <c r="AA11" s="769" t="e">
        <f t="shared" si="3"/>
        <v>#N/A</v>
      </c>
      <c r="AB11" s="769" t="e">
        <f t="shared" si="4"/>
        <v>#N/A</v>
      </c>
      <c r="AC11" s="2661" t="e">
        <f t="shared" si="5"/>
        <v>#N/A</v>
      </c>
    </row>
    <row r="12" spans="1:29" s="116" customFormat="1" ht="15">
      <c r="A12" s="428"/>
      <c r="B12" s="2592">
        <v>111</v>
      </c>
      <c r="C12" s="429"/>
      <c r="D12" s="430">
        <v>100</v>
      </c>
      <c r="E12" s="429"/>
      <c r="F12" s="133">
        <f>SUMIF(71:71,E12,72:72)-SUMIF(71:71,C12,72:72)+100</f>
        <v>100</v>
      </c>
      <c r="G12" s="2662"/>
      <c r="H12" s="133">
        <f>SUMIF(71:71,G12,72:72)-SUMIF(71:71,C12,72:72)+100</f>
        <v>100</v>
      </c>
      <c r="I12" s="429"/>
      <c r="J12" s="133">
        <f>SUMIF(71:71,I12,72:72)-SUMIF(71:71,C12,72:72)+100</f>
        <v>100</v>
      </c>
      <c r="K12" s="610"/>
      <c r="L12" s="1126"/>
      <c r="M12" s="1127"/>
      <c r="N12" s="1127"/>
      <c r="O12" s="1127"/>
      <c r="P12" s="3266"/>
      <c r="Q12" s="1788">
        <f t="shared" si="6"/>
        <v>111</v>
      </c>
      <c r="R12" s="766" t="s">
        <v>17</v>
      </c>
      <c r="S12" s="767">
        <f t="shared" si="0"/>
        <v>100</v>
      </c>
      <c r="T12" s="766" t="s">
        <v>17</v>
      </c>
      <c r="U12" s="767">
        <f t="shared" si="1"/>
        <v>100</v>
      </c>
      <c r="V12" s="766" t="s">
        <v>17</v>
      </c>
      <c r="W12" s="767">
        <f t="shared" si="2"/>
        <v>100</v>
      </c>
      <c r="X12" s="768"/>
      <c r="Y12" s="3087"/>
      <c r="Z12" s="55">
        <f t="shared" si="7"/>
        <v>111</v>
      </c>
      <c r="AA12" s="769">
        <f>D12/F12</f>
        <v>1</v>
      </c>
      <c r="AB12" s="769">
        <f>D12/H12</f>
        <v>1</v>
      </c>
      <c r="AC12" s="2661">
        <f>D12/J12</f>
        <v>1</v>
      </c>
    </row>
    <row r="13" spans="1:29" ht="15">
      <c r="A13" s="425"/>
      <c r="B13" s="2592">
        <v>111</v>
      </c>
      <c r="C13" s="431"/>
      <c r="D13" s="432">
        <v>100</v>
      </c>
      <c r="E13" s="429"/>
      <c r="F13" s="133">
        <f>SUMIF(73:73,E13,74:74)-SUMIF(73:73,C13,74:74)+100</f>
        <v>100</v>
      </c>
      <c r="G13" s="2662"/>
      <c r="H13" s="432">
        <f>SUMIF(73:73,G13,74:74)-SUMIF(73:73,C13,74:74)+100</f>
        <v>100</v>
      </c>
      <c r="I13" s="429"/>
      <c r="J13" s="432">
        <f>SUMIF(73:73,I13,74:74)-SUMIF(73:73,C13,74:74)+100</f>
        <v>100</v>
      </c>
      <c r="K13" s="610"/>
      <c r="L13" s="1134"/>
      <c r="M13" s="1125"/>
      <c r="N13" s="1125"/>
      <c r="O13" s="1125"/>
      <c r="P13" s="3266"/>
      <c r="Q13" s="1788">
        <f t="shared" si="6"/>
        <v>111</v>
      </c>
      <c r="R13" s="766" t="s">
        <v>17</v>
      </c>
      <c r="S13" s="767">
        <f t="shared" si="0"/>
        <v>100</v>
      </c>
      <c r="T13" s="766" t="s">
        <v>17</v>
      </c>
      <c r="U13" s="767">
        <f t="shared" si="1"/>
        <v>100</v>
      </c>
      <c r="V13" s="766" t="s">
        <v>17</v>
      </c>
      <c r="W13" s="767">
        <f t="shared" si="2"/>
        <v>100</v>
      </c>
      <c r="X13" s="768"/>
      <c r="Y13" s="3087"/>
      <c r="Z13" s="55">
        <f t="shared" si="7"/>
        <v>111</v>
      </c>
      <c r="AA13" s="769">
        <f t="shared" si="3"/>
        <v>1</v>
      </c>
      <c r="AB13" s="769">
        <f t="shared" si="4"/>
        <v>1</v>
      </c>
      <c r="AC13" s="2661">
        <f t="shared" si="5"/>
        <v>1</v>
      </c>
    </row>
    <row r="14" spans="1:29" ht="15.75" thickBot="1">
      <c r="A14" s="433"/>
      <c r="B14" s="2594">
        <v>111</v>
      </c>
      <c r="C14" s="434"/>
      <c r="D14" s="435">
        <v>100</v>
      </c>
      <c r="E14" s="625"/>
      <c r="F14" s="435">
        <f>SUMIF(75:75,E14,76:76)-SUMIF(75:75,C14,76:76)+100</f>
        <v>100</v>
      </c>
      <c r="G14" s="2662"/>
      <c r="H14" s="435">
        <f>SUMIF(75:75,G14,76:76)-SUMIF(75:75,C14,76:76)+100</f>
        <v>100</v>
      </c>
      <c r="I14" s="429"/>
      <c r="J14" s="435">
        <f>SUMIF(75:75,I14,76:76)-SUMIF(75:75,C14,76:76)+100</f>
        <v>100</v>
      </c>
      <c r="K14" s="610"/>
      <c r="L14" s="1134"/>
      <c r="M14" s="1125"/>
      <c r="N14" s="1125"/>
      <c r="O14" s="1125"/>
      <c r="P14" s="3266"/>
      <c r="Q14" s="1788">
        <f t="shared" si="6"/>
        <v>111</v>
      </c>
      <c r="R14" s="766" t="s">
        <v>17</v>
      </c>
      <c r="S14" s="767">
        <f t="shared" si="0"/>
        <v>100</v>
      </c>
      <c r="T14" s="766" t="s">
        <v>17</v>
      </c>
      <c r="U14" s="767">
        <f t="shared" si="1"/>
        <v>100</v>
      </c>
      <c r="V14" s="766" t="s">
        <v>17</v>
      </c>
      <c r="W14" s="767">
        <f t="shared" si="2"/>
        <v>100</v>
      </c>
      <c r="X14" s="768"/>
      <c r="Y14" s="3087"/>
      <c r="Z14" s="55">
        <f t="shared" si="7"/>
        <v>111</v>
      </c>
      <c r="AA14" s="769">
        <f t="shared" si="3"/>
        <v>1</v>
      </c>
      <c r="AB14" s="769">
        <f t="shared" si="4"/>
        <v>1</v>
      </c>
      <c r="AC14" s="2661">
        <f t="shared" si="5"/>
        <v>1</v>
      </c>
    </row>
    <row r="15" spans="1:29" ht="71.25">
      <c r="A15" s="437" t="s">
        <v>2548</v>
      </c>
      <c r="B15" s="626" t="s">
        <v>2676</v>
      </c>
      <c r="C15" s="2663"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4"/>
      <c r="M15" s="1125"/>
      <c r="N15" s="1125"/>
      <c r="O15" s="1125"/>
      <c r="P15" s="3305" t="s">
        <v>2549</v>
      </c>
      <c r="Q15" s="1803" t="str">
        <f t="shared" si="6"/>
        <v>办公集聚程度</v>
      </c>
      <c r="R15" s="770" t="s">
        <v>17</v>
      </c>
      <c r="S15" s="771">
        <f t="shared" si="0"/>
        <v>100</v>
      </c>
      <c r="T15" s="770" t="s">
        <v>17</v>
      </c>
      <c r="U15" s="771">
        <f t="shared" si="1"/>
        <v>100</v>
      </c>
      <c r="V15" s="770" t="s">
        <v>17</v>
      </c>
      <c r="W15" s="771">
        <f t="shared" si="2"/>
        <v>100</v>
      </c>
      <c r="X15" s="1806"/>
      <c r="Y15" s="3269" t="s">
        <v>2549</v>
      </c>
      <c r="Z15" s="1807" t="str">
        <f t="shared" si="7"/>
        <v>办公集聚程度</v>
      </c>
      <c r="AA15" s="1804">
        <f t="shared" si="3"/>
        <v>1</v>
      </c>
      <c r="AB15" s="1804">
        <f t="shared" si="4"/>
        <v>1</v>
      </c>
      <c r="AC15" s="2664">
        <f t="shared" si="5"/>
        <v>1</v>
      </c>
    </row>
    <row r="16" spans="1:29" ht="15">
      <c r="A16" s="425"/>
      <c r="B16" s="627"/>
      <c r="C16" s="2603"/>
      <c r="D16" s="445"/>
      <c r="E16" s="444"/>
      <c r="F16" s="445"/>
      <c r="G16" s="2603"/>
      <c r="H16" s="447"/>
      <c r="I16" s="444"/>
      <c r="J16" s="445"/>
      <c r="K16" s="612"/>
      <c r="L16" s="1134"/>
      <c r="M16" s="1125"/>
      <c r="N16" s="1125"/>
      <c r="O16" s="1125"/>
      <c r="P16" s="3306"/>
      <c r="Q16" s="1803"/>
      <c r="R16" s="770"/>
      <c r="S16" s="771"/>
      <c r="T16" s="770"/>
      <c r="U16" s="771"/>
      <c r="V16" s="770"/>
      <c r="W16" s="771"/>
      <c r="X16" s="1806"/>
      <c r="Y16" s="3270"/>
      <c r="Z16" s="1807"/>
      <c r="AA16" s="1804">
        <v>1</v>
      </c>
      <c r="AB16" s="1804">
        <v>1</v>
      </c>
      <c r="AC16" s="2664">
        <v>1</v>
      </c>
    </row>
    <row r="17" spans="1:29" ht="71.25">
      <c r="A17" s="425"/>
      <c r="B17" s="628" t="s">
        <v>2092</v>
      </c>
      <c r="C17" s="2665"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4"/>
      <c r="M17" s="1125"/>
      <c r="N17" s="1125"/>
      <c r="O17" s="1125"/>
      <c r="P17" s="3306"/>
      <c r="Q17" s="1803" t="str">
        <f>B17</f>
        <v>交通便捷度</v>
      </c>
      <c r="R17" s="770" t="s">
        <v>17</v>
      </c>
      <c r="S17" s="771">
        <f>F17</f>
        <v>100</v>
      </c>
      <c r="T17" s="770" t="s">
        <v>17</v>
      </c>
      <c r="U17" s="771">
        <f>H17</f>
        <v>100</v>
      </c>
      <c r="V17" s="770" t="s">
        <v>17</v>
      </c>
      <c r="W17" s="771">
        <f>J17</f>
        <v>100</v>
      </c>
      <c r="X17" s="1806"/>
      <c r="Y17" s="3270"/>
      <c r="Z17" s="1807" t="str">
        <f>Q17</f>
        <v>交通便捷度</v>
      </c>
      <c r="AA17" s="1804">
        <f t="shared" si="3"/>
        <v>1</v>
      </c>
      <c r="AB17" s="1804">
        <f t="shared" si="4"/>
        <v>1</v>
      </c>
      <c r="AC17" s="2664">
        <f t="shared" si="5"/>
        <v>1</v>
      </c>
    </row>
    <row r="18" spans="1:29" ht="15">
      <c r="A18" s="425"/>
      <c r="B18" s="629"/>
      <c r="C18" s="2666"/>
      <c r="D18" s="447"/>
      <c r="E18" s="2601"/>
      <c r="F18" s="447"/>
      <c r="G18" s="2602"/>
      <c r="H18" s="445"/>
      <c r="I18" s="2602"/>
      <c r="J18" s="445"/>
      <c r="K18" s="612"/>
      <c r="L18" s="1134"/>
      <c r="M18" s="1125"/>
      <c r="N18" s="1125"/>
      <c r="O18" s="1125"/>
      <c r="P18" s="3306"/>
      <c r="Q18" s="1803"/>
      <c r="R18" s="770"/>
      <c r="S18" s="771"/>
      <c r="T18" s="770"/>
      <c r="U18" s="771"/>
      <c r="V18" s="770"/>
      <c r="W18" s="771"/>
      <c r="X18" s="1806"/>
      <c r="Y18" s="3270"/>
      <c r="Z18" s="1807"/>
      <c r="AA18" s="1804">
        <v>1</v>
      </c>
      <c r="AB18" s="1804">
        <v>1</v>
      </c>
      <c r="AC18" s="2664">
        <v>1</v>
      </c>
    </row>
    <row r="19" spans="1:29" ht="42.75">
      <c r="A19" s="425"/>
      <c r="B19" s="628" t="s">
        <v>2677</v>
      </c>
      <c r="C19" s="2665"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4"/>
      <c r="M19" s="1125"/>
      <c r="N19" s="1125"/>
      <c r="O19" s="1125"/>
      <c r="P19" s="3306"/>
      <c r="Q19" s="1803" t="str">
        <f>B19</f>
        <v>公共配套设施</v>
      </c>
      <c r="R19" s="770" t="s">
        <v>17</v>
      </c>
      <c r="S19" s="771">
        <f>F19</f>
        <v>100</v>
      </c>
      <c r="T19" s="770" t="s">
        <v>17</v>
      </c>
      <c r="U19" s="771">
        <f>H19</f>
        <v>100</v>
      </c>
      <c r="V19" s="770" t="s">
        <v>17</v>
      </c>
      <c r="W19" s="771">
        <f>J19</f>
        <v>100</v>
      </c>
      <c r="X19" s="1806"/>
      <c r="Y19" s="3270"/>
      <c r="Z19" s="1807" t="str">
        <f>Q19</f>
        <v>公共配套设施</v>
      </c>
      <c r="AA19" s="1804">
        <f t="shared" si="3"/>
        <v>1</v>
      </c>
      <c r="AB19" s="1804">
        <f t="shared" si="4"/>
        <v>1</v>
      </c>
      <c r="AC19" s="2664">
        <f t="shared" si="5"/>
        <v>1</v>
      </c>
    </row>
    <row r="20" spans="1:29" ht="15">
      <c r="A20" s="425"/>
      <c r="B20" s="629"/>
      <c r="C20" s="2603"/>
      <c r="D20" s="445"/>
      <c r="E20" s="2596"/>
      <c r="F20" s="445"/>
      <c r="G20" s="2597"/>
      <c r="H20" s="445"/>
      <c r="I20" s="2597"/>
      <c r="J20" s="445"/>
      <c r="K20" s="612"/>
      <c r="L20" s="1134"/>
      <c r="M20" s="1125"/>
      <c r="N20" s="1125"/>
      <c r="O20" s="1125"/>
      <c r="P20" s="3306"/>
      <c r="Q20" s="1803"/>
      <c r="R20" s="770"/>
      <c r="S20" s="771"/>
      <c r="T20" s="770"/>
      <c r="U20" s="771"/>
      <c r="V20" s="770"/>
      <c r="W20" s="771"/>
      <c r="X20" s="1806"/>
      <c r="Y20" s="3270"/>
      <c r="Z20" s="1807"/>
      <c r="AA20" s="1804">
        <v>1</v>
      </c>
      <c r="AB20" s="1804">
        <v>1</v>
      </c>
      <c r="AC20" s="2664">
        <v>1</v>
      </c>
    </row>
    <row r="21" spans="1:29" ht="28.5">
      <c r="A21" s="425"/>
      <c r="B21" s="630" t="s">
        <v>2678</v>
      </c>
      <c r="C21" s="2665"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4"/>
      <c r="M21" s="1125"/>
      <c r="N21" s="1125"/>
      <c r="O21" s="1125"/>
      <c r="P21" s="3306"/>
      <c r="Q21" s="1803" t="str">
        <f>B21</f>
        <v>基础设施水平</v>
      </c>
      <c r="R21" s="770" t="s">
        <v>17</v>
      </c>
      <c r="S21" s="771">
        <f>F21</f>
        <v>100</v>
      </c>
      <c r="T21" s="770" t="s">
        <v>17</v>
      </c>
      <c r="U21" s="771">
        <f>H21</f>
        <v>100</v>
      </c>
      <c r="V21" s="770" t="s">
        <v>17</v>
      </c>
      <c r="W21" s="771">
        <f>J21</f>
        <v>100</v>
      </c>
      <c r="X21" s="1806"/>
      <c r="Y21" s="3270"/>
      <c r="Z21" s="1807" t="str">
        <f>Q21</f>
        <v>基础设施水平</v>
      </c>
      <c r="AA21" s="1804">
        <f>D21/F21</f>
        <v>1</v>
      </c>
      <c r="AB21" s="1804">
        <f>D21/H21</f>
        <v>1</v>
      </c>
      <c r="AC21" s="2664">
        <f>D21/J21</f>
        <v>1</v>
      </c>
    </row>
    <row r="22" spans="1:29" ht="15">
      <c r="A22" s="425"/>
      <c r="B22" s="630"/>
      <c r="C22" s="2666"/>
      <c r="D22" s="445"/>
      <c r="E22" s="444"/>
      <c r="F22" s="445"/>
      <c r="G22" s="2603"/>
      <c r="H22" s="445"/>
      <c r="I22" s="2603"/>
      <c r="J22" s="445"/>
      <c r="K22" s="1377"/>
      <c r="L22" s="1134"/>
      <c r="M22" s="1125"/>
      <c r="N22" s="1125"/>
      <c r="O22" s="1125"/>
      <c r="P22" s="3306"/>
      <c r="Q22" s="1803"/>
      <c r="R22" s="770"/>
      <c r="S22" s="771"/>
      <c r="T22" s="770"/>
      <c r="U22" s="771"/>
      <c r="V22" s="770"/>
      <c r="W22" s="771"/>
      <c r="X22" s="1806"/>
      <c r="Y22" s="3270"/>
      <c r="Z22" s="1807"/>
      <c r="AA22" s="1804">
        <v>1</v>
      </c>
      <c r="AB22" s="1804">
        <v>1</v>
      </c>
      <c r="AC22" s="2664">
        <v>1</v>
      </c>
    </row>
    <row r="23" spans="1:29" ht="42.75">
      <c r="A23" s="425"/>
      <c r="B23" s="628" t="s">
        <v>2679</v>
      </c>
      <c r="C23" s="2665"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4"/>
      <c r="M23" s="1125"/>
      <c r="N23" s="1125"/>
      <c r="O23" s="1125"/>
      <c r="P23" s="3306"/>
      <c r="Q23" s="1803" t="str">
        <f>B23</f>
        <v>环境质量</v>
      </c>
      <c r="R23" s="770" t="s">
        <v>17</v>
      </c>
      <c r="S23" s="771">
        <f>F23</f>
        <v>100</v>
      </c>
      <c r="T23" s="770" t="s">
        <v>17</v>
      </c>
      <c r="U23" s="771">
        <f>H23</f>
        <v>100</v>
      </c>
      <c r="V23" s="770" t="s">
        <v>17</v>
      </c>
      <c r="W23" s="771">
        <f>J23</f>
        <v>100</v>
      </c>
      <c r="X23" s="1806"/>
      <c r="Y23" s="3270"/>
      <c r="Z23" s="1807" t="str">
        <f>Q23</f>
        <v>环境质量</v>
      </c>
      <c r="AA23" s="1804">
        <f t="shared" si="3"/>
        <v>1</v>
      </c>
      <c r="AB23" s="1804">
        <f t="shared" si="4"/>
        <v>1</v>
      </c>
      <c r="AC23" s="2664">
        <f t="shared" si="5"/>
        <v>1</v>
      </c>
    </row>
    <row r="24" spans="1:29" ht="15">
      <c r="A24" s="425"/>
      <c r="B24" s="630"/>
      <c r="C24" s="2603"/>
      <c r="D24" s="445"/>
      <c r="E24" s="2596"/>
      <c r="F24" s="445"/>
      <c r="G24" s="2597"/>
      <c r="H24" s="445"/>
      <c r="I24" s="2597"/>
      <c r="J24" s="445"/>
      <c r="K24" s="612"/>
      <c r="L24" s="1134"/>
      <c r="M24" s="1125"/>
      <c r="N24" s="1125"/>
      <c r="O24" s="1125"/>
      <c r="P24" s="3306"/>
      <c r="Q24" s="1803"/>
      <c r="R24" s="770"/>
      <c r="S24" s="771"/>
      <c r="T24" s="770"/>
      <c r="U24" s="771"/>
      <c r="V24" s="770"/>
      <c r="W24" s="771"/>
      <c r="X24" s="1806"/>
      <c r="Y24" s="3270"/>
      <c r="Z24" s="1807"/>
      <c r="AA24" s="1804">
        <v>1</v>
      </c>
      <c r="AB24" s="1804">
        <v>1</v>
      </c>
      <c r="AC24" s="2664">
        <v>1</v>
      </c>
    </row>
    <row r="25" spans="1:29" ht="27">
      <c r="A25" s="401"/>
      <c r="B25" s="628" t="s">
        <v>2680</v>
      </c>
      <c r="C25" s="2607"/>
      <c r="D25" s="432">
        <v>100</v>
      </c>
      <c r="E25" s="431"/>
      <c r="F25" s="432">
        <f>SUMIF(87:87,E26,88:88)-SUMIF(87:87,C26,88:88)+100</f>
        <v>100</v>
      </c>
      <c r="G25" s="2607"/>
      <c r="H25" s="432">
        <f>SUMIF(87:87,G26,88:88)-SUMIF(87:87,C26,88:88)+100</f>
        <v>100</v>
      </c>
      <c r="I25" s="431"/>
      <c r="J25" s="432">
        <f>SUMIF(87:87,I26,88:88)-SUMIF(87:87,C26,88:88)+100</f>
        <v>100</v>
      </c>
      <c r="K25" s="611"/>
      <c r="L25" s="1134"/>
      <c r="M25" s="1125"/>
      <c r="N25" s="1125"/>
      <c r="O25" s="1125"/>
      <c r="P25" s="3306"/>
      <c r="Q25" s="1803" t="str">
        <f>B25</f>
        <v>毗邻道路的类型与等级</v>
      </c>
      <c r="R25" s="770" t="s">
        <v>17</v>
      </c>
      <c r="S25" s="771">
        <f>F25</f>
        <v>100</v>
      </c>
      <c r="T25" s="770" t="s">
        <v>17</v>
      </c>
      <c r="U25" s="771">
        <f>H25</f>
        <v>100</v>
      </c>
      <c r="V25" s="770" t="s">
        <v>17</v>
      </c>
      <c r="W25" s="771">
        <f>J25</f>
        <v>100</v>
      </c>
      <c r="X25" s="1806"/>
      <c r="Y25" s="3270"/>
      <c r="Z25" s="1807" t="str">
        <f>Q25</f>
        <v>毗邻道路的类型与等级</v>
      </c>
      <c r="AA25" s="1804">
        <f t="shared" si="3"/>
        <v>1</v>
      </c>
      <c r="AB25" s="1804">
        <f t="shared" si="4"/>
        <v>1</v>
      </c>
      <c r="AC25" s="2664">
        <f t="shared" si="5"/>
        <v>1</v>
      </c>
    </row>
    <row r="26" spans="1:29" ht="15">
      <c r="A26" s="401"/>
      <c r="B26" s="629"/>
      <c r="C26" s="631"/>
      <c r="D26" s="432"/>
      <c r="E26" s="613"/>
      <c r="F26" s="432"/>
      <c r="G26" s="631"/>
      <c r="H26" s="432"/>
      <c r="I26" s="613"/>
      <c r="J26" s="432"/>
      <c r="K26" s="612"/>
      <c r="L26" s="1134"/>
      <c r="M26" s="1125"/>
      <c r="N26" s="1125"/>
      <c r="O26" s="1125"/>
      <c r="P26" s="3306"/>
      <c r="Q26" s="1803"/>
      <c r="R26" s="770"/>
      <c r="S26" s="771"/>
      <c r="T26" s="770"/>
      <c r="U26" s="771"/>
      <c r="V26" s="770"/>
      <c r="W26" s="771"/>
      <c r="X26" s="1806"/>
      <c r="Y26" s="3270"/>
      <c r="Z26" s="1807"/>
      <c r="AA26" s="1804">
        <v>1</v>
      </c>
      <c r="AB26" s="1804">
        <v>1</v>
      </c>
      <c r="AC26" s="2664">
        <v>1</v>
      </c>
    </row>
    <row r="27" spans="1:29" ht="15">
      <c r="A27" s="425"/>
      <c r="B27" s="629" t="s">
        <v>2648</v>
      </c>
      <c r="C27" s="631"/>
      <c r="D27" s="432">
        <v>100</v>
      </c>
      <c r="E27" s="613"/>
      <c r="F27" s="432">
        <f>SUMIF(89:89,E27,90:90)-SUMIF(89:89,C27,90:90)+100</f>
        <v>100</v>
      </c>
      <c r="G27" s="631"/>
      <c r="H27" s="432">
        <f>SUMIF(89:89,G27,90:90)-SUMIF(89:89,C27,90:90)+100</f>
        <v>100</v>
      </c>
      <c r="I27" s="613"/>
      <c r="J27" s="432">
        <f>SUMIF(89:89,I27,90:90)-SUMIF(89:89,C27,90:90)+100</f>
        <v>100</v>
      </c>
      <c r="K27" s="609"/>
      <c r="L27" s="1134"/>
      <c r="M27" s="1125"/>
      <c r="N27" s="1125"/>
      <c r="O27" s="1125"/>
      <c r="P27" s="3306"/>
      <c r="Q27" s="1803" t="str">
        <f t="shared" ref="Q27:Q47" si="8">B27</f>
        <v>楼层</v>
      </c>
      <c r="R27" s="770" t="s">
        <v>17</v>
      </c>
      <c r="S27" s="771">
        <f>F27</f>
        <v>100</v>
      </c>
      <c r="T27" s="770" t="s">
        <v>17</v>
      </c>
      <c r="U27" s="771">
        <f>H27</f>
        <v>100</v>
      </c>
      <c r="V27" s="770" t="s">
        <v>17</v>
      </c>
      <c r="W27" s="771">
        <f>J27</f>
        <v>100</v>
      </c>
      <c r="X27" s="1806"/>
      <c r="Y27" s="3270"/>
      <c r="Z27" s="1807" t="str">
        <f>Q27</f>
        <v>楼层</v>
      </c>
      <c r="AA27" s="1804">
        <f t="shared" si="3"/>
        <v>1</v>
      </c>
      <c r="AB27" s="1804">
        <f t="shared" si="4"/>
        <v>1</v>
      </c>
      <c r="AC27" s="2664">
        <f t="shared" si="5"/>
        <v>1</v>
      </c>
    </row>
    <row r="28" spans="1:29" s="116" customFormat="1" ht="15">
      <c r="A28" s="428"/>
      <c r="B28" s="628" t="s">
        <v>2681</v>
      </c>
      <c r="C28" s="2667"/>
      <c r="D28" s="459">
        <v>100</v>
      </c>
      <c r="E28" s="2655"/>
      <c r="F28" s="459">
        <f>SUMIF(91:91,E28,92:92)-SUMIF(91:91,C28,92:92)+100</f>
        <v>100</v>
      </c>
      <c r="G28" s="2667"/>
      <c r="H28" s="459">
        <f>SUMIF(91:91,G28,92:92)-SUMIF(91:91,C28,92:92)+100</f>
        <v>100</v>
      </c>
      <c r="I28" s="2655"/>
      <c r="J28" s="459">
        <f>SUMIF(91:91,I28,92:92)-SUMIF(91:91,C28,92:92)+100</f>
        <v>100</v>
      </c>
      <c r="K28" s="609"/>
      <c r="L28" s="1126"/>
      <c r="M28" s="1127"/>
      <c r="N28" s="1127"/>
      <c r="O28" s="1127"/>
      <c r="P28" s="3306"/>
      <c r="Q28" s="1788" t="str">
        <f t="shared" si="8"/>
        <v>朝向</v>
      </c>
      <c r="R28" s="766" t="s">
        <v>17</v>
      </c>
      <c r="S28" s="767">
        <f>F28</f>
        <v>100</v>
      </c>
      <c r="T28" s="766" t="s">
        <v>17</v>
      </c>
      <c r="U28" s="767">
        <f>H28</f>
        <v>100</v>
      </c>
      <c r="V28" s="766" t="s">
        <v>17</v>
      </c>
      <c r="W28" s="767">
        <f>J28</f>
        <v>100</v>
      </c>
      <c r="X28" s="768"/>
      <c r="Y28" s="3270"/>
      <c r="Z28" s="55" t="str">
        <f>Q28</f>
        <v>朝向</v>
      </c>
      <c r="AA28" s="1804">
        <f>D28/F28</f>
        <v>1</v>
      </c>
      <c r="AB28" s="1804">
        <f>D28/H28</f>
        <v>1</v>
      </c>
      <c r="AC28" s="2664">
        <f>D28/J28</f>
        <v>1</v>
      </c>
    </row>
    <row r="29" spans="1:29" ht="15">
      <c r="A29" s="425"/>
      <c r="B29" s="2668">
        <v>111</v>
      </c>
      <c r="C29" s="2607"/>
      <c r="D29" s="432">
        <v>100</v>
      </c>
      <c r="E29" s="429"/>
      <c r="F29" s="432">
        <f>SUMIF(93:93,E29,94:94)-SUMIF(93:93,C29,94:94)+100</f>
        <v>100</v>
      </c>
      <c r="G29" s="2662"/>
      <c r="H29" s="432">
        <f>SUMIF(93:93,G29,94:94)-SUMIF(93:93,C29,94:94)+100</f>
        <v>100</v>
      </c>
      <c r="I29" s="429"/>
      <c r="J29" s="432">
        <f>SUMIF(93:93,I29,94:94)-SUMIF(93:93,C29,94:94)+100</f>
        <v>100</v>
      </c>
      <c r="K29" s="610"/>
      <c r="L29" s="1134"/>
      <c r="M29" s="1125"/>
      <c r="N29" s="1125"/>
      <c r="O29" s="1125"/>
      <c r="P29" s="3306"/>
      <c r="Q29" s="1803">
        <f t="shared" si="8"/>
        <v>111</v>
      </c>
      <c r="R29" s="770" t="s">
        <v>17</v>
      </c>
      <c r="S29" s="771">
        <f t="shared" ref="S29:S47" si="9">F29</f>
        <v>100</v>
      </c>
      <c r="T29" s="770" t="s">
        <v>17</v>
      </c>
      <c r="U29" s="771">
        <f t="shared" ref="U29:U47" si="10">H29</f>
        <v>100</v>
      </c>
      <c r="V29" s="770" t="s">
        <v>17</v>
      </c>
      <c r="W29" s="771">
        <f t="shared" ref="W29:W47" si="11">J29</f>
        <v>100</v>
      </c>
      <c r="X29" s="1806"/>
      <c r="Y29" s="3270"/>
      <c r="Z29" s="1807">
        <f t="shared" ref="Z29:Z47" si="12">Q29</f>
        <v>111</v>
      </c>
      <c r="AA29" s="1804">
        <f t="shared" si="3"/>
        <v>1</v>
      </c>
      <c r="AB29" s="1804">
        <f t="shared" si="4"/>
        <v>1</v>
      </c>
      <c r="AC29" s="2664">
        <f t="shared" si="5"/>
        <v>1</v>
      </c>
    </row>
    <row r="30" spans="1:29" ht="15">
      <c r="A30" s="425"/>
      <c r="B30" s="2668">
        <v>111</v>
      </c>
      <c r="C30" s="2607"/>
      <c r="D30" s="432">
        <v>100</v>
      </c>
      <c r="E30" s="429"/>
      <c r="F30" s="432">
        <f>SUMIF(95:95,E30,96:96)-SUMIF(95:95,C30,96:96)+100</f>
        <v>100</v>
      </c>
      <c r="G30" s="2662"/>
      <c r="H30" s="432">
        <f>SUMIF(95:95,G30,96:96)-SUMIF(95:95,C30,96:96)+100</f>
        <v>100</v>
      </c>
      <c r="I30" s="429"/>
      <c r="J30" s="432">
        <f>SUMIF(95:95,I30,96:96)-SUMIF(95:95,C30,96:96)+100</f>
        <v>100</v>
      </c>
      <c r="K30" s="610"/>
      <c r="L30" s="1134"/>
      <c r="M30" s="1125"/>
      <c r="N30" s="1125"/>
      <c r="O30" s="1125"/>
      <c r="P30" s="3306"/>
      <c r="Q30" s="1803">
        <f t="shared" si="8"/>
        <v>111</v>
      </c>
      <c r="R30" s="770" t="s">
        <v>17</v>
      </c>
      <c r="S30" s="771">
        <f t="shared" si="9"/>
        <v>100</v>
      </c>
      <c r="T30" s="770" t="s">
        <v>17</v>
      </c>
      <c r="U30" s="771">
        <f t="shared" si="10"/>
        <v>100</v>
      </c>
      <c r="V30" s="770" t="s">
        <v>17</v>
      </c>
      <c r="W30" s="771">
        <f t="shared" si="11"/>
        <v>100</v>
      </c>
      <c r="X30" s="1806"/>
      <c r="Y30" s="3270"/>
      <c r="Z30" s="1807">
        <f t="shared" si="12"/>
        <v>111</v>
      </c>
      <c r="AA30" s="1804">
        <f t="shared" si="3"/>
        <v>1</v>
      </c>
      <c r="AB30" s="1804">
        <f t="shared" si="4"/>
        <v>1</v>
      </c>
      <c r="AC30" s="2664">
        <f t="shared" si="5"/>
        <v>1</v>
      </c>
    </row>
    <row r="31" spans="1:29" ht="15">
      <c r="A31" s="425"/>
      <c r="B31" s="2668">
        <v>111</v>
      </c>
      <c r="C31" s="2607"/>
      <c r="D31" s="432">
        <v>100</v>
      </c>
      <c r="E31" s="429"/>
      <c r="F31" s="432">
        <f>SUMIF(97:97,E31,98:98)-SUMIF(97:97,C31,98:98)+100</f>
        <v>100</v>
      </c>
      <c r="G31" s="2662"/>
      <c r="H31" s="432">
        <f>SUMIF(97:97,G31,98:98)-SUMIF(97:97,C31,98:98)+100</f>
        <v>100</v>
      </c>
      <c r="I31" s="429"/>
      <c r="J31" s="432">
        <f>SUMIF(97:97,I31,98:98)-SUMIF(97:97,C31,98:98)+100</f>
        <v>100</v>
      </c>
      <c r="K31" s="610"/>
      <c r="L31" s="1134"/>
      <c r="M31" s="1125"/>
      <c r="N31" s="1125"/>
      <c r="O31" s="1125"/>
      <c r="P31" s="3306"/>
      <c r="Q31" s="1803">
        <f t="shared" si="8"/>
        <v>111</v>
      </c>
      <c r="R31" s="770" t="s">
        <v>17</v>
      </c>
      <c r="S31" s="771">
        <f t="shared" si="9"/>
        <v>100</v>
      </c>
      <c r="T31" s="770" t="s">
        <v>17</v>
      </c>
      <c r="U31" s="771">
        <f t="shared" si="10"/>
        <v>100</v>
      </c>
      <c r="V31" s="770" t="s">
        <v>17</v>
      </c>
      <c r="W31" s="771">
        <f t="shared" si="11"/>
        <v>100</v>
      </c>
      <c r="X31" s="1806"/>
      <c r="Y31" s="3270"/>
      <c r="Z31" s="1807">
        <f t="shared" si="12"/>
        <v>111</v>
      </c>
      <c r="AA31" s="1804">
        <f t="shared" si="3"/>
        <v>1</v>
      </c>
      <c r="AB31" s="1804">
        <f t="shared" si="4"/>
        <v>1</v>
      </c>
      <c r="AC31" s="2664">
        <f t="shared" si="5"/>
        <v>1</v>
      </c>
    </row>
    <row r="32" spans="1:29" ht="15.75" thickBot="1">
      <c r="A32" s="433"/>
      <c r="B32" s="632">
        <v>111</v>
      </c>
      <c r="C32" s="2608"/>
      <c r="D32" s="435">
        <v>100</v>
      </c>
      <c r="E32" s="625"/>
      <c r="F32" s="435">
        <f>SUMIF(99:99,E32,100:100)-SUMIF(99:99,C32,100:100)+100</f>
        <v>100</v>
      </c>
      <c r="G32" s="2662"/>
      <c r="H32" s="435">
        <f>SUMIF(99:99,G32,100:100)-SUMIF(99:99,C32,100:100)+100</f>
        <v>100</v>
      </c>
      <c r="I32" s="429"/>
      <c r="J32" s="435">
        <f>SUMIF(99:99,I32,100:100)-SUMIF(99:99,C32,100:100)+100</f>
        <v>100</v>
      </c>
      <c r="K32" s="610"/>
      <c r="L32" s="1134"/>
      <c r="M32" s="1125"/>
      <c r="N32" s="1125"/>
      <c r="O32" s="1125"/>
      <c r="P32" s="3306"/>
      <c r="Q32" s="1803">
        <f t="shared" si="8"/>
        <v>111</v>
      </c>
      <c r="R32" s="770" t="s">
        <v>17</v>
      </c>
      <c r="S32" s="771">
        <f t="shared" si="9"/>
        <v>100</v>
      </c>
      <c r="T32" s="770" t="s">
        <v>17</v>
      </c>
      <c r="U32" s="771">
        <f t="shared" si="10"/>
        <v>100</v>
      </c>
      <c r="V32" s="770" t="s">
        <v>17</v>
      </c>
      <c r="W32" s="771">
        <f t="shared" si="11"/>
        <v>100</v>
      </c>
      <c r="X32" s="1806"/>
      <c r="Y32" s="3270"/>
      <c r="Z32" s="1807">
        <f t="shared" si="12"/>
        <v>111</v>
      </c>
      <c r="AA32" s="1804">
        <f t="shared" si="3"/>
        <v>1</v>
      </c>
      <c r="AB32" s="1804">
        <f t="shared" si="4"/>
        <v>1</v>
      </c>
      <c r="AC32" s="2664">
        <f t="shared" si="5"/>
        <v>1</v>
      </c>
    </row>
    <row r="33" spans="1:29" ht="15">
      <c r="A33" s="437" t="s">
        <v>2552</v>
      </c>
      <c r="B33" s="71" t="s">
        <v>2682</v>
      </c>
      <c r="C33" s="2669"/>
      <c r="D33" s="464">
        <v>100</v>
      </c>
      <c r="E33" s="2669"/>
      <c r="F33" s="458">
        <f>SUMIF(101:101,E33,102:102)-SUMIF(101:101,C33,102:102)+100</f>
        <v>100</v>
      </c>
      <c r="G33" s="2669"/>
      <c r="H33" s="432">
        <f>SUMIF(101:101,G33,102:102)-SUMIF(101:101,C33,102:102)+100</f>
        <v>100</v>
      </c>
      <c r="I33" s="2669"/>
      <c r="J33" s="464">
        <f>SUMIF(101:101,I33,102:102)-SUMIF(101:101,C33,102:102)+100</f>
        <v>100</v>
      </c>
      <c r="K33" s="609"/>
      <c r="L33" s="1134"/>
      <c r="M33" s="1125"/>
      <c r="N33" s="1125"/>
      <c r="O33" s="1125"/>
      <c r="P33" s="3307" t="s">
        <v>2554</v>
      </c>
      <c r="Q33" s="1803" t="str">
        <f t="shared" si="8"/>
        <v>建筑类型</v>
      </c>
      <c r="R33" s="770" t="s">
        <v>17</v>
      </c>
      <c r="S33" s="771">
        <f t="shared" si="9"/>
        <v>100</v>
      </c>
      <c r="T33" s="770" t="s">
        <v>17</v>
      </c>
      <c r="U33" s="771">
        <f t="shared" si="10"/>
        <v>100</v>
      </c>
      <c r="V33" s="770" t="s">
        <v>17</v>
      </c>
      <c r="W33" s="771">
        <f t="shared" si="11"/>
        <v>100</v>
      </c>
      <c r="X33" s="1806"/>
      <c r="Y33" s="3272" t="s">
        <v>2554</v>
      </c>
      <c r="Z33" s="1807" t="str">
        <f t="shared" si="12"/>
        <v>建筑类型</v>
      </c>
      <c r="AA33" s="1804">
        <f t="shared" si="3"/>
        <v>1</v>
      </c>
      <c r="AB33" s="1804">
        <f t="shared" si="4"/>
        <v>1</v>
      </c>
      <c r="AC33" s="2664">
        <f t="shared" si="5"/>
        <v>1</v>
      </c>
    </row>
    <row r="34" spans="1:29" s="468" customFormat="1" ht="15">
      <c r="A34" s="465"/>
      <c r="B34" s="419" t="s">
        <v>2555</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2"/>
      <c r="M34" s="1135"/>
      <c r="N34" s="1135"/>
      <c r="O34" s="1135"/>
      <c r="P34" s="3308"/>
      <c r="Q34" s="772" t="str">
        <f t="shared" si="8"/>
        <v>项目建筑规模</v>
      </c>
      <c r="R34" s="773" t="s">
        <v>17</v>
      </c>
      <c r="S34" s="774" t="e">
        <f t="shared" si="9"/>
        <v>#N/A</v>
      </c>
      <c r="T34" s="773" t="s">
        <v>17</v>
      </c>
      <c r="U34" s="774" t="e">
        <f t="shared" si="10"/>
        <v>#N/A</v>
      </c>
      <c r="V34" s="773" t="s">
        <v>17</v>
      </c>
      <c r="W34" s="774" t="e">
        <f t="shared" si="11"/>
        <v>#N/A</v>
      </c>
      <c r="X34" s="775"/>
      <c r="Y34" s="3272"/>
      <c r="Z34" s="776" t="str">
        <f t="shared" si="12"/>
        <v>项目建筑规模</v>
      </c>
      <c r="AA34" s="1804" t="e">
        <f t="shared" si="3"/>
        <v>#N/A</v>
      </c>
      <c r="AB34" s="1804" t="e">
        <f t="shared" si="4"/>
        <v>#N/A</v>
      </c>
      <c r="AC34" s="2664" t="e">
        <f t="shared" si="5"/>
        <v>#N/A</v>
      </c>
    </row>
    <row r="35" spans="1:29" ht="15">
      <c r="A35" s="469"/>
      <c r="B35" s="419" t="s">
        <v>2556</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4"/>
      <c r="M35" s="1125"/>
      <c r="N35" s="1125"/>
      <c r="O35" s="1125"/>
      <c r="P35" s="3308"/>
      <c r="Q35" s="1803" t="str">
        <f t="shared" si="8"/>
        <v>建筑结构</v>
      </c>
      <c r="R35" s="770" t="s">
        <v>17</v>
      </c>
      <c r="S35" s="771">
        <f t="shared" si="9"/>
        <v>100</v>
      </c>
      <c r="T35" s="770" t="s">
        <v>17</v>
      </c>
      <c r="U35" s="771">
        <f t="shared" si="10"/>
        <v>100</v>
      </c>
      <c r="V35" s="770" t="s">
        <v>17</v>
      </c>
      <c r="W35" s="771">
        <f t="shared" si="11"/>
        <v>100</v>
      </c>
      <c r="X35" s="1806"/>
      <c r="Y35" s="3272"/>
      <c r="Z35" s="1807" t="str">
        <f t="shared" si="12"/>
        <v>建筑结构</v>
      </c>
      <c r="AA35" s="1804">
        <f t="shared" si="3"/>
        <v>1</v>
      </c>
      <c r="AB35" s="1804">
        <f t="shared" si="4"/>
        <v>1</v>
      </c>
      <c r="AC35" s="2664">
        <f t="shared" si="5"/>
        <v>1</v>
      </c>
    </row>
    <row r="36" spans="1:29" ht="15">
      <c r="A36" s="469"/>
      <c r="B36" s="419" t="s">
        <v>2650</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4"/>
      <c r="M36" s="1125"/>
      <c r="N36" s="1125"/>
      <c r="O36" s="1125"/>
      <c r="P36" s="3308"/>
      <c r="Q36" s="1803" t="str">
        <f t="shared" si="8"/>
        <v>公共部分装修</v>
      </c>
      <c r="R36" s="770" t="s">
        <v>17</v>
      </c>
      <c r="S36" s="771">
        <f t="shared" si="9"/>
        <v>100</v>
      </c>
      <c r="T36" s="770" t="s">
        <v>17</v>
      </c>
      <c r="U36" s="771">
        <f t="shared" si="10"/>
        <v>100</v>
      </c>
      <c r="V36" s="770" t="s">
        <v>17</v>
      </c>
      <c r="W36" s="771">
        <f t="shared" si="11"/>
        <v>100</v>
      </c>
      <c r="X36" s="1806"/>
      <c r="Y36" s="3272"/>
      <c r="Z36" s="1807" t="str">
        <f t="shared" si="12"/>
        <v>公共部分装修</v>
      </c>
      <c r="AA36" s="1804">
        <f t="shared" si="3"/>
        <v>1</v>
      </c>
      <c r="AB36" s="1804">
        <f t="shared" si="4"/>
        <v>1</v>
      </c>
      <c r="AC36" s="2664">
        <f t="shared" si="5"/>
        <v>1</v>
      </c>
    </row>
    <row r="37" spans="1:29" ht="15">
      <c r="A37" s="469"/>
      <c r="B37" s="419" t="s">
        <v>2651</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4"/>
      <c r="M37" s="1125"/>
      <c r="N37" s="1125"/>
      <c r="O37" s="1125"/>
      <c r="P37" s="3308"/>
      <c r="Q37" s="1803" t="str">
        <f t="shared" si="8"/>
        <v>成新度</v>
      </c>
      <c r="R37" s="770" t="s">
        <v>17</v>
      </c>
      <c r="S37" s="771" t="e">
        <f t="shared" si="9"/>
        <v>#N/A</v>
      </c>
      <c r="T37" s="770" t="s">
        <v>17</v>
      </c>
      <c r="U37" s="771" t="e">
        <f t="shared" si="10"/>
        <v>#N/A</v>
      </c>
      <c r="V37" s="770" t="s">
        <v>17</v>
      </c>
      <c r="W37" s="771" t="e">
        <f t="shared" si="11"/>
        <v>#N/A</v>
      </c>
      <c r="X37" s="1806"/>
      <c r="Y37" s="3272"/>
      <c r="Z37" s="1807" t="str">
        <f t="shared" si="12"/>
        <v>成新度</v>
      </c>
      <c r="AA37" s="1804" t="e">
        <f t="shared" si="3"/>
        <v>#N/A</v>
      </c>
      <c r="AB37" s="1804" t="e">
        <f t="shared" si="4"/>
        <v>#N/A</v>
      </c>
      <c r="AC37" s="2664" t="e">
        <f t="shared" si="5"/>
        <v>#N/A</v>
      </c>
    </row>
    <row r="38" spans="1:29" s="116" customFormat="1" ht="15">
      <c r="A38" s="470"/>
      <c r="B38" s="419" t="s">
        <v>2683</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6"/>
      <c r="M38" s="1127"/>
      <c r="N38" s="1127"/>
      <c r="O38" s="1127"/>
      <c r="P38" s="3308"/>
      <c r="Q38" s="1788" t="str">
        <f t="shared" si="8"/>
        <v>写字楼等级</v>
      </c>
      <c r="R38" s="766" t="s">
        <v>17</v>
      </c>
      <c r="S38" s="767">
        <f t="shared" si="9"/>
        <v>100</v>
      </c>
      <c r="T38" s="766" t="s">
        <v>17</v>
      </c>
      <c r="U38" s="767">
        <f t="shared" si="10"/>
        <v>100</v>
      </c>
      <c r="V38" s="766" t="s">
        <v>17</v>
      </c>
      <c r="W38" s="767">
        <f t="shared" si="11"/>
        <v>100</v>
      </c>
      <c r="X38" s="768"/>
      <c r="Y38" s="3272"/>
      <c r="Z38" s="55" t="str">
        <f t="shared" si="12"/>
        <v>写字楼等级</v>
      </c>
      <c r="AA38" s="769">
        <f t="shared" si="3"/>
        <v>1</v>
      </c>
      <c r="AB38" s="769">
        <f t="shared" si="4"/>
        <v>1</v>
      </c>
      <c r="AC38" s="2661">
        <f t="shared" si="5"/>
        <v>1</v>
      </c>
    </row>
    <row r="39" spans="1:29" ht="15">
      <c r="A39" s="469"/>
      <c r="B39" s="419" t="s">
        <v>2684</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4"/>
      <c r="M39" s="1125"/>
      <c r="N39" s="1125"/>
      <c r="O39" s="1125"/>
      <c r="P39" s="3308" t="s">
        <v>2554</v>
      </c>
      <c r="Q39" s="1803" t="str">
        <f t="shared" si="8"/>
        <v>物业管理</v>
      </c>
      <c r="R39" s="770" t="s">
        <v>17</v>
      </c>
      <c r="S39" s="771">
        <f t="shared" si="9"/>
        <v>100</v>
      </c>
      <c r="T39" s="770" t="s">
        <v>17</v>
      </c>
      <c r="U39" s="771">
        <f t="shared" si="10"/>
        <v>100</v>
      </c>
      <c r="V39" s="770" t="s">
        <v>17</v>
      </c>
      <c r="W39" s="771">
        <f t="shared" si="11"/>
        <v>100</v>
      </c>
      <c r="X39" s="1806"/>
      <c r="Y39" s="3272" t="s">
        <v>2554</v>
      </c>
      <c r="Z39" s="1807" t="str">
        <f t="shared" si="12"/>
        <v>物业管理</v>
      </c>
      <c r="AA39" s="1804">
        <f t="shared" si="3"/>
        <v>1</v>
      </c>
      <c r="AB39" s="1804">
        <f t="shared" si="4"/>
        <v>1</v>
      </c>
      <c r="AC39" s="2664">
        <f t="shared" si="5"/>
        <v>1</v>
      </c>
    </row>
    <row r="40" spans="1:29" ht="15">
      <c r="A40" s="469"/>
      <c r="B40" s="419" t="s">
        <v>2652</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4"/>
      <c r="M40" s="1125"/>
      <c r="N40" s="1125"/>
      <c r="O40" s="1125"/>
      <c r="P40" s="3308"/>
      <c r="Q40" s="1803" t="str">
        <f t="shared" si="8"/>
        <v>市政基础设施</v>
      </c>
      <c r="R40" s="770" t="s">
        <v>17</v>
      </c>
      <c r="S40" s="771">
        <f t="shared" si="9"/>
        <v>100</v>
      </c>
      <c r="T40" s="770" t="s">
        <v>17</v>
      </c>
      <c r="U40" s="771">
        <f t="shared" si="10"/>
        <v>100</v>
      </c>
      <c r="V40" s="770" t="s">
        <v>17</v>
      </c>
      <c r="W40" s="771">
        <f t="shared" si="11"/>
        <v>100</v>
      </c>
      <c r="X40" s="1806"/>
      <c r="Y40" s="3272"/>
      <c r="Z40" s="1807" t="str">
        <f t="shared" si="12"/>
        <v>市政基础设施</v>
      </c>
      <c r="AA40" s="1804">
        <f t="shared" si="3"/>
        <v>1</v>
      </c>
      <c r="AB40" s="1804">
        <f t="shared" si="4"/>
        <v>1</v>
      </c>
      <c r="AC40" s="2664">
        <f t="shared" si="5"/>
        <v>1</v>
      </c>
    </row>
    <row r="41" spans="1:29" ht="15">
      <c r="A41" s="469"/>
      <c r="B41" s="419" t="s">
        <v>2654</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4"/>
      <c r="M41" s="1125"/>
      <c r="N41" s="1125"/>
      <c r="O41" s="1125"/>
      <c r="P41" s="3308"/>
      <c r="Q41" s="1803" t="str">
        <f t="shared" si="8"/>
        <v>层高</v>
      </c>
      <c r="R41" s="770" t="s">
        <v>17</v>
      </c>
      <c r="S41" s="771">
        <f t="shared" si="9"/>
        <v>100</v>
      </c>
      <c r="T41" s="770" t="s">
        <v>17</v>
      </c>
      <c r="U41" s="771">
        <f t="shared" si="10"/>
        <v>100</v>
      </c>
      <c r="V41" s="770" t="s">
        <v>17</v>
      </c>
      <c r="W41" s="771">
        <f t="shared" si="11"/>
        <v>100</v>
      </c>
      <c r="X41" s="1806"/>
      <c r="Y41" s="3272"/>
      <c r="Z41" s="1807" t="str">
        <f t="shared" si="12"/>
        <v>层高</v>
      </c>
      <c r="AA41" s="1804">
        <f t="shared" si="3"/>
        <v>1</v>
      </c>
      <c r="AB41" s="1804">
        <f t="shared" si="4"/>
        <v>1</v>
      </c>
      <c r="AC41" s="2664">
        <f t="shared" si="5"/>
        <v>1</v>
      </c>
    </row>
    <row r="42" spans="1:29" s="468" customFormat="1" ht="15">
      <c r="A42" s="465"/>
      <c r="B42" s="1805" t="s">
        <v>2685</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2"/>
      <c r="M42" s="1135"/>
      <c r="N42" s="1135"/>
      <c r="O42" s="1135"/>
      <c r="P42" s="3308"/>
      <c r="Q42" s="772" t="str">
        <f t="shared" si="8"/>
        <v>单套建筑面积</v>
      </c>
      <c r="R42" s="773" t="s">
        <v>17</v>
      </c>
      <c r="S42" s="774">
        <f t="shared" si="9"/>
        <v>100</v>
      </c>
      <c r="T42" s="773" t="s">
        <v>17</v>
      </c>
      <c r="U42" s="774">
        <f t="shared" si="10"/>
        <v>100</v>
      </c>
      <c r="V42" s="773" t="s">
        <v>17</v>
      </c>
      <c r="W42" s="774">
        <f t="shared" si="11"/>
        <v>100</v>
      </c>
      <c r="X42" s="775"/>
      <c r="Y42" s="3272"/>
      <c r="Z42" s="776" t="str">
        <f t="shared" si="12"/>
        <v>单套建筑面积</v>
      </c>
      <c r="AA42" s="1804">
        <f t="shared" si="3"/>
        <v>1</v>
      </c>
      <c r="AB42" s="1804">
        <f t="shared" si="4"/>
        <v>1</v>
      </c>
      <c r="AC42" s="2664">
        <f t="shared" si="5"/>
        <v>1</v>
      </c>
    </row>
    <row r="43" spans="1:29" ht="15">
      <c r="A43" s="469"/>
      <c r="B43" s="419" t="s">
        <v>2657</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4"/>
      <c r="M43" s="1125"/>
      <c r="N43" s="1125"/>
      <c r="O43" s="1125"/>
      <c r="P43" s="3308"/>
      <c r="Q43" s="1803" t="str">
        <f t="shared" si="8"/>
        <v>内部装修</v>
      </c>
      <c r="R43" s="770" t="s">
        <v>17</v>
      </c>
      <c r="S43" s="771">
        <f t="shared" si="9"/>
        <v>100</v>
      </c>
      <c r="T43" s="770" t="s">
        <v>17</v>
      </c>
      <c r="U43" s="771">
        <f t="shared" si="10"/>
        <v>100</v>
      </c>
      <c r="V43" s="770" t="s">
        <v>17</v>
      </c>
      <c r="W43" s="771">
        <f t="shared" si="11"/>
        <v>100</v>
      </c>
      <c r="X43" s="1806"/>
      <c r="Y43" s="3272"/>
      <c r="Z43" s="1807" t="str">
        <f t="shared" si="12"/>
        <v>内部装修</v>
      </c>
      <c r="AA43" s="1804">
        <f t="shared" si="3"/>
        <v>1</v>
      </c>
      <c r="AB43" s="1804">
        <f t="shared" si="4"/>
        <v>1</v>
      </c>
      <c r="AC43" s="2664">
        <f t="shared" si="5"/>
        <v>1</v>
      </c>
    </row>
    <row r="44" spans="1:29" ht="15">
      <c r="A44" s="469"/>
      <c r="B44" s="419" t="s">
        <v>2565</v>
      </c>
      <c r="C44" s="457"/>
      <c r="D44" s="432">
        <v>100</v>
      </c>
      <c r="E44" s="2605"/>
      <c r="F44" s="458">
        <f>SUMIF(125:125,E44,126:126)-SUMIF(125:125,C44,126:126)+100</f>
        <v>100</v>
      </c>
      <c r="G44" s="2605"/>
      <c r="H44" s="432">
        <f>SUMIF(125:125,G44,126:126)-SUMIF(125:125,C44,126:126)+100</f>
        <v>100</v>
      </c>
      <c r="I44" s="2605"/>
      <c r="J44" s="432">
        <f>SUMIF(125:125,I44,126:126)-SUMIF(125:125,C44,126:126)+100</f>
        <v>100</v>
      </c>
      <c r="K44" s="609"/>
      <c r="L44" s="1134"/>
      <c r="M44" s="1125"/>
      <c r="N44" s="1125"/>
      <c r="O44" s="1125"/>
      <c r="P44" s="3308"/>
      <c r="Q44" s="1803" t="str">
        <f t="shared" si="8"/>
        <v>内部装修维护情况</v>
      </c>
      <c r="R44" s="770" t="s">
        <v>17</v>
      </c>
      <c r="S44" s="771">
        <f t="shared" si="9"/>
        <v>100</v>
      </c>
      <c r="T44" s="770" t="s">
        <v>17</v>
      </c>
      <c r="U44" s="771">
        <f t="shared" si="10"/>
        <v>100</v>
      </c>
      <c r="V44" s="770" t="s">
        <v>17</v>
      </c>
      <c r="W44" s="771">
        <f t="shared" si="11"/>
        <v>100</v>
      </c>
      <c r="X44" s="1806"/>
      <c r="Y44" s="3272"/>
      <c r="Z44" s="1807" t="str">
        <f t="shared" si="12"/>
        <v>内部装修维护情况</v>
      </c>
      <c r="AA44" s="1804">
        <f t="shared" si="3"/>
        <v>1</v>
      </c>
      <c r="AB44" s="1804">
        <f t="shared" si="4"/>
        <v>1</v>
      </c>
      <c r="AC44" s="2664">
        <f t="shared" si="5"/>
        <v>1</v>
      </c>
    </row>
    <row r="45" spans="1:29" s="116" customFormat="1" ht="15">
      <c r="A45" s="470"/>
      <c r="B45" s="1380">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6"/>
      <c r="M45" s="1127"/>
      <c r="N45" s="1127"/>
      <c r="O45" s="1127"/>
      <c r="P45" s="3308"/>
      <c r="Q45" s="1788">
        <f t="shared" si="8"/>
        <v>111</v>
      </c>
      <c r="R45" s="766" t="s">
        <v>17</v>
      </c>
      <c r="S45" s="767">
        <f t="shared" si="9"/>
        <v>100</v>
      </c>
      <c r="T45" s="766" t="s">
        <v>17</v>
      </c>
      <c r="U45" s="767">
        <f t="shared" si="10"/>
        <v>100</v>
      </c>
      <c r="V45" s="766" t="s">
        <v>17</v>
      </c>
      <c r="W45" s="767">
        <f t="shared" si="11"/>
        <v>100</v>
      </c>
      <c r="X45" s="768"/>
      <c r="Y45" s="3272"/>
      <c r="Z45" s="55">
        <f t="shared" si="12"/>
        <v>111</v>
      </c>
      <c r="AA45" s="769">
        <f t="shared" si="3"/>
        <v>1</v>
      </c>
      <c r="AB45" s="769">
        <f t="shared" si="4"/>
        <v>1</v>
      </c>
      <c r="AC45" s="2661">
        <f t="shared" si="5"/>
        <v>1</v>
      </c>
    </row>
    <row r="46" spans="1:29" ht="15">
      <c r="A46" s="469"/>
      <c r="B46" s="1380">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308"/>
      <c r="Q46" s="1803">
        <f t="shared" si="8"/>
        <v>111</v>
      </c>
      <c r="R46" s="770" t="s">
        <v>17</v>
      </c>
      <c r="S46" s="771">
        <f t="shared" si="9"/>
        <v>100</v>
      </c>
      <c r="T46" s="770" t="s">
        <v>17</v>
      </c>
      <c r="U46" s="771">
        <f t="shared" si="10"/>
        <v>100</v>
      </c>
      <c r="V46" s="770" t="s">
        <v>17</v>
      </c>
      <c r="W46" s="771">
        <f t="shared" si="11"/>
        <v>100</v>
      </c>
      <c r="X46" s="1806"/>
      <c r="Y46" s="3272"/>
      <c r="Z46" s="1807">
        <f t="shared" si="12"/>
        <v>111</v>
      </c>
      <c r="AA46" s="1804">
        <f t="shared" si="3"/>
        <v>1</v>
      </c>
      <c r="AB46" s="1804">
        <f t="shared" si="4"/>
        <v>1</v>
      </c>
      <c r="AC46" s="2664">
        <f t="shared" si="5"/>
        <v>1</v>
      </c>
    </row>
    <row r="47" spans="1:29" ht="15.75" thickBot="1">
      <c r="A47" s="475"/>
      <c r="B47" s="2594">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309"/>
      <c r="Q47" s="1803">
        <f t="shared" si="8"/>
        <v>111</v>
      </c>
      <c r="R47" s="770" t="s">
        <v>17</v>
      </c>
      <c r="S47" s="771">
        <f t="shared" si="9"/>
        <v>100</v>
      </c>
      <c r="T47" s="770" t="s">
        <v>17</v>
      </c>
      <c r="U47" s="771">
        <f t="shared" si="10"/>
        <v>100</v>
      </c>
      <c r="V47" s="770" t="s">
        <v>17</v>
      </c>
      <c r="W47" s="771">
        <f t="shared" si="11"/>
        <v>100</v>
      </c>
      <c r="X47" s="1806"/>
      <c r="Y47" s="3310"/>
      <c r="Z47" s="1807">
        <f t="shared" si="12"/>
        <v>111</v>
      </c>
      <c r="AA47" s="1804">
        <f t="shared" si="3"/>
        <v>1</v>
      </c>
      <c r="AB47" s="1804">
        <f t="shared" si="4"/>
        <v>1</v>
      </c>
      <c r="AC47" s="2664">
        <f t="shared" si="5"/>
        <v>1</v>
      </c>
    </row>
    <row r="48" spans="1:29" ht="15">
      <c r="A48" s="476" t="s">
        <v>2566</v>
      </c>
      <c r="B48" s="477"/>
      <c r="C48" s="1401" t="s">
        <v>1</v>
      </c>
      <c r="D48" s="1402"/>
      <c r="E48" s="1403"/>
      <c r="F48" s="1404"/>
      <c r="G48" s="1405"/>
      <c r="H48" s="1406"/>
      <c r="I48" s="1403"/>
      <c r="J48" s="482"/>
      <c r="K48" s="779"/>
      <c r="L48" s="1137"/>
      <c r="M48" s="1125"/>
      <c r="N48" s="1125"/>
      <c r="O48" s="1125"/>
      <c r="P48" s="3266" t="str">
        <f>A48</f>
        <v>成交单价（元/平方米）</v>
      </c>
      <c r="Q48" s="3267"/>
      <c r="R48" s="3311">
        <f>E48</f>
        <v>0</v>
      </c>
      <c r="S48" s="3311"/>
      <c r="T48" s="3311">
        <f>G48</f>
        <v>0</v>
      </c>
      <c r="U48" s="3311"/>
      <c r="V48" s="3311">
        <f>I48</f>
        <v>0</v>
      </c>
      <c r="W48" s="3311"/>
      <c r="X48" s="443"/>
      <c r="Y48" s="777"/>
      <c r="Z48" s="443"/>
      <c r="AA48" s="443"/>
      <c r="AB48" s="443"/>
      <c r="AC48" s="627"/>
    </row>
    <row r="49" spans="1:29" ht="15.75" thickBot="1">
      <c r="A49" s="483" t="s">
        <v>2658</v>
      </c>
      <c r="B49" s="484"/>
      <c r="C49" s="1407" t="e">
        <f>R50</f>
        <v>#DIV/0!</v>
      </c>
      <c r="D49" s="1408"/>
      <c r="E49" s="1409" t="e">
        <f>R49</f>
        <v>#DIV/0!</v>
      </c>
      <c r="F49" s="1409"/>
      <c r="G49" s="1407" t="e">
        <f>T49</f>
        <v>#DIV/0!</v>
      </c>
      <c r="H49" s="1408"/>
      <c r="I49" s="1409" t="e">
        <f>V49</f>
        <v>#DIV/0!</v>
      </c>
      <c r="J49" s="486"/>
      <c r="K49" s="780"/>
      <c r="L49" s="1137"/>
      <c r="M49" s="1125"/>
      <c r="N49" s="1125"/>
      <c r="O49" s="1125"/>
      <c r="P49" s="3266" t="str">
        <f>A49</f>
        <v>比较价值（元/平方米）</v>
      </c>
      <c r="Q49" s="3267"/>
      <c r="R49" s="3311" t="e">
        <f>IF(F1="售价",ROUND(PRODUCT(R48,AA7:AA47),0),ROUND(PRODUCT(R48,AA7:AA47),1))</f>
        <v>#DIV/0!</v>
      </c>
      <c r="S49" s="3311"/>
      <c r="T49" s="3311" t="e">
        <f>IF(F1="售价",ROUND(PRODUCT(T48,AB7:AB47),0),ROUND(PRODUCT(T48,AB7:AB47),1))</f>
        <v>#DIV/0!</v>
      </c>
      <c r="U49" s="3311"/>
      <c r="V49" s="3311" t="e">
        <f>IF(F1="售价",ROUND(PRODUCT(V48,AC7:AC47),0),ROUND(PRODUCT(V48,AC7:AC47),1))</f>
        <v>#DIV/0!</v>
      </c>
      <c r="W49" s="3311"/>
      <c r="X49" s="443"/>
      <c r="Y49" s="443"/>
      <c r="Z49" s="443"/>
      <c r="AA49" s="443"/>
      <c r="AB49" s="443"/>
      <c r="AC49" s="627"/>
    </row>
    <row r="50" spans="1:29" ht="15.75" thickBot="1">
      <c r="A50" s="489" t="s">
        <v>2659</v>
      </c>
      <c r="B50" s="490"/>
      <c r="C50" s="1411" t="e">
        <f>R50</f>
        <v>#DIV/0!</v>
      </c>
      <c r="D50" s="1411"/>
      <c r="E50" s="1411"/>
      <c r="F50" s="1411"/>
      <c r="G50" s="1411"/>
      <c r="H50" s="1411"/>
      <c r="I50" s="1411"/>
      <c r="J50" s="491"/>
      <c r="K50" s="781"/>
      <c r="L50" s="1137"/>
      <c r="M50" s="1125"/>
      <c r="N50" s="1125"/>
      <c r="O50" s="1125"/>
      <c r="P50" s="3340" t="str">
        <f>A50</f>
        <v>估价对象XX用房的比较价值（楼面单价，元/平方米）</v>
      </c>
      <c r="Q50" s="3341"/>
      <c r="R50" s="3342" t="e">
        <f>IF(F1="售价",ROUND(AVERAGE(R49:V49),0),ROUND(AVERAGE(R49:V49),1))</f>
        <v>#DIV/0!</v>
      </c>
      <c r="S50" s="3342"/>
      <c r="T50" s="3342"/>
      <c r="U50" s="3342"/>
      <c r="V50" s="3342"/>
      <c r="W50" s="3342"/>
      <c r="X50" s="2644"/>
      <c r="Y50" s="2644"/>
      <c r="Z50" s="2644"/>
      <c r="AA50" s="2644"/>
      <c r="AB50" s="2644"/>
      <c r="AC50" s="2645"/>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2660</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9"/>
      <c r="L53" s="1100"/>
      <c r="M53" s="1138"/>
      <c r="N53" s="1138"/>
      <c r="O53" s="1138"/>
    </row>
    <row r="54" spans="1:29" ht="13.5" customHeight="1">
      <c r="A54" s="1138"/>
      <c r="B54" s="1138"/>
      <c r="C54" s="494" t="s">
        <v>2661</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9"/>
      <c r="L54" s="1100"/>
      <c r="M54" s="1138"/>
      <c r="N54" s="1138"/>
      <c r="O54" s="1138"/>
    </row>
    <row r="55" spans="1:29" s="499" customFormat="1" ht="13.5" customHeight="1">
      <c r="A55" s="1139"/>
      <c r="B55" s="1139"/>
      <c r="C55" s="494" t="s">
        <v>2662</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2"/>
      <c r="L55" s="1143"/>
      <c r="M55" s="1139"/>
      <c r="N55" s="1139"/>
      <c r="O55" s="1139"/>
      <c r="P55" s="2670"/>
    </row>
    <row r="56" spans="1:29" s="499" customFormat="1">
      <c r="A56" s="1139"/>
      <c r="B56" s="1140"/>
      <c r="C56" s="1144"/>
      <c r="D56" s="1139"/>
      <c r="E56" s="1139"/>
      <c r="F56" s="1139"/>
      <c r="G56" s="1139"/>
      <c r="H56" s="1139"/>
      <c r="I56" s="1139"/>
      <c r="J56" s="1139"/>
      <c r="K56" s="1142"/>
      <c r="L56" s="1143"/>
      <c r="M56" s="1139"/>
      <c r="N56" s="1139"/>
      <c r="O56" s="1139"/>
      <c r="P56" s="2670"/>
    </row>
    <row r="57" spans="1:29">
      <c r="A57" s="1138"/>
      <c r="B57" s="1140"/>
      <c r="C57" s="1144"/>
      <c r="D57" s="1138"/>
      <c r="E57" s="1138"/>
      <c r="F57" s="1138"/>
      <c r="G57" s="1138"/>
      <c r="H57" s="1138"/>
      <c r="I57" s="1138"/>
      <c r="J57" s="1138"/>
      <c r="K57" s="1099"/>
      <c r="L57" s="1100"/>
      <c r="M57" s="1138"/>
      <c r="N57" s="1138"/>
      <c r="O57" s="1138"/>
    </row>
    <row r="58" spans="1:29" ht="21.75" thickBot="1">
      <c r="A58" s="759" t="s">
        <v>2663</v>
      </c>
      <c r="B58" s="755"/>
      <c r="C58" s="760"/>
      <c r="D58" s="760"/>
      <c r="E58" s="760"/>
      <c r="F58" s="761"/>
      <c r="G58" s="761"/>
      <c r="H58" s="760"/>
      <c r="I58" s="760"/>
      <c r="J58" s="760"/>
      <c r="K58" s="762"/>
      <c r="L58" s="1155"/>
      <c r="M58" s="1153"/>
      <c r="N58" s="1153"/>
      <c r="O58" s="1153"/>
      <c r="P58" s="2671"/>
      <c r="Q58" s="501"/>
    </row>
    <row r="59" spans="1:29" s="505" customFormat="1" ht="15">
      <c r="A59" s="502" t="s">
        <v>2537</v>
      </c>
      <c r="B59" s="503"/>
      <c r="C59" s="1567" t="str">
        <f>YEAR(C7)&amp;"-"&amp;MONTH(C7)</f>
        <v>2019-11</v>
      </c>
      <c r="D59" s="1568">
        <f>EDATE(C59,-1)</f>
        <v>43739</v>
      </c>
      <c r="E59" s="1568">
        <f>EDATE(D59,-1)</f>
        <v>43709</v>
      </c>
      <c r="F59" s="1568">
        <f t="shared" ref="F59:O59" si="13">EDATE(E59,-1)</f>
        <v>43678</v>
      </c>
      <c r="G59" s="1568">
        <f t="shared" si="13"/>
        <v>43647</v>
      </c>
      <c r="H59" s="1568">
        <f t="shared" si="13"/>
        <v>43617</v>
      </c>
      <c r="I59" s="1568">
        <f t="shared" si="13"/>
        <v>43586</v>
      </c>
      <c r="J59" s="1568">
        <f t="shared" si="13"/>
        <v>43556</v>
      </c>
      <c r="K59" s="1568">
        <f t="shared" si="13"/>
        <v>43525</v>
      </c>
      <c r="L59" s="1568">
        <f t="shared" si="13"/>
        <v>43497</v>
      </c>
      <c r="M59" s="1568">
        <f t="shared" si="13"/>
        <v>43466</v>
      </c>
      <c r="N59" s="1568">
        <f t="shared" si="13"/>
        <v>43435</v>
      </c>
      <c r="O59" s="1568">
        <f t="shared" si="13"/>
        <v>43405</v>
      </c>
      <c r="P59" s="1564"/>
    </row>
    <row r="60" spans="1:29" s="116" customFormat="1" ht="15">
      <c r="A60" s="506"/>
      <c r="B60" s="507"/>
      <c r="C60" s="1566">
        <v>100</v>
      </c>
      <c r="D60" s="509"/>
      <c r="E60" s="509"/>
      <c r="F60" s="509"/>
      <c r="G60" s="509"/>
      <c r="H60" s="509"/>
      <c r="I60" s="509"/>
      <c r="J60" s="509"/>
      <c r="K60" s="509"/>
      <c r="L60" s="509"/>
      <c r="M60" s="510"/>
      <c r="N60" s="509"/>
      <c r="O60" s="510"/>
      <c r="P60" s="2672"/>
    </row>
    <row r="61" spans="1:29" s="116" customFormat="1" ht="15.75" thickBot="1">
      <c r="A61" s="512" t="s">
        <v>2574</v>
      </c>
      <c r="B61" s="513"/>
      <c r="C61" s="514"/>
      <c r="D61" s="515"/>
      <c r="E61" s="515"/>
      <c r="F61" s="515"/>
      <c r="G61" s="515"/>
      <c r="H61" s="515"/>
      <c r="I61" s="515"/>
      <c r="J61" s="515"/>
      <c r="K61" s="515"/>
      <c r="L61" s="515"/>
      <c r="M61" s="516"/>
      <c r="N61" s="515"/>
      <c r="O61" s="516"/>
      <c r="P61" s="2672"/>
      <c r="Q61" s="501"/>
    </row>
    <row r="62" spans="1:29" s="116" customFormat="1" ht="15">
      <c r="A62" s="518" t="s">
        <v>2539</v>
      </c>
      <c r="B62" s="507"/>
      <c r="C62" s="519" t="s">
        <v>2641</v>
      </c>
      <c r="D62" s="520"/>
      <c r="E62" s="520"/>
      <c r="F62" s="520"/>
      <c r="G62" s="520"/>
      <c r="H62" s="520"/>
      <c r="I62" s="520"/>
      <c r="J62" s="520"/>
      <c r="K62" s="520"/>
      <c r="L62" s="521"/>
      <c r="M62" s="522"/>
      <c r="N62" s="1145"/>
      <c r="O62" s="1145"/>
      <c r="P62" s="2673"/>
      <c r="Q62" s="501"/>
    </row>
    <row r="63" spans="1:29" s="116" customFormat="1" ht="15.75" thickBot="1">
      <c r="A63" s="518"/>
      <c r="B63" s="507"/>
      <c r="C63" s="508">
        <v>100</v>
      </c>
      <c r="D63" s="509"/>
      <c r="E63" s="509"/>
      <c r="F63" s="509"/>
      <c r="G63" s="509"/>
      <c r="H63" s="509"/>
      <c r="I63" s="509"/>
      <c r="J63" s="509"/>
      <c r="K63" s="509"/>
      <c r="L63" s="509"/>
      <c r="M63" s="511"/>
      <c r="N63" s="1145"/>
      <c r="O63" s="1145"/>
      <c r="P63" s="2672"/>
      <c r="Q63" s="501"/>
    </row>
    <row r="64" spans="1:29">
      <c r="A64" s="524" t="s">
        <v>2577</v>
      </c>
      <c r="B64" s="525" t="s">
        <v>2543</v>
      </c>
      <c r="C64" s="526">
        <f>C9</f>
        <v>0</v>
      </c>
      <c r="D64" s="527"/>
      <c r="E64" s="527"/>
      <c r="F64" s="527"/>
      <c r="G64" s="527"/>
      <c r="H64" s="527"/>
      <c r="I64" s="527"/>
      <c r="J64" s="527"/>
      <c r="K64" s="528"/>
      <c r="L64" s="529"/>
      <c r="M64" s="530"/>
      <c r="N64" s="1146"/>
      <c r="O64" s="1146"/>
      <c r="P64" s="2674"/>
      <c r="Q64" s="501"/>
    </row>
    <row r="65" spans="1:17" ht="15.75" thickBot="1">
      <c r="A65" s="531"/>
      <c r="B65" s="532"/>
      <c r="C65" s="533">
        <v>100</v>
      </c>
      <c r="D65" s="533"/>
      <c r="E65" s="533"/>
      <c r="F65" s="533"/>
      <c r="G65" s="533"/>
      <c r="H65" s="533"/>
      <c r="I65" s="533"/>
      <c r="J65" s="533"/>
      <c r="K65" s="533"/>
      <c r="L65" s="533"/>
      <c r="M65" s="534"/>
      <c r="N65" s="1147"/>
      <c r="O65" s="1147"/>
      <c r="P65" s="2674"/>
      <c r="Q65" s="501"/>
    </row>
    <row r="66" spans="1:17" ht="27.75" thickTop="1">
      <c r="A66" s="531"/>
      <c r="B66" s="535" t="s">
        <v>2546</v>
      </c>
      <c r="C66" s="536" t="s">
        <v>2578</v>
      </c>
      <c r="D66" s="536" t="s">
        <v>2579</v>
      </c>
      <c r="E66" s="536" t="s">
        <v>2580</v>
      </c>
      <c r="F66" s="536" t="s">
        <v>2581</v>
      </c>
      <c r="G66" s="536" t="s">
        <v>2582</v>
      </c>
      <c r="H66" s="536" t="s">
        <v>2583</v>
      </c>
      <c r="I66" s="536" t="s">
        <v>2584</v>
      </c>
      <c r="J66" s="536"/>
      <c r="K66" s="537"/>
      <c r="L66" s="538"/>
      <c r="M66" s="539"/>
      <c r="N66" s="1146"/>
      <c r="O66" s="1146"/>
      <c r="P66" s="2674"/>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7"/>
      <c r="O67" s="1147"/>
      <c r="P67" s="2674"/>
      <c r="Q67" s="501"/>
    </row>
    <row r="68" spans="1:17" ht="15.75" thickTop="1">
      <c r="A68" s="531"/>
      <c r="B68" s="543" t="s">
        <v>2547</v>
      </c>
      <c r="C68" s="544" t="str">
        <f>C69&amp;"（含）"&amp;"-"&amp;D69</f>
        <v>（含）-</v>
      </c>
      <c r="D68" s="544" t="str">
        <f t="shared" ref="D68:L68" si="14">D69&amp;"（含）"&amp;"-"&amp;E69</f>
        <v>（含）-</v>
      </c>
      <c r="E68" s="544" t="str">
        <f t="shared" si="14"/>
        <v>（含）-</v>
      </c>
      <c r="F68" s="544" t="str">
        <f t="shared" si="14"/>
        <v>（含）-</v>
      </c>
      <c r="G68" s="544" t="str">
        <f t="shared" si="14"/>
        <v>（含）-</v>
      </c>
      <c r="H68" s="544" t="str">
        <f t="shared" si="14"/>
        <v>（含）-</v>
      </c>
      <c r="I68" s="544" t="str">
        <f t="shared" si="14"/>
        <v>（含）-</v>
      </c>
      <c r="J68" s="544" t="str">
        <f t="shared" si="14"/>
        <v>（含）-</v>
      </c>
      <c r="K68" s="544" t="str">
        <f t="shared" si="14"/>
        <v>（含）-</v>
      </c>
      <c r="L68" s="544" t="str">
        <f t="shared" si="14"/>
        <v>（含）-</v>
      </c>
      <c r="M68" s="445" t="str">
        <f>M69&amp;"（含）"&amp;"-"&amp;P69</f>
        <v>（含）-</v>
      </c>
      <c r="N68" s="1147"/>
      <c r="O68" s="1147"/>
      <c r="P68" s="2674"/>
      <c r="Q68" s="501"/>
    </row>
    <row r="69" spans="1:17" ht="15">
      <c r="A69" s="531"/>
      <c r="B69" s="545"/>
      <c r="C69" s="546"/>
      <c r="D69" s="546"/>
      <c r="E69" s="546"/>
      <c r="F69" s="546"/>
      <c r="G69" s="546"/>
      <c r="H69" s="546"/>
      <c r="I69" s="546"/>
      <c r="J69" s="546"/>
      <c r="K69" s="547"/>
      <c r="L69" s="548"/>
      <c r="M69" s="549"/>
      <c r="N69" s="1146"/>
      <c r="O69" s="1146"/>
      <c r="P69" s="2674"/>
      <c r="Q69" s="501"/>
    </row>
    <row r="70" spans="1:17" ht="15.75" thickBot="1">
      <c r="A70" s="531"/>
      <c r="B70" s="532"/>
      <c r="C70" s="541">
        <v>100</v>
      </c>
      <c r="D70" s="541">
        <f t="shared" ref="D70:M70" si="15">C70-$K11</f>
        <v>100</v>
      </c>
      <c r="E70" s="541">
        <f t="shared" si="15"/>
        <v>100</v>
      </c>
      <c r="F70" s="541">
        <f t="shared" si="15"/>
        <v>100</v>
      </c>
      <c r="G70" s="541">
        <f t="shared" si="15"/>
        <v>100</v>
      </c>
      <c r="H70" s="541">
        <f t="shared" si="15"/>
        <v>100</v>
      </c>
      <c r="I70" s="541">
        <f t="shared" si="15"/>
        <v>100</v>
      </c>
      <c r="J70" s="541">
        <f t="shared" si="15"/>
        <v>100</v>
      </c>
      <c r="K70" s="541">
        <f t="shared" si="15"/>
        <v>100</v>
      </c>
      <c r="L70" s="541">
        <f t="shared" si="15"/>
        <v>100</v>
      </c>
      <c r="M70" s="542">
        <f t="shared" si="15"/>
        <v>100</v>
      </c>
      <c r="N70" s="1147"/>
      <c r="O70" s="1147"/>
      <c r="P70" s="2674"/>
      <c r="Q70" s="501"/>
    </row>
    <row r="71" spans="1:17" s="468" customFormat="1" ht="15.75" thickTop="1">
      <c r="A71" s="550"/>
      <c r="B71" s="535">
        <f>B12</f>
        <v>111</v>
      </c>
      <c r="C71" s="551"/>
      <c r="D71" s="551"/>
      <c r="E71" s="551"/>
      <c r="F71" s="551"/>
      <c r="G71" s="551"/>
      <c r="H71" s="552"/>
      <c r="I71" s="552"/>
      <c r="J71" s="552"/>
      <c r="K71" s="552"/>
      <c r="L71" s="553"/>
      <c r="M71" s="554"/>
      <c r="N71" s="1148"/>
      <c r="O71" s="1148"/>
      <c r="P71" s="2675"/>
      <c r="Q71" s="556"/>
    </row>
    <row r="72" spans="1:17" s="468" customFormat="1" ht="15.75" thickBot="1">
      <c r="A72" s="550"/>
      <c r="B72" s="540"/>
      <c r="C72" s="557"/>
      <c r="D72" s="533"/>
      <c r="E72" s="533"/>
      <c r="F72" s="533"/>
      <c r="G72" s="533"/>
      <c r="H72" s="533"/>
      <c r="I72" s="533"/>
      <c r="J72" s="533"/>
      <c r="K72" s="533"/>
      <c r="L72" s="533"/>
      <c r="M72" s="534"/>
      <c r="N72" s="1147"/>
      <c r="O72" s="1147"/>
      <c r="P72" s="2675"/>
      <c r="Q72" s="556"/>
    </row>
    <row r="73" spans="1:17" s="468" customFormat="1" ht="15.75" thickTop="1">
      <c r="A73" s="550"/>
      <c r="B73" s="535">
        <f>B13</f>
        <v>111</v>
      </c>
      <c r="C73" s="551"/>
      <c r="D73" s="551"/>
      <c r="E73" s="551"/>
      <c r="F73" s="551"/>
      <c r="G73" s="551"/>
      <c r="H73" s="552"/>
      <c r="I73" s="552"/>
      <c r="J73" s="552"/>
      <c r="K73" s="552"/>
      <c r="L73" s="553"/>
      <c r="M73" s="554"/>
      <c r="N73" s="1148"/>
      <c r="O73" s="1148"/>
      <c r="P73" s="2676"/>
      <c r="Q73" s="558"/>
    </row>
    <row r="74" spans="1:17" s="468" customFormat="1" ht="15.75" thickBot="1">
      <c r="A74" s="550"/>
      <c r="B74" s="540"/>
      <c r="C74" s="557"/>
      <c r="D74" s="557"/>
      <c r="E74" s="557"/>
      <c r="F74" s="557"/>
      <c r="G74" s="557"/>
      <c r="H74" s="559"/>
      <c r="I74" s="559"/>
      <c r="J74" s="559"/>
      <c r="K74" s="559"/>
      <c r="L74" s="559"/>
      <c r="M74" s="560"/>
      <c r="N74" s="1148"/>
      <c r="O74" s="1148"/>
      <c r="P74" s="2675"/>
      <c r="Q74" s="556"/>
    </row>
    <row r="75" spans="1:17" s="468" customFormat="1" ht="15.75" thickTop="1">
      <c r="A75" s="550"/>
      <c r="B75" s="543">
        <f>B14</f>
        <v>111</v>
      </c>
      <c r="C75" s="520"/>
      <c r="D75" s="520"/>
      <c r="E75" s="520"/>
      <c r="F75" s="520"/>
      <c r="G75" s="520"/>
      <c r="H75" s="561"/>
      <c r="I75" s="561"/>
      <c r="J75" s="561"/>
      <c r="K75" s="561"/>
      <c r="L75" s="562"/>
      <c r="M75" s="563"/>
      <c r="N75" s="1148"/>
      <c r="O75" s="1148"/>
      <c r="P75" s="2677"/>
      <c r="Q75" s="556"/>
    </row>
    <row r="76" spans="1:17" s="468" customFormat="1" ht="15.75" thickBot="1">
      <c r="A76" s="565"/>
      <c r="B76" s="566"/>
      <c r="C76" s="567"/>
      <c r="D76" s="567"/>
      <c r="E76" s="567"/>
      <c r="F76" s="567"/>
      <c r="G76" s="567"/>
      <c r="H76" s="568"/>
      <c r="I76" s="568"/>
      <c r="J76" s="568"/>
      <c r="K76" s="568"/>
      <c r="L76" s="568"/>
      <c r="M76" s="569"/>
      <c r="N76" s="1148"/>
      <c r="O76" s="1148"/>
      <c r="P76" s="2675"/>
      <c r="Q76" s="556"/>
    </row>
    <row r="77" spans="1:17">
      <c r="A77" s="524" t="s">
        <v>2548</v>
      </c>
      <c r="B77" s="525" t="s">
        <v>2686</v>
      </c>
      <c r="C77" s="570" t="s">
        <v>2586</v>
      </c>
      <c r="D77" s="570" t="s">
        <v>2587</v>
      </c>
      <c r="E77" s="570" t="s">
        <v>2588</v>
      </c>
      <c r="F77" s="570" t="s">
        <v>2589</v>
      </c>
      <c r="G77" s="570" t="s">
        <v>2590</v>
      </c>
      <c r="H77" s="526"/>
      <c r="I77" s="526"/>
      <c r="J77" s="526"/>
      <c r="K77" s="571"/>
      <c r="L77" s="572"/>
      <c r="M77" s="573"/>
      <c r="N77" s="1146"/>
      <c r="O77" s="1146"/>
      <c r="P77" s="2678"/>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7"/>
      <c r="O78" s="1147"/>
      <c r="P78" s="2674"/>
      <c r="Q78" s="501"/>
    </row>
    <row r="79" spans="1:17" ht="15.75" thickTop="1">
      <c r="A79" s="531"/>
      <c r="B79" s="535" t="s">
        <v>2591</v>
      </c>
      <c r="C79" s="575" t="s">
        <v>2586</v>
      </c>
      <c r="D79" s="575" t="s">
        <v>2587</v>
      </c>
      <c r="E79" s="575" t="s">
        <v>2588</v>
      </c>
      <c r="F79" s="575" t="s">
        <v>2589</v>
      </c>
      <c r="G79" s="575" t="s">
        <v>2590</v>
      </c>
      <c r="H79" s="536"/>
      <c r="I79" s="536"/>
      <c r="J79" s="536"/>
      <c r="K79" s="537"/>
      <c r="L79" s="538"/>
      <c r="M79" s="539"/>
      <c r="N79" s="1146"/>
      <c r="O79" s="1146"/>
      <c r="P79" s="2674"/>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7"/>
      <c r="O80" s="1147"/>
      <c r="P80" s="2674"/>
      <c r="Q80" s="501"/>
    </row>
    <row r="81" spans="1:17" ht="15.75" thickTop="1">
      <c r="A81" s="531"/>
      <c r="B81" s="535" t="s">
        <v>2592</v>
      </c>
      <c r="C81" s="575" t="s">
        <v>2586</v>
      </c>
      <c r="D81" s="575" t="s">
        <v>2587</v>
      </c>
      <c r="E81" s="575" t="s">
        <v>2588</v>
      </c>
      <c r="F81" s="575" t="s">
        <v>2589</v>
      </c>
      <c r="G81" s="575" t="s">
        <v>2590</v>
      </c>
      <c r="H81" s="536"/>
      <c r="I81" s="536"/>
      <c r="J81" s="536"/>
      <c r="K81" s="537"/>
      <c r="L81" s="538"/>
      <c r="M81" s="539"/>
      <c r="N81" s="1146"/>
      <c r="O81" s="1146"/>
      <c r="P81" s="2674"/>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7"/>
      <c r="O82" s="1147"/>
      <c r="P82" s="2674"/>
      <c r="Q82" s="501"/>
    </row>
    <row r="83" spans="1:17" ht="15.75" thickTop="1">
      <c r="A83" s="531"/>
      <c r="B83" s="543" t="s">
        <v>2678</v>
      </c>
      <c r="C83" s="657" t="s">
        <v>2664</v>
      </c>
      <c r="D83" s="657" t="s">
        <v>2665</v>
      </c>
      <c r="E83" s="657" t="s">
        <v>2666</v>
      </c>
      <c r="F83" s="657" t="s">
        <v>2667</v>
      </c>
      <c r="G83" s="657" t="s">
        <v>2668</v>
      </c>
      <c r="H83" s="536"/>
      <c r="I83" s="536"/>
      <c r="J83" s="536"/>
      <c r="K83" s="536"/>
      <c r="L83" s="536"/>
      <c r="M83" s="1376"/>
      <c r="N83" s="1147"/>
      <c r="O83" s="1147"/>
      <c r="P83" s="2674"/>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7"/>
      <c r="O84" s="1147"/>
      <c r="P84" s="2674"/>
      <c r="Q84" s="501"/>
    </row>
    <row r="85" spans="1:17" ht="15.75" thickTop="1">
      <c r="A85" s="531"/>
      <c r="B85" s="535" t="s">
        <v>2687</v>
      </c>
      <c r="C85" s="575" t="s">
        <v>2586</v>
      </c>
      <c r="D85" s="575" t="s">
        <v>2587</v>
      </c>
      <c r="E85" s="575" t="s">
        <v>2588</v>
      </c>
      <c r="F85" s="575" t="s">
        <v>2589</v>
      </c>
      <c r="G85" s="575" t="s">
        <v>2590</v>
      </c>
      <c r="H85" s="536"/>
      <c r="I85" s="536"/>
      <c r="J85" s="536"/>
      <c r="K85" s="537"/>
      <c r="L85" s="538"/>
      <c r="M85" s="539"/>
      <c r="N85" s="1146"/>
      <c r="O85" s="1146"/>
      <c r="P85" s="2674"/>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7"/>
      <c r="O86" s="1147"/>
      <c r="P86" s="2674"/>
      <c r="Q86" s="501"/>
    </row>
    <row r="87" spans="1:17" s="116" customFormat="1" ht="27.75" thickTop="1">
      <c r="A87" s="576"/>
      <c r="B87" s="535" t="s">
        <v>2688</v>
      </c>
      <c r="C87" s="551"/>
      <c r="D87" s="551"/>
      <c r="E87" s="551"/>
      <c r="F87" s="551"/>
      <c r="G87" s="551"/>
      <c r="H87" s="551"/>
      <c r="I87" s="551"/>
      <c r="J87" s="551"/>
      <c r="K87" s="551"/>
      <c r="L87" s="577"/>
      <c r="M87" s="578"/>
      <c r="N87" s="1145"/>
      <c r="O87" s="1145"/>
      <c r="P87" s="2674"/>
      <c r="Q87" s="501"/>
    </row>
    <row r="88" spans="1:17" s="116" customFormat="1" ht="15.75" thickBot="1">
      <c r="A88" s="576"/>
      <c r="B88" s="540"/>
      <c r="C88" s="579">
        <v>100</v>
      </c>
      <c r="D88" s="541">
        <f t="shared" ref="D88:M88" si="16">C88-$K25</f>
        <v>100</v>
      </c>
      <c r="E88" s="541">
        <f t="shared" si="16"/>
        <v>100</v>
      </c>
      <c r="F88" s="541">
        <f t="shared" si="16"/>
        <v>100</v>
      </c>
      <c r="G88" s="541">
        <f t="shared" si="16"/>
        <v>100</v>
      </c>
      <c r="H88" s="541">
        <f t="shared" si="16"/>
        <v>100</v>
      </c>
      <c r="I88" s="541">
        <f t="shared" si="16"/>
        <v>100</v>
      </c>
      <c r="J88" s="541">
        <f t="shared" si="16"/>
        <v>100</v>
      </c>
      <c r="K88" s="541">
        <f t="shared" si="16"/>
        <v>100</v>
      </c>
      <c r="L88" s="541">
        <f t="shared" si="16"/>
        <v>100</v>
      </c>
      <c r="M88" s="541">
        <f t="shared" si="16"/>
        <v>100</v>
      </c>
      <c r="N88" s="1147"/>
      <c r="O88" s="1147"/>
      <c r="P88" s="2674"/>
      <c r="Q88" s="501"/>
    </row>
    <row r="89" spans="1:17" s="116" customFormat="1" ht="15.75" thickTop="1">
      <c r="A89" s="576"/>
      <c r="B89" s="535" t="str">
        <f>B27</f>
        <v>楼层</v>
      </c>
      <c r="C89" s="551"/>
      <c r="D89" s="551"/>
      <c r="E89" s="551"/>
      <c r="F89" s="2625"/>
      <c r="G89" s="551"/>
      <c r="H89" s="551"/>
      <c r="I89" s="551"/>
      <c r="J89" s="551"/>
      <c r="K89" s="551"/>
      <c r="L89" s="551"/>
      <c r="M89" s="578"/>
      <c r="N89" s="1145"/>
      <c r="O89" s="1145"/>
      <c r="P89" s="2674"/>
      <c r="Q89" s="501"/>
    </row>
    <row r="90" spans="1:17" s="116" customFormat="1" ht="15.75" thickBot="1">
      <c r="A90" s="576"/>
      <c r="B90" s="540"/>
      <c r="C90" s="579">
        <v>100</v>
      </c>
      <c r="D90" s="541">
        <f>C90-$K27</f>
        <v>100</v>
      </c>
      <c r="E90" s="541">
        <f t="shared" ref="E90:M90" si="17">D90-$K27</f>
        <v>100</v>
      </c>
      <c r="F90" s="541">
        <f t="shared" si="17"/>
        <v>100</v>
      </c>
      <c r="G90" s="541">
        <f t="shared" si="17"/>
        <v>100</v>
      </c>
      <c r="H90" s="541">
        <f t="shared" si="17"/>
        <v>100</v>
      </c>
      <c r="I90" s="541">
        <f t="shared" si="17"/>
        <v>100</v>
      </c>
      <c r="J90" s="541">
        <f t="shared" si="17"/>
        <v>100</v>
      </c>
      <c r="K90" s="541">
        <f t="shared" si="17"/>
        <v>100</v>
      </c>
      <c r="L90" s="541">
        <f t="shared" si="17"/>
        <v>100</v>
      </c>
      <c r="M90" s="541">
        <f t="shared" si="17"/>
        <v>100</v>
      </c>
      <c r="N90" s="1147"/>
      <c r="O90" s="1147"/>
      <c r="P90" s="2674"/>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5"/>
      <c r="Q91" s="556"/>
    </row>
    <row r="92" spans="1:17" s="468" customFormat="1" ht="15.75" thickBot="1">
      <c r="A92" s="550"/>
      <c r="B92" s="540"/>
      <c r="C92" s="579">
        <v>100</v>
      </c>
      <c r="D92" s="541">
        <f t="shared" ref="D92:M92" si="18">C92-$K28</f>
        <v>100</v>
      </c>
      <c r="E92" s="541">
        <f t="shared" si="18"/>
        <v>100</v>
      </c>
      <c r="F92" s="541">
        <f t="shared" si="18"/>
        <v>100</v>
      </c>
      <c r="G92" s="541">
        <f t="shared" si="18"/>
        <v>100</v>
      </c>
      <c r="H92" s="541">
        <f t="shared" si="18"/>
        <v>100</v>
      </c>
      <c r="I92" s="541">
        <f t="shared" si="18"/>
        <v>100</v>
      </c>
      <c r="J92" s="541">
        <f t="shared" si="18"/>
        <v>100</v>
      </c>
      <c r="K92" s="541">
        <f t="shared" si="18"/>
        <v>100</v>
      </c>
      <c r="L92" s="541">
        <f t="shared" si="18"/>
        <v>100</v>
      </c>
      <c r="M92" s="541">
        <f t="shared" si="18"/>
        <v>100</v>
      </c>
      <c r="N92" s="1148"/>
      <c r="O92" s="1148"/>
      <c r="P92" s="2675"/>
      <c r="Q92" s="556"/>
    </row>
    <row r="93" spans="1:17" ht="15.75" thickTop="1">
      <c r="A93" s="531"/>
      <c r="B93" s="535">
        <f>B29</f>
        <v>111</v>
      </c>
      <c r="C93" s="551"/>
      <c r="D93" s="551"/>
      <c r="E93" s="551"/>
      <c r="F93" s="551"/>
      <c r="G93" s="551"/>
      <c r="H93" s="551"/>
      <c r="I93" s="551"/>
      <c r="J93" s="551"/>
      <c r="K93" s="551"/>
      <c r="L93" s="577"/>
      <c r="M93" s="578"/>
      <c r="N93" s="1146"/>
      <c r="O93" s="1146"/>
      <c r="P93" s="2674"/>
      <c r="Q93" s="501"/>
    </row>
    <row r="94" spans="1:17" ht="15.75" thickBot="1">
      <c r="A94" s="531"/>
      <c r="B94" s="540"/>
      <c r="C94" s="557"/>
      <c r="D94" s="533"/>
      <c r="E94" s="533"/>
      <c r="F94" s="533"/>
      <c r="G94" s="533"/>
      <c r="H94" s="533"/>
      <c r="I94" s="533"/>
      <c r="J94" s="533"/>
      <c r="K94" s="533"/>
      <c r="L94" s="533"/>
      <c r="M94" s="534"/>
      <c r="N94" s="1147"/>
      <c r="O94" s="1147"/>
      <c r="P94" s="2674"/>
      <c r="Q94" s="501"/>
    </row>
    <row r="95" spans="1:17" ht="15.75" thickTop="1">
      <c r="A95" s="531"/>
      <c r="B95" s="535">
        <f>B30</f>
        <v>111</v>
      </c>
      <c r="C95" s="551"/>
      <c r="D95" s="551"/>
      <c r="E95" s="551"/>
      <c r="F95" s="551"/>
      <c r="G95" s="580"/>
      <c r="H95" s="580"/>
      <c r="I95" s="580"/>
      <c r="J95" s="580"/>
      <c r="K95" s="581"/>
      <c r="L95" s="582"/>
      <c r="M95" s="583"/>
      <c r="N95" s="1146"/>
      <c r="O95" s="1146"/>
      <c r="P95" s="2674"/>
      <c r="Q95" s="501"/>
    </row>
    <row r="96" spans="1:17" ht="15.75" thickBot="1">
      <c r="A96" s="531"/>
      <c r="B96" s="540"/>
      <c r="C96" s="557"/>
      <c r="D96" s="557"/>
      <c r="E96" s="557"/>
      <c r="F96" s="557"/>
      <c r="G96" s="533"/>
      <c r="H96" s="533"/>
      <c r="I96" s="533"/>
      <c r="J96" s="533"/>
      <c r="K96" s="533"/>
      <c r="L96" s="533"/>
      <c r="M96" s="534"/>
      <c r="N96" s="1147"/>
      <c r="O96" s="1147"/>
      <c r="P96" s="2674"/>
      <c r="Q96" s="501"/>
    </row>
    <row r="97" spans="1:17" ht="15.75" thickTop="1">
      <c r="A97" s="531"/>
      <c r="B97" s="535">
        <f>B31</f>
        <v>111</v>
      </c>
      <c r="C97" s="551"/>
      <c r="D97" s="551"/>
      <c r="E97" s="551"/>
      <c r="F97" s="551"/>
      <c r="G97" s="580"/>
      <c r="H97" s="580"/>
      <c r="I97" s="580"/>
      <c r="J97" s="580"/>
      <c r="K97" s="581"/>
      <c r="L97" s="582"/>
      <c r="M97" s="583"/>
      <c r="N97" s="1146"/>
      <c r="O97" s="1146"/>
      <c r="P97" s="2674"/>
      <c r="Q97" s="501"/>
    </row>
    <row r="98" spans="1:17" ht="15.75" thickBot="1">
      <c r="A98" s="531"/>
      <c r="B98" s="540"/>
      <c r="C98" s="557"/>
      <c r="D98" s="533"/>
      <c r="E98" s="533"/>
      <c r="F98" s="533"/>
      <c r="G98" s="533"/>
      <c r="H98" s="533"/>
      <c r="I98" s="533"/>
      <c r="J98" s="533"/>
      <c r="K98" s="533"/>
      <c r="L98" s="533"/>
      <c r="M98" s="534"/>
      <c r="N98" s="1147"/>
      <c r="O98" s="1147"/>
      <c r="P98" s="2674"/>
      <c r="Q98" s="501"/>
    </row>
    <row r="99" spans="1:17" ht="15.75" thickTop="1">
      <c r="A99" s="531"/>
      <c r="B99" s="543">
        <f>B32</f>
        <v>111</v>
      </c>
      <c r="C99" s="520"/>
      <c r="D99" s="520"/>
      <c r="E99" s="520"/>
      <c r="F99" s="520"/>
      <c r="G99" s="584"/>
      <c r="H99" s="584"/>
      <c r="I99" s="584"/>
      <c r="J99" s="584"/>
      <c r="K99" s="585"/>
      <c r="L99" s="586"/>
      <c r="M99" s="587"/>
      <c r="N99" s="1146"/>
      <c r="O99" s="1146"/>
      <c r="P99" s="2674"/>
      <c r="Q99" s="501"/>
    </row>
    <row r="100" spans="1:17" ht="15.75" thickBot="1">
      <c r="A100" s="2626"/>
      <c r="B100" s="566"/>
      <c r="C100" s="567"/>
      <c r="D100" s="567"/>
      <c r="E100" s="567"/>
      <c r="F100" s="567"/>
      <c r="G100" s="588"/>
      <c r="H100" s="588"/>
      <c r="I100" s="588"/>
      <c r="J100" s="588"/>
      <c r="K100" s="588"/>
      <c r="L100" s="588"/>
      <c r="M100" s="589"/>
      <c r="N100" s="1147"/>
      <c r="O100" s="1147"/>
      <c r="P100" s="2674"/>
      <c r="Q100" s="501"/>
    </row>
    <row r="101" spans="1:17">
      <c r="A101" s="524" t="s">
        <v>2552</v>
      </c>
      <c r="B101" s="525" t="s">
        <v>2601</v>
      </c>
      <c r="C101" s="527"/>
      <c r="D101" s="527"/>
      <c r="E101" s="527"/>
      <c r="F101" s="527"/>
      <c r="G101" s="527"/>
      <c r="H101" s="527"/>
      <c r="I101" s="527"/>
      <c r="J101" s="527"/>
      <c r="K101" s="528"/>
      <c r="L101" s="529"/>
      <c r="M101" s="530"/>
      <c r="N101" s="1146"/>
      <c r="O101" s="1146"/>
      <c r="P101" s="2674"/>
      <c r="Q101" s="501"/>
    </row>
    <row r="102" spans="1:17" ht="15.75" thickBot="1">
      <c r="A102" s="531"/>
      <c r="B102" s="540"/>
      <c r="C102" s="541">
        <v>100</v>
      </c>
      <c r="D102" s="541">
        <f t="shared" ref="D102:M102" si="19">C102-$K33</f>
        <v>100</v>
      </c>
      <c r="E102" s="541">
        <f t="shared" si="19"/>
        <v>100</v>
      </c>
      <c r="F102" s="541">
        <f t="shared" si="19"/>
        <v>100</v>
      </c>
      <c r="G102" s="541">
        <f t="shared" si="19"/>
        <v>100</v>
      </c>
      <c r="H102" s="541">
        <f t="shared" si="19"/>
        <v>100</v>
      </c>
      <c r="I102" s="541">
        <f t="shared" si="19"/>
        <v>100</v>
      </c>
      <c r="J102" s="541">
        <f t="shared" si="19"/>
        <v>100</v>
      </c>
      <c r="K102" s="541">
        <f t="shared" si="19"/>
        <v>100</v>
      </c>
      <c r="L102" s="541">
        <f t="shared" si="19"/>
        <v>100</v>
      </c>
      <c r="M102" s="542">
        <f t="shared" si="19"/>
        <v>100</v>
      </c>
      <c r="N102" s="1147"/>
      <c r="O102" s="1147"/>
      <c r="P102" s="2674"/>
      <c r="Q102" s="501"/>
    </row>
    <row r="103" spans="1:17" ht="15.75" thickTop="1">
      <c r="A103" s="531"/>
      <c r="B103" s="535" t="s">
        <v>2602</v>
      </c>
      <c r="C103" s="575" t="str">
        <f>C104&amp;"(含)"&amp;"-"&amp;D104</f>
        <v>(含)-</v>
      </c>
      <c r="D103" s="575" t="str">
        <f t="shared" ref="D103:L103" si="20">D104&amp;"(含)"&amp;"-"&amp;E104</f>
        <v>(含)-</v>
      </c>
      <c r="E103" s="575" t="str">
        <f t="shared" si="20"/>
        <v>(含)-</v>
      </c>
      <c r="F103" s="575" t="str">
        <f t="shared" si="20"/>
        <v>(含)-</v>
      </c>
      <c r="G103" s="575" t="str">
        <f t="shared" si="20"/>
        <v>(含)-</v>
      </c>
      <c r="H103" s="575" t="str">
        <f t="shared" si="20"/>
        <v>(含)-</v>
      </c>
      <c r="I103" s="575" t="str">
        <f t="shared" si="20"/>
        <v>(含)-</v>
      </c>
      <c r="J103" s="575" t="str">
        <f t="shared" si="20"/>
        <v>(含)-</v>
      </c>
      <c r="K103" s="575" t="str">
        <f t="shared" si="20"/>
        <v>(含)-</v>
      </c>
      <c r="L103" s="575" t="str">
        <f t="shared" si="20"/>
        <v>(含)-</v>
      </c>
      <c r="M103" s="619" t="str">
        <f>M104&amp;"(含)"&amp;"-"&amp;P104</f>
        <v>(含)-</v>
      </c>
      <c r="N103" s="1145"/>
      <c r="O103" s="1145"/>
      <c r="P103" s="2674"/>
      <c r="Q103" s="501"/>
    </row>
    <row r="104" spans="1:17" s="468" customFormat="1">
      <c r="A104" s="590"/>
      <c r="B104" s="591"/>
      <c r="C104" s="592"/>
      <c r="D104" s="592"/>
      <c r="E104" s="592"/>
      <c r="F104" s="592"/>
      <c r="G104" s="592"/>
      <c r="H104" s="592"/>
      <c r="I104" s="592"/>
      <c r="J104" s="593"/>
      <c r="K104" s="593"/>
      <c r="L104" s="594"/>
      <c r="M104" s="595"/>
      <c r="N104" s="1148"/>
      <c r="O104" s="1148"/>
      <c r="P104" s="2675"/>
      <c r="Q104" s="556"/>
    </row>
    <row r="105" spans="1:17" s="468" customFormat="1" ht="15.75" thickBot="1">
      <c r="A105" s="550"/>
      <c r="B105" s="540"/>
      <c r="C105" s="557"/>
      <c r="D105" s="533"/>
      <c r="E105" s="533"/>
      <c r="F105" s="533"/>
      <c r="G105" s="533"/>
      <c r="H105" s="533"/>
      <c r="I105" s="533"/>
      <c r="J105" s="533"/>
      <c r="K105" s="533"/>
      <c r="L105" s="533"/>
      <c r="M105" s="534"/>
      <c r="N105" s="1147"/>
      <c r="O105" s="1147"/>
      <c r="P105" s="2675"/>
      <c r="Q105" s="556"/>
    </row>
    <row r="106" spans="1:17" ht="15" thickTop="1">
      <c r="A106" s="596"/>
      <c r="B106" s="535" t="s">
        <v>2603</v>
      </c>
      <c r="C106" s="551"/>
      <c r="D106" s="551"/>
      <c r="E106" s="580"/>
      <c r="F106" s="580"/>
      <c r="G106" s="580"/>
      <c r="H106" s="580"/>
      <c r="I106" s="580"/>
      <c r="J106" s="580"/>
      <c r="K106" s="581"/>
      <c r="L106" s="582"/>
      <c r="M106" s="583"/>
      <c r="N106" s="1146"/>
      <c r="O106" s="1146"/>
      <c r="P106" s="2674"/>
      <c r="Q106" s="501"/>
    </row>
    <row r="107" spans="1:17" ht="15.75" thickBot="1">
      <c r="A107" s="531"/>
      <c r="B107" s="540"/>
      <c r="C107" s="541">
        <v>100</v>
      </c>
      <c r="D107" s="541">
        <f t="shared" ref="D107:M107" si="21">C107-$K35</f>
        <v>100</v>
      </c>
      <c r="E107" s="541">
        <f t="shared" si="21"/>
        <v>100</v>
      </c>
      <c r="F107" s="541">
        <f t="shared" si="21"/>
        <v>100</v>
      </c>
      <c r="G107" s="541">
        <f t="shared" si="21"/>
        <v>100</v>
      </c>
      <c r="H107" s="541">
        <f t="shared" si="21"/>
        <v>100</v>
      </c>
      <c r="I107" s="541">
        <f t="shared" si="21"/>
        <v>100</v>
      </c>
      <c r="J107" s="541">
        <f t="shared" si="21"/>
        <v>100</v>
      </c>
      <c r="K107" s="541">
        <f t="shared" si="21"/>
        <v>100</v>
      </c>
      <c r="L107" s="541">
        <f t="shared" si="21"/>
        <v>100</v>
      </c>
      <c r="M107" s="542">
        <f t="shared" si="21"/>
        <v>100</v>
      </c>
      <c r="N107" s="1147"/>
      <c r="O107" s="1147"/>
      <c r="P107" s="2674"/>
      <c r="Q107" s="501"/>
    </row>
    <row r="108" spans="1:17" ht="15" thickTop="1">
      <c r="A108" s="596"/>
      <c r="B108" s="535" t="s">
        <v>2605</v>
      </c>
      <c r="C108" s="551"/>
      <c r="D108" s="551"/>
      <c r="E108" s="551"/>
      <c r="F108" s="580"/>
      <c r="G108" s="580"/>
      <c r="H108" s="580"/>
      <c r="I108" s="580"/>
      <c r="J108" s="580"/>
      <c r="K108" s="581"/>
      <c r="L108" s="582"/>
      <c r="M108" s="583"/>
      <c r="N108" s="1146"/>
      <c r="O108" s="1146"/>
      <c r="P108" s="2674"/>
      <c r="Q108" s="501"/>
    </row>
    <row r="109" spans="1:17" ht="15.75" thickBot="1">
      <c r="A109" s="531"/>
      <c r="B109" s="540"/>
      <c r="C109" s="541">
        <v>100</v>
      </c>
      <c r="D109" s="541">
        <f t="shared" ref="D109:M109" si="22">C109-$K36</f>
        <v>100</v>
      </c>
      <c r="E109" s="541">
        <f t="shared" si="22"/>
        <v>100</v>
      </c>
      <c r="F109" s="541">
        <f t="shared" si="22"/>
        <v>100</v>
      </c>
      <c r="G109" s="541">
        <f t="shared" si="22"/>
        <v>100</v>
      </c>
      <c r="H109" s="541">
        <f t="shared" si="22"/>
        <v>100</v>
      </c>
      <c r="I109" s="541">
        <f t="shared" si="22"/>
        <v>100</v>
      </c>
      <c r="J109" s="541">
        <f t="shared" si="22"/>
        <v>100</v>
      </c>
      <c r="K109" s="541">
        <f t="shared" si="22"/>
        <v>100</v>
      </c>
      <c r="L109" s="541">
        <f t="shared" si="22"/>
        <v>100</v>
      </c>
      <c r="M109" s="542">
        <f t="shared" si="22"/>
        <v>100</v>
      </c>
      <c r="N109" s="1147"/>
      <c r="O109" s="1147"/>
      <c r="P109" s="2674"/>
      <c r="Q109" s="501"/>
    </row>
    <row r="110" spans="1:17" ht="15" thickTop="1">
      <c r="A110" s="596"/>
      <c r="B110" s="535" t="s">
        <v>1991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4"/>
      <c r="Q110" s="501"/>
    </row>
    <row r="111" spans="1:17">
      <c r="A111" s="596"/>
      <c r="B111" s="543"/>
      <c r="C111" s="600">
        <v>0.5</v>
      </c>
      <c r="D111" s="600">
        <v>0.6</v>
      </c>
      <c r="E111" s="600">
        <v>0.7</v>
      </c>
      <c r="F111" s="600">
        <v>0.8</v>
      </c>
      <c r="G111" s="600">
        <v>0.9</v>
      </c>
      <c r="H111" s="600">
        <v>1.0001</v>
      </c>
      <c r="I111" s="620"/>
      <c r="J111" s="620"/>
      <c r="K111" s="621"/>
      <c r="L111" s="622"/>
      <c r="M111" s="623"/>
      <c r="N111" s="1146"/>
      <c r="O111" s="1146"/>
      <c r="P111" s="2674"/>
      <c r="Q111" s="501"/>
    </row>
    <row r="112" spans="1:17" ht="15.75" thickBot="1">
      <c r="A112" s="531"/>
      <c r="B112" s="540"/>
      <c r="C112" s="579">
        <v>100</v>
      </c>
      <c r="D112" s="541">
        <f>C112+$K37</f>
        <v>100</v>
      </c>
      <c r="E112" s="541">
        <f t="shared" ref="E112:M112" si="23">D112+$K37</f>
        <v>100</v>
      </c>
      <c r="F112" s="541">
        <f t="shared" si="23"/>
        <v>100</v>
      </c>
      <c r="G112" s="541">
        <f t="shared" si="23"/>
        <v>100</v>
      </c>
      <c r="H112" s="541">
        <f t="shared" si="23"/>
        <v>100</v>
      </c>
      <c r="I112" s="541">
        <f t="shared" si="23"/>
        <v>100</v>
      </c>
      <c r="J112" s="541">
        <f t="shared" si="23"/>
        <v>100</v>
      </c>
      <c r="K112" s="541">
        <f t="shared" si="23"/>
        <v>100</v>
      </c>
      <c r="L112" s="541">
        <f t="shared" si="23"/>
        <v>100</v>
      </c>
      <c r="M112" s="541">
        <f t="shared" si="23"/>
        <v>100</v>
      </c>
      <c r="N112" s="1147"/>
      <c r="O112" s="1147"/>
      <c r="P112" s="2674"/>
      <c r="Q112" s="501"/>
    </row>
    <row r="113" spans="1:17" s="468" customFormat="1" ht="15" thickTop="1">
      <c r="A113" s="590"/>
      <c r="B113" s="535" t="s">
        <v>2689</v>
      </c>
      <c r="C113" s="551"/>
      <c r="D113" s="551"/>
      <c r="E113" s="551"/>
      <c r="F113" s="551"/>
      <c r="G113" s="551"/>
      <c r="H113" s="580"/>
      <c r="I113" s="580"/>
      <c r="J113" s="580"/>
      <c r="K113" s="581"/>
      <c r="L113" s="582"/>
      <c r="M113" s="583"/>
      <c r="N113" s="1148"/>
      <c r="O113" s="1148"/>
      <c r="P113" s="2675"/>
      <c r="Q113" s="556"/>
    </row>
    <row r="114" spans="1:17" s="468" customFormat="1" ht="15.75" thickBot="1">
      <c r="A114" s="550"/>
      <c r="B114" s="540"/>
      <c r="C114" s="541">
        <v>100</v>
      </c>
      <c r="D114" s="541">
        <f>C114-$K38</f>
        <v>100</v>
      </c>
      <c r="E114" s="541">
        <f t="shared" ref="E114:M114" si="24">D114-$K38</f>
        <v>100</v>
      </c>
      <c r="F114" s="541">
        <f t="shared" si="24"/>
        <v>100</v>
      </c>
      <c r="G114" s="541">
        <f t="shared" si="24"/>
        <v>100</v>
      </c>
      <c r="H114" s="541">
        <f t="shared" si="24"/>
        <v>100</v>
      </c>
      <c r="I114" s="541">
        <f t="shared" si="24"/>
        <v>100</v>
      </c>
      <c r="J114" s="541">
        <f t="shared" si="24"/>
        <v>100</v>
      </c>
      <c r="K114" s="541">
        <f t="shared" si="24"/>
        <v>100</v>
      </c>
      <c r="L114" s="541">
        <f t="shared" si="24"/>
        <v>100</v>
      </c>
      <c r="M114" s="541">
        <f t="shared" si="24"/>
        <v>100</v>
      </c>
      <c r="N114" s="1148"/>
      <c r="O114" s="1148"/>
      <c r="P114" s="2675"/>
      <c r="Q114" s="556"/>
    </row>
    <row r="115" spans="1:17" ht="15" thickTop="1">
      <c r="A115" s="596"/>
      <c r="B115" s="535" t="s">
        <v>2606</v>
      </c>
      <c r="C115" s="551"/>
      <c r="D115" s="551"/>
      <c r="E115" s="580"/>
      <c r="F115" s="580"/>
      <c r="G115" s="580"/>
      <c r="H115" s="580"/>
      <c r="I115" s="580"/>
      <c r="J115" s="580"/>
      <c r="K115" s="581"/>
      <c r="L115" s="582"/>
      <c r="M115" s="583"/>
      <c r="N115" s="1146"/>
      <c r="O115" s="1146"/>
      <c r="P115" s="2674"/>
      <c r="Q115" s="501"/>
    </row>
    <row r="116" spans="1:17" ht="15.75" thickBot="1">
      <c r="A116" s="531"/>
      <c r="B116" s="540"/>
      <c r="C116" s="541">
        <v>100</v>
      </c>
      <c r="D116" s="541">
        <f t="shared" ref="D116:M116" si="25">C116-$K39</f>
        <v>100</v>
      </c>
      <c r="E116" s="541">
        <f t="shared" si="25"/>
        <v>100</v>
      </c>
      <c r="F116" s="541">
        <f t="shared" si="25"/>
        <v>100</v>
      </c>
      <c r="G116" s="541">
        <f t="shared" si="25"/>
        <v>100</v>
      </c>
      <c r="H116" s="541">
        <f t="shared" si="25"/>
        <v>100</v>
      </c>
      <c r="I116" s="541">
        <f t="shared" si="25"/>
        <v>100</v>
      </c>
      <c r="J116" s="541">
        <f t="shared" si="25"/>
        <v>100</v>
      </c>
      <c r="K116" s="541">
        <f t="shared" si="25"/>
        <v>100</v>
      </c>
      <c r="L116" s="541">
        <f t="shared" si="25"/>
        <v>100</v>
      </c>
      <c r="M116" s="542">
        <f t="shared" si="25"/>
        <v>100</v>
      </c>
      <c r="N116" s="1147"/>
      <c r="O116" s="1147"/>
      <c r="P116" s="2674"/>
      <c r="Q116" s="501"/>
    </row>
    <row r="117" spans="1:17" ht="15" thickTop="1">
      <c r="A117" s="596"/>
      <c r="B117" s="535" t="s">
        <v>2607</v>
      </c>
      <c r="C117" s="551"/>
      <c r="D117" s="551"/>
      <c r="E117" s="551"/>
      <c r="F117" s="551"/>
      <c r="G117" s="551"/>
      <c r="H117" s="580"/>
      <c r="I117" s="580"/>
      <c r="J117" s="580"/>
      <c r="K117" s="581"/>
      <c r="L117" s="582"/>
      <c r="M117" s="583"/>
      <c r="N117" s="1146"/>
      <c r="O117" s="1146"/>
      <c r="P117" s="2674"/>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7"/>
      <c r="O118" s="1147"/>
      <c r="P118" s="2674"/>
      <c r="Q118" s="501"/>
    </row>
    <row r="119" spans="1:17" ht="15" thickTop="1">
      <c r="A119" s="596"/>
      <c r="B119" s="633" t="s">
        <v>2690</v>
      </c>
      <c r="C119" s="580"/>
      <c r="D119" s="580"/>
      <c r="E119" s="580"/>
      <c r="F119" s="580"/>
      <c r="G119" s="580"/>
      <c r="H119" s="580"/>
      <c r="I119" s="580"/>
      <c r="J119" s="580"/>
      <c r="K119" s="580"/>
      <c r="L119" s="2679"/>
      <c r="M119" s="2680"/>
      <c r="N119" s="1147"/>
      <c r="O119" s="1147"/>
      <c r="P119" s="2681"/>
      <c r="Q119" s="635"/>
    </row>
    <row r="120" spans="1:17" ht="15.75" thickBot="1">
      <c r="A120" s="531"/>
      <c r="B120" s="540"/>
      <c r="C120" s="579">
        <v>100</v>
      </c>
      <c r="D120" s="541">
        <f>C120-$K41</f>
        <v>100</v>
      </c>
      <c r="E120" s="541">
        <f t="shared" ref="E120:M120" si="26">D120-$K41</f>
        <v>100</v>
      </c>
      <c r="F120" s="541">
        <f t="shared" si="26"/>
        <v>100</v>
      </c>
      <c r="G120" s="541">
        <f t="shared" si="26"/>
        <v>100</v>
      </c>
      <c r="H120" s="541">
        <f t="shared" si="26"/>
        <v>100</v>
      </c>
      <c r="I120" s="541">
        <f t="shared" si="26"/>
        <v>100</v>
      </c>
      <c r="J120" s="541">
        <f t="shared" si="26"/>
        <v>100</v>
      </c>
      <c r="K120" s="541">
        <f t="shared" si="26"/>
        <v>100</v>
      </c>
      <c r="L120" s="541">
        <f t="shared" si="26"/>
        <v>100</v>
      </c>
      <c r="M120" s="541">
        <f t="shared" si="26"/>
        <v>100</v>
      </c>
      <c r="N120" s="1147"/>
      <c r="O120" s="1147"/>
      <c r="P120" s="2674"/>
      <c r="Q120" s="501"/>
    </row>
    <row r="121" spans="1:17" s="468" customFormat="1" ht="15" thickTop="1">
      <c r="A121" s="590"/>
      <c r="B121" s="535" t="s">
        <v>2673</v>
      </c>
      <c r="C121" s="551"/>
      <c r="D121" s="551"/>
      <c r="E121" s="551"/>
      <c r="F121" s="580"/>
      <c r="G121" s="552"/>
      <c r="H121" s="552"/>
      <c r="I121" s="552"/>
      <c r="J121" s="552"/>
      <c r="K121" s="552"/>
      <c r="L121" s="553"/>
      <c r="M121" s="554"/>
      <c r="N121" s="1148"/>
      <c r="O121" s="1148"/>
      <c r="P121" s="2675"/>
      <c r="Q121" s="556"/>
    </row>
    <row r="122" spans="1:17" s="468" customFormat="1" ht="15.75" thickBot="1">
      <c r="A122" s="550"/>
      <c r="B122" s="532"/>
      <c r="C122" s="557"/>
      <c r="D122" s="557"/>
      <c r="E122" s="557"/>
      <c r="F122" s="557"/>
      <c r="G122" s="557"/>
      <c r="H122" s="557"/>
      <c r="I122" s="557"/>
      <c r="J122" s="557"/>
      <c r="K122" s="557"/>
      <c r="L122" s="557"/>
      <c r="M122" s="557"/>
      <c r="N122" s="1148"/>
      <c r="O122" s="1148"/>
      <c r="P122" s="2675"/>
      <c r="Q122" s="556"/>
    </row>
    <row r="123" spans="1:17" ht="15" thickTop="1">
      <c r="A123" s="596"/>
      <c r="B123" s="535" t="s">
        <v>2609</v>
      </c>
      <c r="C123" s="551"/>
      <c r="D123" s="551"/>
      <c r="E123" s="551"/>
      <c r="F123" s="580"/>
      <c r="G123" s="580"/>
      <c r="H123" s="580"/>
      <c r="I123" s="580"/>
      <c r="J123" s="580"/>
      <c r="K123" s="581"/>
      <c r="L123" s="582"/>
      <c r="M123" s="583"/>
      <c r="N123" s="1146"/>
      <c r="O123" s="1146"/>
      <c r="P123" s="2674"/>
      <c r="Q123" s="501"/>
    </row>
    <row r="124" spans="1:17" ht="15.75" thickBot="1">
      <c r="A124" s="531"/>
      <c r="B124" s="540"/>
      <c r="C124" s="541">
        <v>100</v>
      </c>
      <c r="D124" s="541">
        <f t="shared" ref="D124:M124" si="27">C124-$K43</f>
        <v>100</v>
      </c>
      <c r="E124" s="541">
        <f t="shared" si="27"/>
        <v>100</v>
      </c>
      <c r="F124" s="541">
        <f t="shared" si="27"/>
        <v>100</v>
      </c>
      <c r="G124" s="541">
        <f t="shared" si="27"/>
        <v>100</v>
      </c>
      <c r="H124" s="541">
        <f t="shared" si="27"/>
        <v>100</v>
      </c>
      <c r="I124" s="541">
        <f t="shared" si="27"/>
        <v>100</v>
      </c>
      <c r="J124" s="541">
        <f t="shared" si="27"/>
        <v>100</v>
      </c>
      <c r="K124" s="541">
        <f t="shared" si="27"/>
        <v>100</v>
      </c>
      <c r="L124" s="541">
        <f t="shared" si="27"/>
        <v>100</v>
      </c>
      <c r="M124" s="542">
        <f t="shared" si="27"/>
        <v>100</v>
      </c>
      <c r="N124" s="1147"/>
      <c r="O124" s="1147"/>
      <c r="P124" s="2674"/>
      <c r="Q124" s="501"/>
    </row>
    <row r="125" spans="1:17" ht="15" thickTop="1">
      <c r="A125" s="596"/>
      <c r="B125" s="535" t="s">
        <v>2610</v>
      </c>
      <c r="C125" s="575" t="s">
        <v>2586</v>
      </c>
      <c r="D125" s="575" t="s">
        <v>2587</v>
      </c>
      <c r="E125" s="575" t="s">
        <v>2588</v>
      </c>
      <c r="F125" s="575" t="s">
        <v>2589</v>
      </c>
      <c r="G125" s="575" t="s">
        <v>2590</v>
      </c>
      <c r="H125" s="536"/>
      <c r="I125" s="536"/>
      <c r="J125" s="536"/>
      <c r="K125" s="537"/>
      <c r="L125" s="538"/>
      <c r="M125" s="539"/>
      <c r="N125" s="1146"/>
      <c r="O125" s="1146"/>
      <c r="P125" s="2675"/>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7"/>
      <c r="O126" s="1147"/>
      <c r="P126" s="2674"/>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5"/>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5"/>
      <c r="Q128" s="556"/>
    </row>
    <row r="129" spans="1:17" ht="15" thickTop="1">
      <c r="A129" s="596"/>
      <c r="B129" s="535">
        <f>B46</f>
        <v>111</v>
      </c>
      <c r="C129" s="551"/>
      <c r="D129" s="551"/>
      <c r="E129" s="551"/>
      <c r="F129" s="551"/>
      <c r="G129" s="580"/>
      <c r="H129" s="580"/>
      <c r="I129" s="580"/>
      <c r="J129" s="580"/>
      <c r="K129" s="581"/>
      <c r="L129" s="582"/>
      <c r="M129" s="583"/>
      <c r="N129" s="1146"/>
      <c r="O129" s="1146"/>
      <c r="P129" s="2674"/>
      <c r="Q129" s="501"/>
    </row>
    <row r="130" spans="1:17" ht="15.75" thickBot="1">
      <c r="A130" s="531"/>
      <c r="B130" s="540"/>
      <c r="C130" s="557"/>
      <c r="D130" s="557"/>
      <c r="E130" s="557"/>
      <c r="F130" s="557"/>
      <c r="G130" s="533"/>
      <c r="H130" s="533"/>
      <c r="I130" s="533"/>
      <c r="J130" s="533"/>
      <c r="K130" s="533"/>
      <c r="L130" s="533"/>
      <c r="M130" s="534"/>
      <c r="N130" s="1147"/>
      <c r="O130" s="1147"/>
      <c r="P130" s="2674"/>
      <c r="Q130" s="501"/>
    </row>
    <row r="131" spans="1:17" ht="15" thickTop="1">
      <c r="A131" s="596"/>
      <c r="B131" s="543">
        <f>B47</f>
        <v>111</v>
      </c>
      <c r="C131" s="520"/>
      <c r="D131" s="520"/>
      <c r="E131" s="520"/>
      <c r="F131" s="520"/>
      <c r="G131" s="584"/>
      <c r="H131" s="584"/>
      <c r="I131" s="584"/>
      <c r="J131" s="584"/>
      <c r="K131" s="520"/>
      <c r="L131" s="521"/>
      <c r="M131" s="587"/>
      <c r="N131" s="1146"/>
      <c r="O131" s="1146"/>
      <c r="P131" s="2674"/>
      <c r="Q131" s="501"/>
    </row>
    <row r="132" spans="1:17" ht="15.75" thickBot="1">
      <c r="A132" s="2626"/>
      <c r="B132" s="566"/>
      <c r="C132" s="567"/>
      <c r="D132" s="567"/>
      <c r="E132" s="567"/>
      <c r="F132" s="567"/>
      <c r="G132" s="588"/>
      <c r="H132" s="588"/>
      <c r="I132" s="588"/>
      <c r="J132" s="588"/>
      <c r="K132" s="588"/>
      <c r="L132" s="588"/>
      <c r="M132" s="589"/>
      <c r="N132" s="1147"/>
      <c r="O132" s="1147"/>
      <c r="P132" s="2674"/>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2" customFormat="1" ht="28.5" customHeight="1" thickBot="1">
      <c r="A1" s="1611" t="s">
        <v>2517</v>
      </c>
      <c r="B1" s="2659" t="s">
        <v>2691</v>
      </c>
      <c r="C1" s="1613" t="s">
        <v>2519</v>
      </c>
      <c r="D1" s="1614"/>
      <c r="E1" s="1623"/>
      <c r="F1" s="2576"/>
      <c r="G1" s="1624" t="s">
        <v>2632</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2319</v>
      </c>
      <c r="B2" s="1412" t="e">
        <f ca="1">IF(C2="——",ROUND(C43*D3/10000,0),ROUND(C43*D3/10000,0)-D2)</f>
        <v>#DIV/0!</v>
      </c>
      <c r="C2" s="2578"/>
      <c r="D2" s="1118" t="e">
        <f ca="1">SUMIF(INDIRECT("'"&amp;F2&amp;"'"&amp;"!A:A"),"承租人权益价值",INDIRECT("'"&amp;F2&amp;"'"&amp;"!c:c"))</f>
        <v>#REF!</v>
      </c>
      <c r="E2" s="2579" t="s">
        <v>2320</v>
      </c>
      <c r="F2" s="2580"/>
      <c r="G2" s="1119"/>
      <c r="H2" s="1119"/>
      <c r="I2" s="1119"/>
      <c r="J2" s="1119"/>
      <c r="K2" s="1119"/>
      <c r="L2" s="1122"/>
      <c r="M2" s="1123"/>
      <c r="N2" s="1123"/>
      <c r="O2" s="1123"/>
      <c r="P2" s="764"/>
      <c r="Q2" s="764"/>
      <c r="R2" s="764"/>
      <c r="S2" s="764"/>
      <c r="T2" s="764"/>
      <c r="U2" s="764"/>
      <c r="V2" s="764"/>
      <c r="W2" s="764"/>
      <c r="X2" s="764"/>
      <c r="Y2" s="764"/>
      <c r="Z2" s="764"/>
      <c r="AA2" s="764"/>
      <c r="AB2" s="764"/>
      <c r="AC2" s="778"/>
    </row>
    <row r="3" spans="1:29" s="395" customFormat="1" ht="28.5" customHeight="1" thickBot="1">
      <c r="A3" s="244" t="s">
        <v>2321</v>
      </c>
      <c r="B3" s="606" t="e">
        <f ca="1">IF(C2="——",C43,ROUND(B2*10000/D3,0))</f>
        <v>#DIV/0!</v>
      </c>
      <c r="C3" s="397" t="s">
        <v>2633</v>
      </c>
      <c r="D3" s="396">
        <f>IF(D1="",'数据-汇总表'!E3,SUMIF('数据-汇总表'!$C19:$C33,D1,'数据-汇总表'!$E19:$E33))</f>
        <v>900384.25897299999</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2634</v>
      </c>
      <c r="B4" s="399"/>
      <c r="C4" s="3264" t="s">
        <v>2635</v>
      </c>
      <c r="D4" s="3277"/>
      <c r="E4" s="3278" t="s">
        <v>2636</v>
      </c>
      <c r="F4" s="3279"/>
      <c r="G4" s="3264" t="s">
        <v>2637</v>
      </c>
      <c r="H4" s="3277"/>
      <c r="I4" s="3264" t="s">
        <v>2638</v>
      </c>
      <c r="J4" s="3277"/>
      <c r="K4" s="607" t="s">
        <v>2639</v>
      </c>
      <c r="L4" s="1124"/>
      <c r="M4" s="1125"/>
      <c r="N4" s="1125"/>
      <c r="O4" s="1125"/>
      <c r="P4" s="3280" t="s">
        <v>2640</v>
      </c>
      <c r="Q4" s="3281"/>
      <c r="R4" s="3286" t="s">
        <v>2636</v>
      </c>
      <c r="S4" s="3287"/>
      <c r="T4" s="3286" t="s">
        <v>2637</v>
      </c>
      <c r="U4" s="3287"/>
      <c r="V4" s="3273" t="s">
        <v>2638</v>
      </c>
      <c r="W4" s="3273"/>
      <c r="X4" s="1806"/>
      <c r="Y4" s="3286" t="s">
        <v>2640</v>
      </c>
      <c r="Z4" s="3287"/>
      <c r="AA4" s="3274" t="s">
        <v>2636</v>
      </c>
      <c r="AB4" s="3275" t="s">
        <v>2637</v>
      </c>
      <c r="AC4" s="3274" t="s">
        <v>2638</v>
      </c>
    </row>
    <row r="5" spans="1:29" ht="15">
      <c r="A5" s="401"/>
      <c r="B5" s="402"/>
      <c r="C5" s="3294" t="s">
        <v>2531</v>
      </c>
      <c r="D5" s="3295"/>
      <c r="E5" s="3301" t="s">
        <v>2532</v>
      </c>
      <c r="F5" s="3302"/>
      <c r="G5" s="3294" t="s">
        <v>2533</v>
      </c>
      <c r="H5" s="3295"/>
      <c r="I5" s="3294" t="s">
        <v>2534</v>
      </c>
      <c r="J5" s="3295"/>
      <c r="K5" s="607"/>
      <c r="L5" s="1124"/>
      <c r="M5" s="1125"/>
      <c r="N5" s="1125"/>
      <c r="O5" s="1125"/>
      <c r="P5" s="3282"/>
      <c r="Q5" s="3283"/>
      <c r="R5" s="3288"/>
      <c r="S5" s="3289"/>
      <c r="T5" s="3288"/>
      <c r="U5" s="3289"/>
      <c r="V5" s="3273"/>
      <c r="W5" s="3273"/>
      <c r="X5" s="1806"/>
      <c r="Y5" s="3288"/>
      <c r="Z5" s="3289"/>
      <c r="AA5" s="3275"/>
      <c r="AB5" s="3275"/>
      <c r="AC5" s="3275"/>
    </row>
    <row r="6" spans="1:29" ht="15.75" thickBot="1">
      <c r="A6" s="403"/>
      <c r="B6" s="404"/>
      <c r="C6" s="3292" t="s">
        <v>2535</v>
      </c>
      <c r="D6" s="3293"/>
      <c r="E6" s="3299" t="s">
        <v>2535</v>
      </c>
      <c r="F6" s="3300"/>
      <c r="G6" s="3292" t="s">
        <v>2535</v>
      </c>
      <c r="H6" s="3293"/>
      <c r="I6" s="3292" t="s">
        <v>2535</v>
      </c>
      <c r="J6" s="3293"/>
      <c r="K6" s="607" t="s">
        <v>2536</v>
      </c>
      <c r="L6" s="1124"/>
      <c r="M6" s="1125"/>
      <c r="N6" s="1125"/>
      <c r="O6" s="1125"/>
      <c r="P6" s="3284"/>
      <c r="Q6" s="3285"/>
      <c r="R6" s="3288"/>
      <c r="S6" s="3289"/>
      <c r="T6" s="3290"/>
      <c r="U6" s="3291"/>
      <c r="V6" s="3273"/>
      <c r="W6" s="3273"/>
      <c r="X6" s="1806"/>
      <c r="Y6" s="3290"/>
      <c r="Z6" s="3291"/>
      <c r="AA6" s="3276"/>
      <c r="AB6" s="3276"/>
      <c r="AC6" s="3276"/>
    </row>
    <row r="7" spans="1:29" s="116" customFormat="1" ht="15.75" thickBot="1">
      <c r="A7" s="405" t="s">
        <v>2537</v>
      </c>
      <c r="B7" s="406"/>
      <c r="C7" s="407">
        <f>'数据-取费表'!B2</f>
        <v>43782</v>
      </c>
      <c r="D7" s="408">
        <v>100</v>
      </c>
      <c r="E7" s="409"/>
      <c r="F7" s="410">
        <f>SUMIF(52:52,YEAR(E7)&amp;"-"&amp;MONTH(E7),53:53)</f>
        <v>0</v>
      </c>
      <c r="G7" s="409"/>
      <c r="H7" s="408">
        <f>SUMIF(52:52,YEAR(G7)&amp;"-"&amp;MONTH(G7),53:53)</f>
        <v>0</v>
      </c>
      <c r="I7" s="409"/>
      <c r="J7" s="408">
        <f>SUMIF(52:52,YEAR(I7)&amp;"-"&amp;MONTH(I7),53:53)</f>
        <v>0</v>
      </c>
      <c r="K7" s="608"/>
      <c r="L7" s="1126"/>
      <c r="M7" s="1127"/>
      <c r="N7" s="1127"/>
      <c r="O7" s="1127"/>
      <c r="P7" s="3296" t="s">
        <v>2538</v>
      </c>
      <c r="Q7" s="3298"/>
      <c r="R7" s="766" t="s">
        <v>17</v>
      </c>
      <c r="S7" s="767">
        <f t="shared" ref="S7:S15" si="0">F7</f>
        <v>0</v>
      </c>
      <c r="T7" s="766" t="s">
        <v>17</v>
      </c>
      <c r="U7" s="767">
        <f t="shared" ref="U7:U15" si="1">H7</f>
        <v>0</v>
      </c>
      <c r="V7" s="766" t="s">
        <v>17</v>
      </c>
      <c r="W7" s="767">
        <f t="shared" ref="W7:W15" si="2">J7</f>
        <v>0</v>
      </c>
      <c r="X7" s="768"/>
      <c r="Y7" s="3296" t="s">
        <v>2538</v>
      </c>
      <c r="Z7" s="3297"/>
      <c r="AA7" s="769" t="e">
        <f>D7/F7</f>
        <v>#DIV/0!</v>
      </c>
      <c r="AB7" s="769" t="e">
        <f>D7/H7</f>
        <v>#DIV/0!</v>
      </c>
      <c r="AC7" s="769" t="e">
        <f>D7/J7</f>
        <v>#DIV/0!</v>
      </c>
    </row>
    <row r="8" spans="1:29" s="116" customFormat="1" ht="15.75" thickBot="1">
      <c r="A8" s="405" t="s">
        <v>2539</v>
      </c>
      <c r="B8" s="406"/>
      <c r="C8" s="411" t="s">
        <v>2540</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296" t="s">
        <v>2541</v>
      </c>
      <c r="Q8" s="3297"/>
      <c r="R8" s="766" t="s">
        <v>17</v>
      </c>
      <c r="S8" s="767">
        <f t="shared" si="0"/>
        <v>0</v>
      </c>
      <c r="T8" s="766" t="s">
        <v>17</v>
      </c>
      <c r="U8" s="767">
        <f t="shared" si="1"/>
        <v>0</v>
      </c>
      <c r="V8" s="766" t="s">
        <v>17</v>
      </c>
      <c r="W8" s="767">
        <f t="shared" si="2"/>
        <v>0</v>
      </c>
      <c r="X8" s="768"/>
      <c r="Y8" s="3296" t="s">
        <v>2541</v>
      </c>
      <c r="Z8" s="3297"/>
      <c r="AA8" s="769" t="e">
        <f t="shared" ref="AA8:AA40" si="3">D8/F8</f>
        <v>#DIV/0!</v>
      </c>
      <c r="AB8" s="769" t="e">
        <f t="shared" ref="AB8:AB40" si="4">D8/H8</f>
        <v>#DIV/0!</v>
      </c>
      <c r="AC8" s="769" t="e">
        <f t="shared" ref="AC8:AC40" si="5">D8/J8</f>
        <v>#DIV/0!</v>
      </c>
    </row>
    <row r="9" spans="1:29" s="116" customFormat="1">
      <c r="A9" s="412" t="s">
        <v>2542</v>
      </c>
      <c r="B9" s="71" t="s">
        <v>2543</v>
      </c>
      <c r="C9" s="413"/>
      <c r="D9" s="132">
        <v>100</v>
      </c>
      <c r="E9" s="416"/>
      <c r="F9" s="132">
        <f>SUMIF(57:57,E9,58:58)-SUMIF(57:57,C9,58:58)+100</f>
        <v>100</v>
      </c>
      <c r="G9" s="414"/>
      <c r="H9" s="132">
        <f>SUMIF(57:57,G9,58:58)-SUMIF(57:57,C9,58:58)+100</f>
        <v>100</v>
      </c>
      <c r="I9" s="414"/>
      <c r="J9" s="132">
        <f>SUMIF(57:57,I9,58:58)-SUMIF(57:57,C9,58:58)+100</f>
        <v>100</v>
      </c>
      <c r="K9" s="608"/>
      <c r="L9" s="1126"/>
      <c r="M9" s="1127"/>
      <c r="N9" s="1127"/>
      <c r="O9" s="1128"/>
      <c r="P9" s="3267" t="s">
        <v>2544</v>
      </c>
      <c r="Q9" s="1788" t="str">
        <f t="shared" ref="Q9:Q15" si="6">B9</f>
        <v>用途</v>
      </c>
      <c r="R9" s="766" t="s">
        <v>17</v>
      </c>
      <c r="S9" s="767">
        <f t="shared" si="0"/>
        <v>100</v>
      </c>
      <c r="T9" s="766" t="s">
        <v>17</v>
      </c>
      <c r="U9" s="767">
        <f t="shared" si="1"/>
        <v>100</v>
      </c>
      <c r="V9" s="766" t="s">
        <v>17</v>
      </c>
      <c r="W9" s="767">
        <f t="shared" si="2"/>
        <v>100</v>
      </c>
      <c r="X9" s="768"/>
      <c r="Y9" s="3087" t="s">
        <v>2545</v>
      </c>
      <c r="Z9" s="55" t="str">
        <f t="shared" ref="Z9:Z15" si="7">Q9</f>
        <v>用途</v>
      </c>
      <c r="AA9" s="769">
        <f t="shared" si="3"/>
        <v>1</v>
      </c>
      <c r="AB9" s="769">
        <f t="shared" si="4"/>
        <v>1</v>
      </c>
      <c r="AC9" s="769">
        <f t="shared" si="5"/>
        <v>1</v>
      </c>
    </row>
    <row r="10" spans="1:29" s="424" customFormat="1" ht="27">
      <c r="A10" s="418"/>
      <c r="B10" s="419" t="s">
        <v>2546</v>
      </c>
      <c r="C10" s="420"/>
      <c r="D10" s="133">
        <v>100</v>
      </c>
      <c r="E10" s="420"/>
      <c r="F10" s="133">
        <f>SUMIF(59:59,E10,60:60)-SUMIF(59:59,C10,60:60)+100</f>
        <v>100</v>
      </c>
      <c r="G10" s="421"/>
      <c r="H10" s="133">
        <f>SUMIF(59:59,G10,60:60)-SUMIF(59:59,C10,60:60)+100</f>
        <v>100</v>
      </c>
      <c r="I10" s="420"/>
      <c r="J10" s="133">
        <f>SUMIF(59:59,I10,60:60)-SUMIF(59:59,C10,60:60)+100</f>
        <v>100</v>
      </c>
      <c r="K10" s="609"/>
      <c r="L10" s="1129"/>
      <c r="M10" s="1130"/>
      <c r="N10" s="1130"/>
      <c r="O10" s="1131"/>
      <c r="P10" s="3267"/>
      <c r="Q10" s="1788" t="str">
        <f t="shared" si="6"/>
        <v>土地使用年限（年）</v>
      </c>
      <c r="R10" s="766" t="s">
        <v>17</v>
      </c>
      <c r="S10" s="767">
        <f t="shared" si="0"/>
        <v>100</v>
      </c>
      <c r="T10" s="766" t="s">
        <v>17</v>
      </c>
      <c r="U10" s="767">
        <f t="shared" si="1"/>
        <v>100</v>
      </c>
      <c r="V10" s="766" t="s">
        <v>17</v>
      </c>
      <c r="W10" s="767">
        <f t="shared" si="2"/>
        <v>100</v>
      </c>
      <c r="X10" s="768"/>
      <c r="Y10" s="3087"/>
      <c r="Z10" s="55" t="str">
        <f t="shared" si="7"/>
        <v>土地使用年限（年）</v>
      </c>
      <c r="AA10" s="769">
        <f t="shared" si="3"/>
        <v>1</v>
      </c>
      <c r="AB10" s="769">
        <f t="shared" si="4"/>
        <v>1</v>
      </c>
      <c r="AC10" s="769">
        <f t="shared" si="5"/>
        <v>1</v>
      </c>
    </row>
    <row r="11" spans="1:29" ht="15">
      <c r="A11" s="425"/>
      <c r="B11" s="419" t="s">
        <v>2547</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2"/>
      <c r="M11" s="1125"/>
      <c r="N11" s="1125"/>
      <c r="O11" s="1133"/>
      <c r="P11" s="3267"/>
      <c r="Q11" s="1788" t="str">
        <f t="shared" si="6"/>
        <v>容积率</v>
      </c>
      <c r="R11" s="766" t="s">
        <v>17</v>
      </c>
      <c r="S11" s="767" t="e">
        <f t="shared" si="0"/>
        <v>#N/A</v>
      </c>
      <c r="T11" s="766" t="s">
        <v>17</v>
      </c>
      <c r="U11" s="767" t="e">
        <f t="shared" si="1"/>
        <v>#N/A</v>
      </c>
      <c r="V11" s="766" t="s">
        <v>17</v>
      </c>
      <c r="W11" s="767" t="e">
        <f t="shared" si="2"/>
        <v>#N/A</v>
      </c>
      <c r="X11" s="768"/>
      <c r="Y11" s="3087"/>
      <c r="Z11" s="55" t="str">
        <f t="shared" si="7"/>
        <v>容积率</v>
      </c>
      <c r="AA11" s="769" t="e">
        <f t="shared" si="3"/>
        <v>#N/A</v>
      </c>
      <c r="AB11" s="769" t="e">
        <f t="shared" si="4"/>
        <v>#N/A</v>
      </c>
      <c r="AC11" s="769" t="e">
        <f t="shared" si="5"/>
        <v>#N/A</v>
      </c>
    </row>
    <row r="12" spans="1:29" s="116" customFormat="1" ht="15">
      <c r="A12" s="428"/>
      <c r="B12" s="2592">
        <v>111</v>
      </c>
      <c r="C12" s="429"/>
      <c r="D12" s="430">
        <v>100</v>
      </c>
      <c r="E12" s="431"/>
      <c r="F12" s="133">
        <f>SUMIF(64:64,E12,65:65)-SUMIF(64:64,C12,65:65)+100</f>
        <v>100</v>
      </c>
      <c r="G12" s="2682"/>
      <c r="H12" s="133">
        <f>SUMIF(64:64,G12,65:65)-SUMIF(64:64,C12,65:65)+100</f>
        <v>100</v>
      </c>
      <c r="I12" s="466"/>
      <c r="J12" s="133">
        <f>SUMIF(64:64,I12,65:65)-SUMIF(64:64,C12,65:65)+100</f>
        <v>100</v>
      </c>
      <c r="K12" s="610"/>
      <c r="L12" s="1126"/>
      <c r="M12" s="1127"/>
      <c r="N12" s="1127"/>
      <c r="O12" s="1128"/>
      <c r="P12" s="3267"/>
      <c r="Q12" s="1788">
        <f t="shared" si="6"/>
        <v>111</v>
      </c>
      <c r="R12" s="766" t="s">
        <v>17</v>
      </c>
      <c r="S12" s="767">
        <f t="shared" si="0"/>
        <v>100</v>
      </c>
      <c r="T12" s="766" t="s">
        <v>17</v>
      </c>
      <c r="U12" s="767">
        <f t="shared" si="1"/>
        <v>100</v>
      </c>
      <c r="V12" s="766" t="s">
        <v>17</v>
      </c>
      <c r="W12" s="767">
        <f t="shared" si="2"/>
        <v>100</v>
      </c>
      <c r="X12" s="768"/>
      <c r="Y12" s="3087"/>
      <c r="Z12" s="55">
        <f t="shared" si="7"/>
        <v>111</v>
      </c>
      <c r="AA12" s="769">
        <f>D12/F12</f>
        <v>1</v>
      </c>
      <c r="AB12" s="769">
        <f>D12/H12</f>
        <v>1</v>
      </c>
      <c r="AC12" s="769">
        <f>D12/J12</f>
        <v>1</v>
      </c>
    </row>
    <row r="13" spans="1:29" ht="15">
      <c r="A13" s="425"/>
      <c r="B13" s="2592">
        <v>111</v>
      </c>
      <c r="C13" s="431"/>
      <c r="D13" s="432">
        <v>100</v>
      </c>
      <c r="E13" s="431"/>
      <c r="F13" s="133">
        <f>SUMIF(66:66,E13,67:67)-SUMIF(66:66,C13,67:67)+100</f>
        <v>100</v>
      </c>
      <c r="G13" s="2682"/>
      <c r="H13" s="432">
        <f>SUMIF(66:66,G13,67:67)-SUMIF(66:66,C13,67:67)+100</f>
        <v>100</v>
      </c>
      <c r="I13" s="466"/>
      <c r="J13" s="432">
        <f>SUMIF(66:66,I13,67:67)-SUMIF(66:66,C13,67:67)+100</f>
        <v>100</v>
      </c>
      <c r="K13" s="610"/>
      <c r="L13" s="1134"/>
      <c r="M13" s="1125"/>
      <c r="N13" s="1125"/>
      <c r="O13" s="1133"/>
      <c r="P13" s="3267"/>
      <c r="Q13" s="1788">
        <f t="shared" si="6"/>
        <v>111</v>
      </c>
      <c r="R13" s="766" t="s">
        <v>17</v>
      </c>
      <c r="S13" s="767">
        <f t="shared" si="0"/>
        <v>100</v>
      </c>
      <c r="T13" s="766" t="s">
        <v>17</v>
      </c>
      <c r="U13" s="767">
        <f t="shared" si="1"/>
        <v>100</v>
      </c>
      <c r="V13" s="766" t="s">
        <v>17</v>
      </c>
      <c r="W13" s="767">
        <f t="shared" si="2"/>
        <v>100</v>
      </c>
      <c r="X13" s="768"/>
      <c r="Y13" s="3087"/>
      <c r="Z13" s="55">
        <f t="shared" si="7"/>
        <v>111</v>
      </c>
      <c r="AA13" s="769">
        <f t="shared" si="3"/>
        <v>1</v>
      </c>
      <c r="AB13" s="769">
        <f t="shared" si="4"/>
        <v>1</v>
      </c>
      <c r="AC13" s="769">
        <f t="shared" si="5"/>
        <v>1</v>
      </c>
    </row>
    <row r="14" spans="1:29" ht="15.75" thickBot="1">
      <c r="A14" s="433"/>
      <c r="B14" s="2594">
        <v>111</v>
      </c>
      <c r="C14" s="434"/>
      <c r="D14" s="435">
        <v>100</v>
      </c>
      <c r="E14" s="434"/>
      <c r="F14" s="435">
        <f>SUMIF(68:68,E14,69:69)-SUMIF(68:68,C14,69:69)+100</f>
        <v>100</v>
      </c>
      <c r="G14" s="2682"/>
      <c r="H14" s="435">
        <f>SUMIF(68:68,G14,69:69)-SUMIF(68:68,C14,69:69)+100</f>
        <v>100</v>
      </c>
      <c r="I14" s="466"/>
      <c r="J14" s="435">
        <f>SUMIF(68:68,I14,69:69)-SUMIF(68:68,C14,69:69)+100</f>
        <v>100</v>
      </c>
      <c r="K14" s="610"/>
      <c r="L14" s="1134"/>
      <c r="M14" s="1125"/>
      <c r="N14" s="1125"/>
      <c r="O14" s="1133"/>
      <c r="P14" s="3267"/>
      <c r="Q14" s="1788">
        <f t="shared" si="6"/>
        <v>111</v>
      </c>
      <c r="R14" s="766" t="s">
        <v>17</v>
      </c>
      <c r="S14" s="767">
        <f t="shared" si="0"/>
        <v>100</v>
      </c>
      <c r="T14" s="766" t="s">
        <v>17</v>
      </c>
      <c r="U14" s="767">
        <f t="shared" si="1"/>
        <v>100</v>
      </c>
      <c r="V14" s="766" t="s">
        <v>17</v>
      </c>
      <c r="W14" s="767">
        <f t="shared" si="2"/>
        <v>100</v>
      </c>
      <c r="X14" s="768"/>
      <c r="Y14" s="3087"/>
      <c r="Z14" s="55">
        <f t="shared" si="7"/>
        <v>111</v>
      </c>
      <c r="AA14" s="769">
        <f t="shared" si="3"/>
        <v>1</v>
      </c>
      <c r="AB14" s="769">
        <f t="shared" si="4"/>
        <v>1</v>
      </c>
      <c r="AC14" s="769">
        <f t="shared" si="5"/>
        <v>1</v>
      </c>
    </row>
    <row r="15" spans="1:29" ht="57">
      <c r="A15" s="437" t="s">
        <v>2548</v>
      </c>
      <c r="B15" s="69" t="s">
        <v>2692</v>
      </c>
      <c r="C15" s="2683"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69" t="s">
        <v>2549</v>
      </c>
      <c r="Q15" s="1803" t="str">
        <f t="shared" si="6"/>
        <v>产业集聚程度</v>
      </c>
      <c r="R15" s="770" t="s">
        <v>17</v>
      </c>
      <c r="S15" s="771">
        <f t="shared" si="0"/>
        <v>100</v>
      </c>
      <c r="T15" s="770" t="s">
        <v>17</v>
      </c>
      <c r="U15" s="771">
        <f t="shared" si="1"/>
        <v>100</v>
      </c>
      <c r="V15" s="770" t="s">
        <v>17</v>
      </c>
      <c r="W15" s="771">
        <f t="shared" si="2"/>
        <v>100</v>
      </c>
      <c r="X15" s="1806"/>
      <c r="Y15" s="3269" t="s">
        <v>2549</v>
      </c>
      <c r="Z15" s="1807" t="str">
        <f t="shared" si="7"/>
        <v>产业集聚程度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33"/>
      <c r="P16" s="3270"/>
      <c r="Q16" s="1803"/>
      <c r="R16" s="770"/>
      <c r="S16" s="771"/>
      <c r="T16" s="770"/>
      <c r="U16" s="771"/>
      <c r="V16" s="770"/>
      <c r="W16" s="771"/>
      <c r="X16" s="1806"/>
      <c r="Y16" s="3270"/>
      <c r="Z16" s="1807"/>
      <c r="AA16" s="1804">
        <v>1</v>
      </c>
      <c r="AB16" s="1804">
        <v>1</v>
      </c>
      <c r="AC16" s="1804">
        <v>1</v>
      </c>
    </row>
    <row r="17" spans="1:29" ht="85.5">
      <c r="A17" s="425"/>
      <c r="B17" s="448" t="s">
        <v>2092</v>
      </c>
      <c r="C17" s="2599"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70"/>
      <c r="Q17" s="1803" t="str">
        <f>B17</f>
        <v>交通便捷度</v>
      </c>
      <c r="R17" s="770" t="s">
        <v>17</v>
      </c>
      <c r="S17" s="771">
        <f>F17</f>
        <v>100</v>
      </c>
      <c r="T17" s="770" t="s">
        <v>17</v>
      </c>
      <c r="U17" s="771">
        <f>H17</f>
        <v>100</v>
      </c>
      <c r="V17" s="770" t="s">
        <v>17</v>
      </c>
      <c r="W17" s="771">
        <f>J17</f>
        <v>100</v>
      </c>
      <c r="X17" s="1806"/>
      <c r="Y17" s="3270"/>
      <c r="Z17" s="1807" t="str">
        <f>Q17</f>
        <v>交通便捷度</v>
      </c>
      <c r="AA17" s="1804">
        <f t="shared" si="3"/>
        <v>1</v>
      </c>
      <c r="AB17" s="1804">
        <f t="shared" si="4"/>
        <v>1</v>
      </c>
      <c r="AC17" s="1804">
        <f t="shared" si="5"/>
        <v>1</v>
      </c>
    </row>
    <row r="18" spans="1:29" ht="15">
      <c r="A18" s="425"/>
      <c r="B18" s="453"/>
      <c r="C18" s="2600"/>
      <c r="D18" s="447"/>
      <c r="E18" s="2602"/>
      <c r="F18" s="450"/>
      <c r="G18" s="2601"/>
      <c r="H18" s="445"/>
      <c r="I18" s="2602"/>
      <c r="J18" s="445"/>
      <c r="K18" s="612"/>
      <c r="L18" s="1134"/>
      <c r="M18" s="1125"/>
      <c r="N18" s="1125"/>
      <c r="O18" s="1133"/>
      <c r="P18" s="3270"/>
      <c r="Q18" s="1803"/>
      <c r="R18" s="770"/>
      <c r="S18" s="771"/>
      <c r="T18" s="770"/>
      <c r="U18" s="771"/>
      <c r="V18" s="770"/>
      <c r="W18" s="771"/>
      <c r="X18" s="1806"/>
      <c r="Y18" s="3270"/>
      <c r="Z18" s="1807"/>
      <c r="AA18" s="1804">
        <v>1</v>
      </c>
      <c r="AB18" s="1804">
        <v>1</v>
      </c>
      <c r="AC18" s="1804">
        <v>1</v>
      </c>
    </row>
    <row r="19" spans="1:29" ht="42.75">
      <c r="A19" s="425"/>
      <c r="B19" s="448" t="s">
        <v>2677</v>
      </c>
      <c r="C19" s="2599"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70"/>
      <c r="Q19" s="1803" t="str">
        <f>B19</f>
        <v>公共配套设施</v>
      </c>
      <c r="R19" s="770" t="s">
        <v>17</v>
      </c>
      <c r="S19" s="771">
        <f>F19</f>
        <v>100</v>
      </c>
      <c r="T19" s="770" t="s">
        <v>17</v>
      </c>
      <c r="U19" s="771">
        <f>H19</f>
        <v>100</v>
      </c>
      <c r="V19" s="770" t="s">
        <v>17</v>
      </c>
      <c r="W19" s="771">
        <f>J19</f>
        <v>100</v>
      </c>
      <c r="X19" s="1806"/>
      <c r="Y19" s="3270"/>
      <c r="Z19" s="1807" t="str">
        <f>Q19</f>
        <v>公共配套设施</v>
      </c>
      <c r="AA19" s="1804">
        <f t="shared" si="3"/>
        <v>1</v>
      </c>
      <c r="AB19" s="1804">
        <f t="shared" si="4"/>
        <v>1</v>
      </c>
      <c r="AC19" s="1804">
        <f t="shared" si="5"/>
        <v>1</v>
      </c>
    </row>
    <row r="20" spans="1:29" ht="15">
      <c r="A20" s="425"/>
      <c r="B20" s="453"/>
      <c r="C20" s="444"/>
      <c r="D20" s="445"/>
      <c r="E20" s="2597"/>
      <c r="F20" s="446"/>
      <c r="G20" s="2596"/>
      <c r="H20" s="445"/>
      <c r="I20" s="2597"/>
      <c r="J20" s="445"/>
      <c r="K20" s="612"/>
      <c r="L20" s="1134"/>
      <c r="M20" s="1125"/>
      <c r="N20" s="1125"/>
      <c r="O20" s="1133"/>
      <c r="P20" s="3270"/>
      <c r="Q20" s="1803"/>
      <c r="R20" s="770"/>
      <c r="S20" s="771"/>
      <c r="T20" s="770"/>
      <c r="U20" s="771"/>
      <c r="V20" s="770"/>
      <c r="W20" s="771"/>
      <c r="X20" s="1806"/>
      <c r="Y20" s="3270"/>
      <c r="Z20" s="1807"/>
      <c r="AA20" s="1804">
        <v>1</v>
      </c>
      <c r="AB20" s="1804">
        <v>1</v>
      </c>
      <c r="AC20" s="1804">
        <v>1</v>
      </c>
    </row>
    <row r="21" spans="1:29" ht="28.5">
      <c r="A21" s="425"/>
      <c r="B21" s="1378" t="s">
        <v>2678</v>
      </c>
      <c r="C21" s="2599"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70"/>
      <c r="Q21" s="1803" t="str">
        <f>B21</f>
        <v>基础设施水平</v>
      </c>
      <c r="R21" s="770" t="s">
        <v>17</v>
      </c>
      <c r="S21" s="771">
        <f>F21</f>
        <v>100</v>
      </c>
      <c r="T21" s="770" t="s">
        <v>17</v>
      </c>
      <c r="U21" s="771">
        <f>H21</f>
        <v>100</v>
      </c>
      <c r="V21" s="770" t="s">
        <v>17</v>
      </c>
      <c r="W21" s="771">
        <f>J21</f>
        <v>100</v>
      </c>
      <c r="X21" s="1806"/>
      <c r="Y21" s="3270"/>
      <c r="Z21" s="1807" t="str">
        <f>Q21</f>
        <v>基础设施水平</v>
      </c>
      <c r="AA21" s="1804">
        <f>D21/F21</f>
        <v>1</v>
      </c>
      <c r="AB21" s="1804">
        <f>D21/H21</f>
        <v>1</v>
      </c>
      <c r="AC21" s="1804">
        <f>D21/J21</f>
        <v>1</v>
      </c>
    </row>
    <row r="22" spans="1:29" ht="15">
      <c r="A22" s="425"/>
      <c r="B22" s="1378"/>
      <c r="C22" s="2600"/>
      <c r="D22" s="445"/>
      <c r="E22" s="444"/>
      <c r="F22" s="446"/>
      <c r="G22" s="444"/>
      <c r="H22" s="445"/>
      <c r="I22" s="444"/>
      <c r="J22" s="445"/>
      <c r="K22" s="1377"/>
      <c r="L22" s="1134"/>
      <c r="M22" s="1125"/>
      <c r="N22" s="1125"/>
      <c r="O22" s="1133"/>
      <c r="P22" s="3270"/>
      <c r="Q22" s="1803"/>
      <c r="R22" s="770"/>
      <c r="S22" s="771"/>
      <c r="T22" s="770"/>
      <c r="U22" s="771"/>
      <c r="V22" s="770"/>
      <c r="W22" s="771"/>
      <c r="X22" s="1806"/>
      <c r="Y22" s="3270"/>
      <c r="Z22" s="1807"/>
      <c r="AA22" s="1804">
        <v>1</v>
      </c>
      <c r="AB22" s="1804">
        <v>1</v>
      </c>
      <c r="AC22" s="1804">
        <v>1</v>
      </c>
    </row>
    <row r="23" spans="1:29" ht="71.25">
      <c r="A23" s="425"/>
      <c r="B23" s="448" t="s">
        <v>2679</v>
      </c>
      <c r="C23" s="2599"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70"/>
      <c r="Q23" s="1803" t="str">
        <f>B23</f>
        <v>环境质量</v>
      </c>
      <c r="R23" s="770" t="s">
        <v>17</v>
      </c>
      <c r="S23" s="771">
        <f>F23</f>
        <v>100</v>
      </c>
      <c r="T23" s="770" t="s">
        <v>17</v>
      </c>
      <c r="U23" s="771">
        <f>H23</f>
        <v>100</v>
      </c>
      <c r="V23" s="770" t="s">
        <v>17</v>
      </c>
      <c r="W23" s="771">
        <f>J23</f>
        <v>100</v>
      </c>
      <c r="X23" s="1806"/>
      <c r="Y23" s="3270"/>
      <c r="Z23" s="1807" t="str">
        <f>Q23</f>
        <v>环境质量</v>
      </c>
      <c r="AA23" s="1804">
        <f t="shared" si="3"/>
        <v>1</v>
      </c>
      <c r="AB23" s="1804">
        <f t="shared" si="4"/>
        <v>1</v>
      </c>
      <c r="AC23" s="1804">
        <f t="shared" si="5"/>
        <v>1</v>
      </c>
    </row>
    <row r="24" spans="1:29" ht="15">
      <c r="A24" s="425"/>
      <c r="B24" s="1378"/>
      <c r="C24" s="444"/>
      <c r="D24" s="445"/>
      <c r="E24" s="2597"/>
      <c r="F24" s="446"/>
      <c r="G24" s="2596"/>
      <c r="H24" s="445"/>
      <c r="I24" s="2597"/>
      <c r="J24" s="445"/>
      <c r="K24" s="612"/>
      <c r="L24" s="1134"/>
      <c r="M24" s="1125"/>
      <c r="N24" s="1125"/>
      <c r="O24" s="1133"/>
      <c r="P24" s="3270"/>
      <c r="Q24" s="1803"/>
      <c r="R24" s="770"/>
      <c r="S24" s="771"/>
      <c r="T24" s="770"/>
      <c r="U24" s="771"/>
      <c r="V24" s="770"/>
      <c r="W24" s="771"/>
      <c r="X24" s="1806"/>
      <c r="Y24" s="3270"/>
      <c r="Z24" s="1807"/>
      <c r="AA24" s="1804">
        <v>1</v>
      </c>
      <c r="AB24" s="1804">
        <v>1</v>
      </c>
      <c r="AC24" s="1804">
        <v>1</v>
      </c>
    </row>
    <row r="25" spans="1:29" ht="15">
      <c r="A25" s="401"/>
      <c r="B25" s="1380">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70"/>
      <c r="Q25" s="1803">
        <f>B25</f>
        <v>111</v>
      </c>
      <c r="R25" s="770" t="s">
        <v>17</v>
      </c>
      <c r="S25" s="771">
        <f>F25</f>
        <v>100</v>
      </c>
      <c r="T25" s="770" t="s">
        <v>17</v>
      </c>
      <c r="U25" s="771">
        <f>H25</f>
        <v>100</v>
      </c>
      <c r="V25" s="770" t="s">
        <v>17</v>
      </c>
      <c r="W25" s="771">
        <f>J25</f>
        <v>100</v>
      </c>
      <c r="X25" s="1806"/>
      <c r="Y25" s="3270"/>
      <c r="Z25" s="1807">
        <f>Q25</f>
        <v>111</v>
      </c>
      <c r="AA25" s="1804">
        <f t="shared" si="3"/>
        <v>1</v>
      </c>
      <c r="AB25" s="1804">
        <f t="shared" si="4"/>
        <v>1</v>
      </c>
      <c r="AC25" s="1804">
        <f t="shared" si="5"/>
        <v>1</v>
      </c>
    </row>
    <row r="26" spans="1:29" ht="15">
      <c r="A26" s="425"/>
      <c r="B26" s="1380">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70"/>
      <c r="Q26" s="1803">
        <f t="shared" ref="Q26:Q40" si="8">B26</f>
        <v>111</v>
      </c>
      <c r="R26" s="770" t="s">
        <v>17</v>
      </c>
      <c r="S26" s="771">
        <f>F26</f>
        <v>100</v>
      </c>
      <c r="T26" s="770" t="s">
        <v>17</v>
      </c>
      <c r="U26" s="771">
        <f>H26</f>
        <v>100</v>
      </c>
      <c r="V26" s="770" t="s">
        <v>17</v>
      </c>
      <c r="W26" s="771">
        <f>J26</f>
        <v>100</v>
      </c>
      <c r="X26" s="1806"/>
      <c r="Y26" s="3270"/>
      <c r="Z26" s="1807">
        <f>Q26</f>
        <v>111</v>
      </c>
      <c r="AA26" s="1804">
        <f t="shared" si="3"/>
        <v>1</v>
      </c>
      <c r="AB26" s="1804">
        <f t="shared" si="4"/>
        <v>1</v>
      </c>
      <c r="AC26" s="1804">
        <f t="shared" si="5"/>
        <v>1</v>
      </c>
    </row>
    <row r="27" spans="1:29" s="116" customFormat="1" ht="15">
      <c r="A27" s="428"/>
      <c r="B27" s="1380">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70"/>
      <c r="Q27" s="1788">
        <f t="shared" si="8"/>
        <v>111</v>
      </c>
      <c r="R27" s="766" t="s">
        <v>17</v>
      </c>
      <c r="S27" s="767">
        <f>F27</f>
        <v>100</v>
      </c>
      <c r="T27" s="766" t="s">
        <v>17</v>
      </c>
      <c r="U27" s="767">
        <f>H27</f>
        <v>100</v>
      </c>
      <c r="V27" s="766" t="s">
        <v>17</v>
      </c>
      <c r="W27" s="767">
        <f>J27</f>
        <v>100</v>
      </c>
      <c r="X27" s="768"/>
      <c r="Y27" s="3270"/>
      <c r="Z27" s="55">
        <f>Q27</f>
        <v>111</v>
      </c>
      <c r="AA27" s="1804">
        <f>D27/F27</f>
        <v>1</v>
      </c>
      <c r="AB27" s="1804">
        <f>D27/H27</f>
        <v>1</v>
      </c>
      <c r="AC27" s="1804">
        <f>D27/J27</f>
        <v>1</v>
      </c>
    </row>
    <row r="28" spans="1:29" ht="15.75" thickBot="1">
      <c r="A28" s="433"/>
      <c r="B28" s="1380">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70"/>
      <c r="Q28" s="1803">
        <f t="shared" si="8"/>
        <v>111</v>
      </c>
      <c r="R28" s="770" t="s">
        <v>17</v>
      </c>
      <c r="S28" s="771">
        <f t="shared" ref="S28:S40" si="9">F28</f>
        <v>100</v>
      </c>
      <c r="T28" s="770" t="s">
        <v>17</v>
      </c>
      <c r="U28" s="771">
        <f t="shared" ref="U28:U40" si="10">H28</f>
        <v>100</v>
      </c>
      <c r="V28" s="770" t="s">
        <v>17</v>
      </c>
      <c r="W28" s="771">
        <f t="shared" ref="W28:W40" si="11">J28</f>
        <v>100</v>
      </c>
      <c r="X28" s="1806"/>
      <c r="Y28" s="3270"/>
      <c r="Z28" s="1807">
        <f t="shared" ref="Z28:Z40" si="12">Q28</f>
        <v>111</v>
      </c>
      <c r="AA28" s="1804">
        <f t="shared" si="3"/>
        <v>1</v>
      </c>
      <c r="AB28" s="1804">
        <f t="shared" si="4"/>
        <v>1</v>
      </c>
      <c r="AC28" s="1804">
        <f t="shared" si="5"/>
        <v>1</v>
      </c>
    </row>
    <row r="29" spans="1:29" ht="15">
      <c r="A29" s="463" t="s">
        <v>2552</v>
      </c>
      <c r="B29" s="71" t="s">
        <v>2682</v>
      </c>
      <c r="C29" s="2669"/>
      <c r="D29" s="464">
        <v>100</v>
      </c>
      <c r="E29" s="2669"/>
      <c r="F29" s="458">
        <f>SUMIF(88:88,E29,89:89)-SUMIF(88:88,C29,89:89)+100</f>
        <v>100</v>
      </c>
      <c r="G29" s="2669"/>
      <c r="H29" s="432">
        <f>SUMIF(88:88,G29,89:89)-SUMIF(88:88,C29,89:89)+100</f>
        <v>100</v>
      </c>
      <c r="I29" s="2669"/>
      <c r="J29" s="464">
        <f>SUMIF(88:88,I29,89:89)-SUMIF(88:88,C29,89:89)+100</f>
        <v>100</v>
      </c>
      <c r="K29" s="609"/>
      <c r="L29" s="1134"/>
      <c r="M29" s="1125"/>
      <c r="N29" s="1125"/>
      <c r="O29" s="1133"/>
      <c r="P29" s="3271" t="s">
        <v>2554</v>
      </c>
      <c r="Q29" s="1803" t="str">
        <f t="shared" si="8"/>
        <v>建筑类型</v>
      </c>
      <c r="R29" s="770" t="s">
        <v>17</v>
      </c>
      <c r="S29" s="771">
        <f t="shared" si="9"/>
        <v>100</v>
      </c>
      <c r="T29" s="770" t="s">
        <v>17</v>
      </c>
      <c r="U29" s="771">
        <f t="shared" si="10"/>
        <v>100</v>
      </c>
      <c r="V29" s="770" t="s">
        <v>17</v>
      </c>
      <c r="W29" s="771">
        <f t="shared" si="11"/>
        <v>100</v>
      </c>
      <c r="X29" s="1806"/>
      <c r="Y29" s="3272" t="s">
        <v>2554</v>
      </c>
      <c r="Z29" s="1807" t="str">
        <f t="shared" si="12"/>
        <v>建筑类型</v>
      </c>
      <c r="AA29" s="1804">
        <f t="shared" si="3"/>
        <v>1</v>
      </c>
      <c r="AB29" s="1804">
        <f t="shared" si="4"/>
        <v>1</v>
      </c>
      <c r="AC29" s="1804">
        <f t="shared" si="5"/>
        <v>1</v>
      </c>
    </row>
    <row r="30" spans="1:29" s="468" customFormat="1" ht="15">
      <c r="A30" s="465"/>
      <c r="B30" s="419" t="s">
        <v>2555</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2"/>
      <c r="M30" s="1135"/>
      <c r="N30" s="1135"/>
      <c r="O30" s="1136"/>
      <c r="P30" s="3272"/>
      <c r="Q30" s="772" t="str">
        <f t="shared" si="8"/>
        <v>项目建筑规模</v>
      </c>
      <c r="R30" s="773" t="s">
        <v>17</v>
      </c>
      <c r="S30" s="774" t="e">
        <f t="shared" si="9"/>
        <v>#N/A</v>
      </c>
      <c r="T30" s="773" t="s">
        <v>17</v>
      </c>
      <c r="U30" s="774" t="e">
        <f t="shared" si="10"/>
        <v>#N/A</v>
      </c>
      <c r="V30" s="773" t="s">
        <v>17</v>
      </c>
      <c r="W30" s="774" t="e">
        <f t="shared" si="11"/>
        <v>#N/A</v>
      </c>
      <c r="X30" s="775"/>
      <c r="Y30" s="3272"/>
      <c r="Z30" s="776" t="str">
        <f t="shared" si="12"/>
        <v>项目建筑规模</v>
      </c>
      <c r="AA30" s="1804" t="e">
        <f t="shared" si="3"/>
        <v>#N/A</v>
      </c>
      <c r="AB30" s="1804" t="e">
        <f t="shared" si="4"/>
        <v>#N/A</v>
      </c>
      <c r="AC30" s="1804" t="e">
        <f t="shared" si="5"/>
        <v>#N/A</v>
      </c>
    </row>
    <row r="31" spans="1:29" ht="15">
      <c r="A31" s="469"/>
      <c r="B31" s="419" t="s">
        <v>2556</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72"/>
      <c r="Q31" s="1803" t="str">
        <f t="shared" si="8"/>
        <v>建筑结构</v>
      </c>
      <c r="R31" s="770" t="s">
        <v>17</v>
      </c>
      <c r="S31" s="771">
        <f t="shared" si="9"/>
        <v>100</v>
      </c>
      <c r="T31" s="770" t="s">
        <v>17</v>
      </c>
      <c r="U31" s="771">
        <f t="shared" si="10"/>
        <v>100</v>
      </c>
      <c r="V31" s="770" t="s">
        <v>17</v>
      </c>
      <c r="W31" s="771">
        <f t="shared" si="11"/>
        <v>100</v>
      </c>
      <c r="X31" s="1806"/>
      <c r="Y31" s="3272"/>
      <c r="Z31" s="1807" t="str">
        <f t="shared" si="12"/>
        <v>建筑结构</v>
      </c>
      <c r="AA31" s="1804">
        <f t="shared" si="3"/>
        <v>1</v>
      </c>
      <c r="AB31" s="1804">
        <f t="shared" si="4"/>
        <v>1</v>
      </c>
      <c r="AC31" s="1804">
        <f t="shared" si="5"/>
        <v>1</v>
      </c>
    </row>
    <row r="32" spans="1:29" ht="15">
      <c r="A32" s="469"/>
      <c r="B32" s="419" t="s">
        <v>2650</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72"/>
      <c r="Q32" s="1803" t="str">
        <f t="shared" si="8"/>
        <v>公共部分装修</v>
      </c>
      <c r="R32" s="770" t="s">
        <v>17</v>
      </c>
      <c r="S32" s="771">
        <f t="shared" si="9"/>
        <v>100</v>
      </c>
      <c r="T32" s="770" t="s">
        <v>17</v>
      </c>
      <c r="U32" s="771">
        <f t="shared" si="10"/>
        <v>100</v>
      </c>
      <c r="V32" s="770" t="s">
        <v>17</v>
      </c>
      <c r="W32" s="771">
        <f t="shared" si="11"/>
        <v>100</v>
      </c>
      <c r="X32" s="1806"/>
      <c r="Y32" s="3272"/>
      <c r="Z32" s="1807" t="str">
        <f t="shared" si="12"/>
        <v>公共部分装修</v>
      </c>
      <c r="AA32" s="1804">
        <f t="shared" si="3"/>
        <v>1</v>
      </c>
      <c r="AB32" s="1804">
        <f t="shared" si="4"/>
        <v>1</v>
      </c>
      <c r="AC32" s="1804">
        <f t="shared" si="5"/>
        <v>1</v>
      </c>
    </row>
    <row r="33" spans="1:29" ht="15">
      <c r="A33" s="469"/>
      <c r="B33" s="419" t="s">
        <v>2651</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72"/>
      <c r="Q33" s="1803" t="str">
        <f t="shared" si="8"/>
        <v>成新度</v>
      </c>
      <c r="R33" s="770" t="s">
        <v>17</v>
      </c>
      <c r="S33" s="771" t="e">
        <f t="shared" si="9"/>
        <v>#N/A</v>
      </c>
      <c r="T33" s="770" t="s">
        <v>17</v>
      </c>
      <c r="U33" s="771" t="e">
        <f t="shared" si="10"/>
        <v>#N/A</v>
      </c>
      <c r="V33" s="770" t="s">
        <v>17</v>
      </c>
      <c r="W33" s="771" t="e">
        <f t="shared" si="11"/>
        <v>#N/A</v>
      </c>
      <c r="X33" s="1806"/>
      <c r="Y33" s="3272"/>
      <c r="Z33" s="1807" t="str">
        <f t="shared" si="12"/>
        <v>成新度</v>
      </c>
      <c r="AA33" s="1804" t="e">
        <f t="shared" si="3"/>
        <v>#N/A</v>
      </c>
      <c r="AB33" s="1804" t="e">
        <f t="shared" si="4"/>
        <v>#N/A</v>
      </c>
      <c r="AC33" s="1804" t="e">
        <f t="shared" si="5"/>
        <v>#N/A</v>
      </c>
    </row>
    <row r="34" spans="1:29" s="116" customFormat="1" ht="15">
      <c r="A34" s="470"/>
      <c r="B34" s="419" t="s">
        <v>2684</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72"/>
      <c r="Q34" s="1788" t="str">
        <f t="shared" si="8"/>
        <v>物业管理</v>
      </c>
      <c r="R34" s="766" t="s">
        <v>17</v>
      </c>
      <c r="S34" s="767">
        <f t="shared" si="9"/>
        <v>100</v>
      </c>
      <c r="T34" s="766" t="s">
        <v>17</v>
      </c>
      <c r="U34" s="767">
        <f t="shared" si="10"/>
        <v>100</v>
      </c>
      <c r="V34" s="766" t="s">
        <v>17</v>
      </c>
      <c r="W34" s="767">
        <f t="shared" si="11"/>
        <v>100</v>
      </c>
      <c r="X34" s="768"/>
      <c r="Y34" s="3272"/>
      <c r="Z34" s="55" t="str">
        <f t="shared" si="12"/>
        <v>物业管理</v>
      </c>
      <c r="AA34" s="769">
        <f t="shared" si="3"/>
        <v>1</v>
      </c>
      <c r="AB34" s="769">
        <f t="shared" si="4"/>
        <v>1</v>
      </c>
      <c r="AC34" s="769">
        <f t="shared" si="5"/>
        <v>1</v>
      </c>
    </row>
    <row r="35" spans="1:29" ht="15">
      <c r="A35" s="469"/>
      <c r="B35" s="419" t="s">
        <v>2652</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72" t="s">
        <v>2554</v>
      </c>
      <c r="Q35" s="1803" t="str">
        <f t="shared" si="8"/>
        <v>市政基础设施</v>
      </c>
      <c r="R35" s="770" t="s">
        <v>17</v>
      </c>
      <c r="S35" s="771">
        <f t="shared" si="9"/>
        <v>100</v>
      </c>
      <c r="T35" s="770" t="s">
        <v>17</v>
      </c>
      <c r="U35" s="771">
        <f t="shared" si="10"/>
        <v>100</v>
      </c>
      <c r="V35" s="770" t="s">
        <v>17</v>
      </c>
      <c r="W35" s="771">
        <f t="shared" si="11"/>
        <v>100</v>
      </c>
      <c r="X35" s="1806"/>
      <c r="Y35" s="3272" t="s">
        <v>2554</v>
      </c>
      <c r="Z35" s="1807" t="str">
        <f t="shared" si="12"/>
        <v>市政基础设施</v>
      </c>
      <c r="AA35" s="1804">
        <f t="shared" si="3"/>
        <v>1</v>
      </c>
      <c r="AB35" s="1804">
        <f t="shared" si="4"/>
        <v>1</v>
      </c>
      <c r="AC35" s="1804">
        <f t="shared" si="5"/>
        <v>1</v>
      </c>
    </row>
    <row r="36" spans="1:29" ht="15">
      <c r="A36" s="469"/>
      <c r="B36" s="419" t="s">
        <v>2657</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72"/>
      <c r="Q36" s="1803" t="str">
        <f t="shared" si="8"/>
        <v>内部装修</v>
      </c>
      <c r="R36" s="770" t="s">
        <v>17</v>
      </c>
      <c r="S36" s="771">
        <f t="shared" si="9"/>
        <v>100</v>
      </c>
      <c r="T36" s="770" t="s">
        <v>17</v>
      </c>
      <c r="U36" s="771">
        <f t="shared" si="10"/>
        <v>100</v>
      </c>
      <c r="V36" s="770" t="s">
        <v>17</v>
      </c>
      <c r="W36" s="771">
        <f t="shared" si="11"/>
        <v>100</v>
      </c>
      <c r="X36" s="1806"/>
      <c r="Y36" s="3272"/>
      <c r="Z36" s="1807" t="str">
        <f t="shared" si="12"/>
        <v>内部装修</v>
      </c>
      <c r="AA36" s="1804">
        <f t="shared" si="3"/>
        <v>1</v>
      </c>
      <c r="AB36" s="1804">
        <f t="shared" si="4"/>
        <v>1</v>
      </c>
      <c r="AC36" s="1804">
        <f t="shared" si="5"/>
        <v>1</v>
      </c>
    </row>
    <row r="37" spans="1:29" ht="15">
      <c r="A37" s="469"/>
      <c r="B37" s="419" t="s">
        <v>2693</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72"/>
      <c r="Q37" s="1803" t="str">
        <f t="shared" si="8"/>
        <v>内部装修状况</v>
      </c>
      <c r="R37" s="770" t="s">
        <v>17</v>
      </c>
      <c r="S37" s="771">
        <f t="shared" si="9"/>
        <v>100</v>
      </c>
      <c r="T37" s="770" t="s">
        <v>17</v>
      </c>
      <c r="U37" s="771">
        <f t="shared" si="10"/>
        <v>100</v>
      </c>
      <c r="V37" s="770" t="s">
        <v>17</v>
      </c>
      <c r="W37" s="771">
        <f t="shared" si="11"/>
        <v>100</v>
      </c>
      <c r="X37" s="1806"/>
      <c r="Y37" s="3272"/>
      <c r="Z37" s="1807" t="str">
        <f t="shared" si="12"/>
        <v>内部装修状况</v>
      </c>
      <c r="AA37" s="1804">
        <f t="shared" si="3"/>
        <v>1</v>
      </c>
      <c r="AB37" s="1804">
        <f t="shared" si="4"/>
        <v>1</v>
      </c>
      <c r="AC37" s="1804">
        <f t="shared" si="5"/>
        <v>1</v>
      </c>
    </row>
    <row r="38" spans="1:29" s="468" customFormat="1" ht="15">
      <c r="A38" s="465"/>
      <c r="B38" s="1380">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72"/>
      <c r="Q38" s="772">
        <f t="shared" si="8"/>
        <v>111</v>
      </c>
      <c r="R38" s="773" t="s">
        <v>17</v>
      </c>
      <c r="S38" s="774">
        <f t="shared" si="9"/>
        <v>100</v>
      </c>
      <c r="T38" s="773" t="s">
        <v>17</v>
      </c>
      <c r="U38" s="774">
        <f t="shared" si="10"/>
        <v>100</v>
      </c>
      <c r="V38" s="773" t="s">
        <v>17</v>
      </c>
      <c r="W38" s="774">
        <f t="shared" si="11"/>
        <v>100</v>
      </c>
      <c r="X38" s="775"/>
      <c r="Y38" s="3272"/>
      <c r="Z38" s="776">
        <f t="shared" si="12"/>
        <v>111</v>
      </c>
      <c r="AA38" s="1804">
        <f t="shared" si="3"/>
        <v>1</v>
      </c>
      <c r="AB38" s="1804">
        <f t="shared" si="4"/>
        <v>1</v>
      </c>
      <c r="AC38" s="1804">
        <f t="shared" si="5"/>
        <v>1</v>
      </c>
    </row>
    <row r="39" spans="1:29" ht="15">
      <c r="A39" s="469"/>
      <c r="B39" s="1380">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72"/>
      <c r="Q39" s="1803">
        <f t="shared" si="8"/>
        <v>111</v>
      </c>
      <c r="R39" s="770" t="s">
        <v>17</v>
      </c>
      <c r="S39" s="771">
        <f t="shared" si="9"/>
        <v>100</v>
      </c>
      <c r="T39" s="770" t="s">
        <v>17</v>
      </c>
      <c r="U39" s="771">
        <f t="shared" si="10"/>
        <v>100</v>
      </c>
      <c r="V39" s="770" t="s">
        <v>17</v>
      </c>
      <c r="W39" s="771">
        <f t="shared" si="11"/>
        <v>100</v>
      </c>
      <c r="X39" s="1806"/>
      <c r="Y39" s="3272"/>
      <c r="Z39" s="1807">
        <f t="shared" si="12"/>
        <v>111</v>
      </c>
      <c r="AA39" s="1804">
        <f t="shared" si="3"/>
        <v>1</v>
      </c>
      <c r="AB39" s="1804">
        <f t="shared" si="4"/>
        <v>1</v>
      </c>
      <c r="AC39" s="1804">
        <f t="shared" si="5"/>
        <v>1</v>
      </c>
    </row>
    <row r="40" spans="1:29" ht="15.75" thickBot="1">
      <c r="A40" s="475"/>
      <c r="B40" s="2594">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310"/>
      <c r="Q40" s="1803">
        <f t="shared" si="8"/>
        <v>111</v>
      </c>
      <c r="R40" s="770" t="s">
        <v>17</v>
      </c>
      <c r="S40" s="771">
        <f t="shared" si="9"/>
        <v>100</v>
      </c>
      <c r="T40" s="770" t="s">
        <v>17</v>
      </c>
      <c r="U40" s="771">
        <f t="shared" si="10"/>
        <v>100</v>
      </c>
      <c r="V40" s="770" t="s">
        <v>17</v>
      </c>
      <c r="W40" s="771">
        <f t="shared" si="11"/>
        <v>100</v>
      </c>
      <c r="X40" s="1806"/>
      <c r="Y40" s="3310"/>
      <c r="Z40" s="1807">
        <f t="shared" si="12"/>
        <v>111</v>
      </c>
      <c r="AA40" s="1804">
        <f t="shared" si="3"/>
        <v>1</v>
      </c>
      <c r="AB40" s="1804">
        <f t="shared" si="4"/>
        <v>1</v>
      </c>
      <c r="AC40" s="1804">
        <f t="shared" si="5"/>
        <v>1</v>
      </c>
    </row>
    <row r="41" spans="1:29" ht="15">
      <c r="A41" s="476" t="s">
        <v>2566</v>
      </c>
      <c r="B41" s="477"/>
      <c r="C41" s="1401" t="s">
        <v>1</v>
      </c>
      <c r="D41" s="1402"/>
      <c r="E41" s="1403"/>
      <c r="F41" s="1404"/>
      <c r="G41" s="1405"/>
      <c r="H41" s="1406"/>
      <c r="I41" s="1403"/>
      <c r="J41" s="1406"/>
      <c r="K41" s="779"/>
      <c r="L41" s="1137"/>
      <c r="M41" s="1138"/>
      <c r="N41" s="1125"/>
      <c r="O41" s="1138"/>
      <c r="P41" s="3267" t="str">
        <f>A41</f>
        <v>成交单价（元/平方米）</v>
      </c>
      <c r="Q41" s="3267"/>
      <c r="R41" s="3311">
        <f>E41</f>
        <v>0</v>
      </c>
      <c r="S41" s="3311"/>
      <c r="T41" s="3311">
        <f>G41</f>
        <v>0</v>
      </c>
      <c r="U41" s="3311"/>
      <c r="V41" s="3311">
        <f>I41</f>
        <v>0</v>
      </c>
      <c r="W41" s="3311"/>
      <c r="X41" s="755"/>
      <c r="Y41" s="777"/>
      <c r="Z41" s="755"/>
      <c r="AA41" s="755"/>
      <c r="AB41" s="755"/>
      <c r="AC41" s="755"/>
    </row>
    <row r="42" spans="1:29" ht="15.75" thickBot="1">
      <c r="A42" s="483" t="s">
        <v>2658</v>
      </c>
      <c r="B42" s="484"/>
      <c r="C42" s="1407" t="e">
        <f>R43</f>
        <v>#DIV/0!</v>
      </c>
      <c r="D42" s="1408"/>
      <c r="E42" s="1409" t="e">
        <f>R42</f>
        <v>#DIV/0!</v>
      </c>
      <c r="F42" s="1409"/>
      <c r="G42" s="1407" t="e">
        <f>T42</f>
        <v>#DIV/0!</v>
      </c>
      <c r="H42" s="1408"/>
      <c r="I42" s="1409" t="e">
        <f>V42</f>
        <v>#DIV/0!</v>
      </c>
      <c r="J42" s="1408"/>
      <c r="K42" s="780"/>
      <c r="L42" s="1137"/>
      <c r="M42" s="1138"/>
      <c r="N42" s="1125"/>
      <c r="O42" s="1138"/>
      <c r="P42" s="3267" t="str">
        <f>A42</f>
        <v>比较价值（元/平方米）</v>
      </c>
      <c r="Q42" s="3267"/>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755"/>
      <c r="Y42" s="755"/>
      <c r="Z42" s="755"/>
      <c r="AA42" s="755"/>
      <c r="AB42" s="755"/>
      <c r="AC42" s="755"/>
    </row>
    <row r="43" spans="1:29" ht="15.75" thickBot="1">
      <c r="A43" s="489" t="s">
        <v>2659</v>
      </c>
      <c r="B43" s="490"/>
      <c r="C43" s="1411" t="e">
        <f>R43</f>
        <v>#DIV/0!</v>
      </c>
      <c r="D43" s="1411"/>
      <c r="E43" s="1411"/>
      <c r="F43" s="1411"/>
      <c r="G43" s="1411"/>
      <c r="H43" s="1411"/>
      <c r="I43" s="1411"/>
      <c r="J43" s="1411"/>
      <c r="K43" s="781"/>
      <c r="L43" s="1137"/>
      <c r="M43" s="1138"/>
      <c r="N43" s="1138"/>
      <c r="O43" s="1138"/>
      <c r="P43" s="3261" t="str">
        <f>A43</f>
        <v>估价对象XX用房的比较价值（楼面单价，元/平方米）</v>
      </c>
      <c r="Q43" s="3262"/>
      <c r="R43" s="3312" t="e">
        <f>IF(F1="售价",ROUND(AVERAGE(R42:V42),0),ROUND(AVERAGE(R42:V42),1))</f>
        <v>#DIV/0!</v>
      </c>
      <c r="S43" s="3312"/>
      <c r="T43" s="3312"/>
      <c r="U43" s="3312"/>
      <c r="V43" s="3312"/>
      <c r="W43" s="3312"/>
      <c r="X43" s="755"/>
      <c r="Y43" s="755"/>
      <c r="Z43" s="755"/>
      <c r="AA43" s="755"/>
      <c r="AB43" s="755"/>
      <c r="AC43" s="755"/>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2660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2661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2662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9" t="s">
        <v>2663</v>
      </c>
      <c r="B51" s="755"/>
      <c r="C51" s="760"/>
      <c r="D51" s="760"/>
      <c r="E51" s="760"/>
      <c r="F51" s="761"/>
      <c r="G51" s="761"/>
      <c r="H51" s="760"/>
      <c r="I51" s="760"/>
      <c r="J51" s="760"/>
      <c r="K51" s="1154"/>
      <c r="L51" s="1155"/>
      <c r="M51" s="1153"/>
      <c r="N51" s="1153"/>
      <c r="O51" s="1153"/>
      <c r="P51" s="500"/>
      <c r="Q51" s="501"/>
    </row>
    <row r="52" spans="1:17" s="505" customFormat="1" ht="15">
      <c r="A52" s="502" t="s">
        <v>2537</v>
      </c>
      <c r="B52" s="503"/>
      <c r="C52" s="1567" t="str">
        <f>YEAR(C7)&amp;"-"&amp;MONTH(C7)</f>
        <v>2019-11</v>
      </c>
      <c r="D52" s="1568">
        <f>EDATE(C52,-1)</f>
        <v>43739</v>
      </c>
      <c r="E52" s="1568">
        <f t="shared" ref="E52:O52" si="13">EDATE(D52,-1)</f>
        <v>43709</v>
      </c>
      <c r="F52" s="1568">
        <f t="shared" si="13"/>
        <v>43678</v>
      </c>
      <c r="G52" s="1568">
        <f t="shared" si="13"/>
        <v>43647</v>
      </c>
      <c r="H52" s="1568">
        <f t="shared" si="13"/>
        <v>43617</v>
      </c>
      <c r="I52" s="1568">
        <f t="shared" si="13"/>
        <v>43586</v>
      </c>
      <c r="J52" s="1568">
        <f t="shared" si="13"/>
        <v>43556</v>
      </c>
      <c r="K52" s="1568">
        <f t="shared" si="13"/>
        <v>43525</v>
      </c>
      <c r="L52" s="1568">
        <f t="shared" si="13"/>
        <v>43497</v>
      </c>
      <c r="M52" s="1568">
        <f t="shared" si="13"/>
        <v>43466</v>
      </c>
      <c r="N52" s="1568">
        <f t="shared" si="13"/>
        <v>43435</v>
      </c>
      <c r="O52" s="1568">
        <f t="shared" si="13"/>
        <v>43405</v>
      </c>
      <c r="P52" s="504"/>
    </row>
    <row r="53" spans="1:17" s="116" customFormat="1" ht="15">
      <c r="A53" s="506"/>
      <c r="B53" s="507"/>
      <c r="C53" s="1566">
        <v>100</v>
      </c>
      <c r="D53" s="509"/>
      <c r="E53" s="509"/>
      <c r="F53" s="509"/>
      <c r="G53" s="509"/>
      <c r="H53" s="509"/>
      <c r="I53" s="509"/>
      <c r="J53" s="509"/>
      <c r="K53" s="509"/>
      <c r="L53" s="509"/>
      <c r="M53" s="510"/>
      <c r="N53" s="509"/>
      <c r="O53" s="511"/>
      <c r="P53" s="501"/>
    </row>
    <row r="54" spans="1:17" s="116" customFormat="1" ht="15.75" thickBot="1">
      <c r="A54" s="512" t="s">
        <v>2574</v>
      </c>
      <c r="B54" s="513"/>
      <c r="C54" s="514"/>
      <c r="D54" s="515"/>
      <c r="E54" s="515"/>
      <c r="F54" s="515"/>
      <c r="G54" s="515"/>
      <c r="H54" s="515"/>
      <c r="I54" s="515"/>
      <c r="J54" s="515"/>
      <c r="K54" s="515"/>
      <c r="L54" s="515"/>
      <c r="M54" s="516"/>
      <c r="N54" s="515"/>
      <c r="O54" s="517"/>
      <c r="P54" s="501"/>
      <c r="Q54" s="501"/>
    </row>
    <row r="55" spans="1:17" s="116" customFormat="1" ht="15">
      <c r="A55" s="518" t="s">
        <v>2539</v>
      </c>
      <c r="B55" s="507"/>
      <c r="C55" s="519" t="s">
        <v>2641</v>
      </c>
      <c r="D55" s="520"/>
      <c r="E55" s="520"/>
      <c r="F55" s="520"/>
      <c r="G55" s="520"/>
      <c r="H55" s="520"/>
      <c r="I55" s="520"/>
      <c r="J55" s="520"/>
      <c r="K55" s="520"/>
      <c r="L55" s="521"/>
      <c r="M55" s="522"/>
      <c r="N55" s="1145"/>
      <c r="O55" s="1145"/>
      <c r="P55" s="523"/>
      <c r="Q55" s="501"/>
    </row>
    <row r="56" spans="1:17" s="116" customFormat="1" ht="15.75" thickBot="1">
      <c r="A56" s="518"/>
      <c r="B56" s="507"/>
      <c r="C56" s="636">
        <v>100</v>
      </c>
      <c r="D56" s="509"/>
      <c r="E56" s="509"/>
      <c r="F56" s="509"/>
      <c r="G56" s="509"/>
      <c r="H56" s="509"/>
      <c r="I56" s="509"/>
      <c r="J56" s="509"/>
      <c r="K56" s="509"/>
      <c r="L56" s="509"/>
      <c r="M56" s="511"/>
      <c r="N56" s="1145"/>
      <c r="O56" s="1145"/>
      <c r="P56" s="501"/>
      <c r="Q56" s="501"/>
    </row>
    <row r="57" spans="1:17">
      <c r="A57" s="524" t="s">
        <v>2577</v>
      </c>
      <c r="B57" s="525" t="s">
        <v>2543</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2546</v>
      </c>
      <c r="C59" s="536" t="s">
        <v>2578</v>
      </c>
      <c r="D59" s="536" t="s">
        <v>2579</v>
      </c>
      <c r="E59" s="536" t="s">
        <v>2580</v>
      </c>
      <c r="F59" s="536" t="s">
        <v>2581</v>
      </c>
      <c r="G59" s="536" t="s">
        <v>2582</v>
      </c>
      <c r="H59" s="536" t="s">
        <v>2583</v>
      </c>
      <c r="I59" s="536" t="s">
        <v>2584</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2547</v>
      </c>
      <c r="C61" s="544" t="str">
        <f>C62&amp;"（含）"&amp;"-"&amp;D62</f>
        <v>（含）-</v>
      </c>
      <c r="D61" s="544" t="str">
        <f t="shared" ref="D61:L61" si="14">D62&amp;"（含）"&amp;"-"&amp;E62</f>
        <v>（含）-</v>
      </c>
      <c r="E61" s="544" t="str">
        <f t="shared" si="14"/>
        <v>（含）-</v>
      </c>
      <c r="F61" s="544" t="str">
        <f t="shared" si="14"/>
        <v>（含）-</v>
      </c>
      <c r="G61" s="544" t="str">
        <f t="shared" si="14"/>
        <v>（含）-</v>
      </c>
      <c r="H61" s="544" t="str">
        <f t="shared" si="14"/>
        <v>（含）-</v>
      </c>
      <c r="I61" s="544" t="str">
        <f t="shared" si="14"/>
        <v>（含）-</v>
      </c>
      <c r="J61" s="544" t="str">
        <f t="shared" si="14"/>
        <v>（含）-</v>
      </c>
      <c r="K61" s="544" t="str">
        <f t="shared" si="14"/>
        <v>（含）-</v>
      </c>
      <c r="L61" s="544" t="str">
        <f t="shared" si="14"/>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5">C63-$K11</f>
        <v>100</v>
      </c>
      <c r="E63" s="541">
        <f t="shared" si="15"/>
        <v>100</v>
      </c>
      <c r="F63" s="541">
        <f t="shared" si="15"/>
        <v>100</v>
      </c>
      <c r="G63" s="541">
        <f t="shared" si="15"/>
        <v>100</v>
      </c>
      <c r="H63" s="541">
        <f t="shared" si="15"/>
        <v>100</v>
      </c>
      <c r="I63" s="541">
        <f t="shared" si="15"/>
        <v>100</v>
      </c>
      <c r="J63" s="541">
        <f t="shared" si="15"/>
        <v>100</v>
      </c>
      <c r="K63" s="541">
        <f t="shared" si="15"/>
        <v>100</v>
      </c>
      <c r="L63" s="541">
        <f t="shared" si="15"/>
        <v>100</v>
      </c>
      <c r="M63" s="542">
        <f t="shared" si="15"/>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2548</v>
      </c>
      <c r="B70" s="525" t="s">
        <v>2694</v>
      </c>
      <c r="C70" s="570" t="s">
        <v>2586</v>
      </c>
      <c r="D70" s="570" t="s">
        <v>2587</v>
      </c>
      <c r="E70" s="570" t="s">
        <v>2588</v>
      </c>
      <c r="F70" s="570" t="s">
        <v>2589</v>
      </c>
      <c r="G70" s="570" t="s">
        <v>2590</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2591</v>
      </c>
      <c r="C72" s="575" t="s">
        <v>2586</v>
      </c>
      <c r="D72" s="575" t="s">
        <v>2587</v>
      </c>
      <c r="E72" s="575" t="s">
        <v>2588</v>
      </c>
      <c r="F72" s="575" t="s">
        <v>2589</v>
      </c>
      <c r="G72" s="575" t="s">
        <v>2590</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2592</v>
      </c>
      <c r="C74" s="575" t="s">
        <v>2586</v>
      </c>
      <c r="D74" s="575" t="s">
        <v>2587</v>
      </c>
      <c r="E74" s="575" t="s">
        <v>2588</v>
      </c>
      <c r="F74" s="575" t="s">
        <v>2589</v>
      </c>
      <c r="G74" s="575" t="s">
        <v>2590</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2678</v>
      </c>
      <c r="C76" s="657" t="s">
        <v>2664</v>
      </c>
      <c r="D76" s="657" t="s">
        <v>2665</v>
      </c>
      <c r="E76" s="657" t="s">
        <v>2666</v>
      </c>
      <c r="F76" s="657" t="s">
        <v>2667</v>
      </c>
      <c r="G76" s="657" t="s">
        <v>2668</v>
      </c>
      <c r="H76" s="536"/>
      <c r="I76" s="536"/>
      <c r="J76" s="536"/>
      <c r="K76" s="536"/>
      <c r="L76" s="536"/>
      <c r="M76" s="1376"/>
      <c r="N76" s="1147"/>
      <c r="O76" s="1147"/>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7"/>
      <c r="O77" s="1147"/>
      <c r="P77" s="45"/>
      <c r="Q77" s="501"/>
    </row>
    <row r="78" spans="1:17" ht="15.75" thickTop="1">
      <c r="A78" s="531"/>
      <c r="B78" s="535" t="s">
        <v>2687</v>
      </c>
      <c r="C78" s="575" t="s">
        <v>2586</v>
      </c>
      <c r="D78" s="575" t="s">
        <v>2587</v>
      </c>
      <c r="E78" s="575" t="s">
        <v>2588</v>
      </c>
      <c r="F78" s="575" t="s">
        <v>2589</v>
      </c>
      <c r="G78" s="575" t="s">
        <v>2590</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6" customFormat="1" ht="15.75" thickTop="1">
      <c r="A80" s="576"/>
      <c r="B80" s="535">
        <f>B25</f>
        <v>111</v>
      </c>
      <c r="C80" s="551"/>
      <c r="D80" s="551"/>
      <c r="E80" s="551"/>
      <c r="F80" s="551"/>
      <c r="G80" s="551"/>
      <c r="H80" s="551"/>
      <c r="I80" s="551"/>
      <c r="J80" s="551"/>
      <c r="K80" s="551"/>
      <c r="L80" s="577"/>
      <c r="M80" s="578"/>
      <c r="N80" s="1145"/>
      <c r="O80" s="1145"/>
      <c r="P80" s="45"/>
      <c r="Q80" s="501"/>
    </row>
    <row r="81" spans="1:17" s="116" customFormat="1" ht="15.75" thickBot="1">
      <c r="A81" s="576"/>
      <c r="B81" s="540"/>
      <c r="C81" s="557"/>
      <c r="D81" s="533"/>
      <c r="E81" s="533"/>
      <c r="F81" s="533"/>
      <c r="G81" s="533"/>
      <c r="H81" s="533"/>
      <c r="I81" s="533"/>
      <c r="J81" s="533"/>
      <c r="K81" s="533"/>
      <c r="L81" s="533"/>
      <c r="M81" s="534"/>
      <c r="N81" s="1147"/>
      <c r="O81" s="1147"/>
      <c r="P81" s="45"/>
      <c r="Q81" s="501"/>
    </row>
    <row r="82" spans="1:17" s="116" customFormat="1" ht="15.75" thickTop="1">
      <c r="A82" s="576"/>
      <c r="B82" s="535">
        <f>B26</f>
        <v>111</v>
      </c>
      <c r="C82" s="551"/>
      <c r="D82" s="551"/>
      <c r="E82" s="551"/>
      <c r="F82" s="551"/>
      <c r="G82" s="551"/>
      <c r="H82" s="551"/>
      <c r="I82" s="551"/>
      <c r="J82" s="551"/>
      <c r="K82" s="551"/>
      <c r="L82" s="577"/>
      <c r="M82" s="578"/>
      <c r="N82" s="1145"/>
      <c r="O82" s="1145"/>
      <c r="P82" s="45"/>
      <c r="Q82" s="501"/>
    </row>
    <row r="83" spans="1:17" s="116"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6"/>
      <c r="B87" s="566"/>
      <c r="C87" s="567"/>
      <c r="D87" s="567"/>
      <c r="E87" s="567"/>
      <c r="F87" s="567"/>
      <c r="G87" s="588"/>
      <c r="H87" s="588"/>
      <c r="I87" s="588"/>
      <c r="J87" s="588"/>
      <c r="K87" s="588"/>
      <c r="L87" s="588"/>
      <c r="M87" s="589"/>
      <c r="N87" s="1147"/>
      <c r="O87" s="1147"/>
      <c r="P87" s="45"/>
      <c r="Q87" s="501"/>
    </row>
    <row r="88" spans="1:17">
      <c r="A88" s="524" t="s">
        <v>2552</v>
      </c>
      <c r="B88" s="525" t="s">
        <v>2601</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6">C89-$K29</f>
        <v>100</v>
      </c>
      <c r="E89" s="541">
        <f t="shared" si="16"/>
        <v>100</v>
      </c>
      <c r="F89" s="541">
        <f t="shared" si="16"/>
        <v>100</v>
      </c>
      <c r="G89" s="541">
        <f t="shared" si="16"/>
        <v>100</v>
      </c>
      <c r="H89" s="541">
        <f t="shared" si="16"/>
        <v>100</v>
      </c>
      <c r="I89" s="541">
        <f t="shared" si="16"/>
        <v>100</v>
      </c>
      <c r="J89" s="541">
        <f t="shared" si="16"/>
        <v>100</v>
      </c>
      <c r="K89" s="541">
        <f t="shared" si="16"/>
        <v>100</v>
      </c>
      <c r="L89" s="541">
        <f t="shared" si="16"/>
        <v>100</v>
      </c>
      <c r="M89" s="542">
        <f t="shared" si="16"/>
        <v>100</v>
      </c>
      <c r="N89" s="1147"/>
      <c r="O89" s="1147"/>
      <c r="P89" s="45"/>
      <c r="Q89" s="501"/>
    </row>
    <row r="90" spans="1:17" ht="15.75" thickTop="1">
      <c r="A90" s="531"/>
      <c r="B90" s="535" t="s">
        <v>2602</v>
      </c>
      <c r="C90" s="575" t="str">
        <f>C91&amp;"(含)"&amp;"-"&amp;D91</f>
        <v>(含)-</v>
      </c>
      <c r="D90" s="575" t="str">
        <f t="shared" ref="D90:L90" si="17">D91&amp;"(含)"&amp;"-"&amp;E91</f>
        <v>(含)-</v>
      </c>
      <c r="E90" s="575" t="str">
        <f t="shared" si="17"/>
        <v>(含)-</v>
      </c>
      <c r="F90" s="575" t="str">
        <f t="shared" si="17"/>
        <v>(含)-</v>
      </c>
      <c r="G90" s="575" t="str">
        <f t="shared" si="17"/>
        <v>(含)-</v>
      </c>
      <c r="H90" s="575" t="str">
        <f t="shared" si="17"/>
        <v>(含)-</v>
      </c>
      <c r="I90" s="575" t="str">
        <f t="shared" si="17"/>
        <v>(含)-</v>
      </c>
      <c r="J90" s="575" t="str">
        <f t="shared" si="17"/>
        <v>(含)-</v>
      </c>
      <c r="K90" s="575" t="str">
        <f t="shared" si="17"/>
        <v>(含)-</v>
      </c>
      <c r="L90" s="575" t="str">
        <f t="shared" si="17"/>
        <v>(含)-</v>
      </c>
      <c r="M90" s="619"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2603</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18">C94-$K31</f>
        <v>100</v>
      </c>
      <c r="E94" s="541">
        <f t="shared" si="18"/>
        <v>100</v>
      </c>
      <c r="F94" s="541">
        <f t="shared" si="18"/>
        <v>100</v>
      </c>
      <c r="G94" s="541">
        <f t="shared" si="18"/>
        <v>100</v>
      </c>
      <c r="H94" s="541">
        <f t="shared" si="18"/>
        <v>100</v>
      </c>
      <c r="I94" s="541">
        <f t="shared" si="18"/>
        <v>100</v>
      </c>
      <c r="J94" s="541">
        <f t="shared" si="18"/>
        <v>100</v>
      </c>
      <c r="K94" s="541">
        <f t="shared" si="18"/>
        <v>100</v>
      </c>
      <c r="L94" s="541">
        <f t="shared" si="18"/>
        <v>100</v>
      </c>
      <c r="M94" s="542">
        <f t="shared" si="18"/>
        <v>100</v>
      </c>
      <c r="N94" s="1147"/>
      <c r="O94" s="1147"/>
      <c r="P94" s="45"/>
      <c r="Q94" s="501"/>
    </row>
    <row r="95" spans="1:17" ht="15" thickTop="1">
      <c r="A95" s="596"/>
      <c r="B95" s="535" t="s">
        <v>2605</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19">C96-$K32</f>
        <v>100</v>
      </c>
      <c r="E96" s="541">
        <f t="shared" si="19"/>
        <v>100</v>
      </c>
      <c r="F96" s="541">
        <f t="shared" si="19"/>
        <v>100</v>
      </c>
      <c r="G96" s="541">
        <f t="shared" si="19"/>
        <v>100</v>
      </c>
      <c r="H96" s="541">
        <f t="shared" si="19"/>
        <v>100</v>
      </c>
      <c r="I96" s="541">
        <f t="shared" si="19"/>
        <v>100</v>
      </c>
      <c r="J96" s="541">
        <f t="shared" si="19"/>
        <v>100</v>
      </c>
      <c r="K96" s="541">
        <f t="shared" si="19"/>
        <v>100</v>
      </c>
      <c r="L96" s="541">
        <f t="shared" si="19"/>
        <v>100</v>
      </c>
      <c r="M96" s="542">
        <f t="shared" si="19"/>
        <v>100</v>
      </c>
      <c r="N96" s="1147"/>
      <c r="O96" s="1147"/>
      <c r="P96" s="45"/>
      <c r="Q96" s="501"/>
    </row>
    <row r="97" spans="1:17" ht="15" thickTop="1">
      <c r="A97" s="596"/>
      <c r="B97" s="535" t="s">
        <v>1991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20"/>
      <c r="J98" s="620"/>
      <c r="K98" s="621"/>
      <c r="L98" s="622"/>
      <c r="M98" s="623"/>
      <c r="N98" s="1146"/>
      <c r="O98" s="1146"/>
      <c r="P98" s="45"/>
      <c r="Q98" s="501"/>
    </row>
    <row r="99" spans="1:17" ht="15.75" thickBot="1">
      <c r="A99" s="531"/>
      <c r="B99" s="540"/>
      <c r="C99" s="579">
        <v>100</v>
      </c>
      <c r="D99" s="541">
        <f>C99+$K33</f>
        <v>100</v>
      </c>
      <c r="E99" s="541">
        <f t="shared" ref="E99:M99" si="20">D99+$K33</f>
        <v>100</v>
      </c>
      <c r="F99" s="541">
        <f t="shared" si="20"/>
        <v>100</v>
      </c>
      <c r="G99" s="541">
        <f t="shared" si="20"/>
        <v>100</v>
      </c>
      <c r="H99" s="541">
        <f t="shared" si="20"/>
        <v>100</v>
      </c>
      <c r="I99" s="541">
        <f t="shared" si="20"/>
        <v>100</v>
      </c>
      <c r="J99" s="541">
        <f t="shared" si="20"/>
        <v>100</v>
      </c>
      <c r="K99" s="541">
        <f t="shared" si="20"/>
        <v>100</v>
      </c>
      <c r="L99" s="541">
        <f t="shared" si="20"/>
        <v>100</v>
      </c>
      <c r="M99" s="541">
        <f t="shared" si="20"/>
        <v>100</v>
      </c>
      <c r="N99" s="1147"/>
      <c r="O99" s="1147"/>
      <c r="P99" s="45"/>
      <c r="Q99" s="501"/>
    </row>
    <row r="100" spans="1:17" s="468" customFormat="1" ht="15" thickTop="1">
      <c r="A100" s="590"/>
      <c r="B100" s="535" t="s">
        <v>2606</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1">D101-$K34</f>
        <v>100</v>
      </c>
      <c r="F101" s="541">
        <f t="shared" si="21"/>
        <v>100</v>
      </c>
      <c r="G101" s="541">
        <f t="shared" si="21"/>
        <v>100</v>
      </c>
      <c r="H101" s="541">
        <f t="shared" si="21"/>
        <v>100</v>
      </c>
      <c r="I101" s="541">
        <f t="shared" si="21"/>
        <v>100</v>
      </c>
      <c r="J101" s="541">
        <f t="shared" si="21"/>
        <v>100</v>
      </c>
      <c r="K101" s="541">
        <f t="shared" si="21"/>
        <v>100</v>
      </c>
      <c r="L101" s="541">
        <f t="shared" si="21"/>
        <v>100</v>
      </c>
      <c r="M101" s="541">
        <f t="shared" si="21"/>
        <v>100</v>
      </c>
      <c r="N101" s="1148"/>
      <c r="O101" s="1148"/>
      <c r="P101" s="555"/>
      <c r="Q101" s="556"/>
    </row>
    <row r="102" spans="1:17" ht="15" thickTop="1">
      <c r="A102" s="596"/>
      <c r="B102" s="535" t="s">
        <v>2607</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2">C103-$K35</f>
        <v>100</v>
      </c>
      <c r="E103" s="541">
        <f t="shared" si="22"/>
        <v>100</v>
      </c>
      <c r="F103" s="541">
        <f t="shared" si="22"/>
        <v>100</v>
      </c>
      <c r="G103" s="541">
        <f t="shared" si="22"/>
        <v>100</v>
      </c>
      <c r="H103" s="541">
        <f t="shared" si="22"/>
        <v>100</v>
      </c>
      <c r="I103" s="541">
        <f t="shared" si="22"/>
        <v>100</v>
      </c>
      <c r="J103" s="541">
        <f t="shared" si="22"/>
        <v>100</v>
      </c>
      <c r="K103" s="541">
        <f t="shared" si="22"/>
        <v>100</v>
      </c>
      <c r="L103" s="541">
        <f t="shared" si="22"/>
        <v>100</v>
      </c>
      <c r="M103" s="542">
        <f t="shared" si="22"/>
        <v>100</v>
      </c>
      <c r="N103" s="1147"/>
      <c r="O103" s="1147"/>
      <c r="P103" s="45"/>
      <c r="Q103" s="501"/>
    </row>
    <row r="104" spans="1:17" ht="15" thickTop="1">
      <c r="A104" s="596"/>
      <c r="B104" s="535" t="s">
        <v>2609</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3" t="s">
        <v>2695</v>
      </c>
      <c r="C106" s="575" t="s">
        <v>2586</v>
      </c>
      <c r="D106" s="575" t="s">
        <v>2587</v>
      </c>
      <c r="E106" s="575" t="s">
        <v>2588</v>
      </c>
      <c r="F106" s="575" t="s">
        <v>2589</v>
      </c>
      <c r="G106" s="575" t="s">
        <v>2590</v>
      </c>
      <c r="H106" s="536"/>
      <c r="I106" s="536"/>
      <c r="J106" s="536"/>
      <c r="K106" s="537"/>
      <c r="L106" s="538"/>
      <c r="M106" s="539"/>
      <c r="N106" s="1147"/>
      <c r="O106" s="1147"/>
      <c r="P106" s="634"/>
      <c r="Q106" s="635"/>
    </row>
    <row r="107" spans="1:17" ht="15.75" thickBot="1">
      <c r="A107" s="531"/>
      <c r="B107" s="540"/>
      <c r="C107" s="579">
        <v>100</v>
      </c>
      <c r="D107" s="541">
        <f t="shared" ref="D107:M107" si="23">C107-$K37</f>
        <v>100</v>
      </c>
      <c r="E107" s="541">
        <f t="shared" si="23"/>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6"/>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5.5" style="400" customWidth="1"/>
    <col min="10" max="10" width="12.125" style="400" customWidth="1"/>
    <col min="11" max="11" width="12.125" style="492" customWidth="1"/>
    <col min="12" max="12" width="12.125" style="493" customWidth="1"/>
    <col min="13" max="15" width="12.125" style="400" customWidth="1"/>
    <col min="16" max="16" width="4.625" style="1117"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2" customFormat="1" ht="28.5" customHeight="1" thickBot="1">
      <c r="A1" s="1611" t="s">
        <v>2696</v>
      </c>
      <c r="B1" s="1612"/>
      <c r="C1" s="1613" t="s">
        <v>2519</v>
      </c>
      <c r="D1" s="1614"/>
      <c r="E1" s="1615"/>
      <c r="F1" s="2576"/>
      <c r="G1" s="1616" t="s">
        <v>2632</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5" customFormat="1" ht="28.5" customHeight="1" thickTop="1">
      <c r="A2" s="1610" t="s">
        <v>2319</v>
      </c>
      <c r="B2" s="1412" t="e">
        <f ca="1">IF(C2="——",IF(B37="元/平方米",ROUND(C39*D3/10000,0),ROUND(F3*C39/10000,0)),IF(B37="元/平方米",ROUND(C39*D3/10000,0),ROUND(F3*C39/10000,0))-D2)</f>
        <v>#DIV/0!</v>
      </c>
      <c r="C2" s="2578"/>
      <c r="D2" s="1118" t="e">
        <f ca="1">SUMIF(INDIRECT("'"&amp;F2&amp;"'"&amp;"!A:A"),"承租人权益价值",INDIRECT("'"&amp;F2&amp;"'"&amp;"!c:c"))</f>
        <v>#REF!</v>
      </c>
      <c r="E2" s="2579" t="s">
        <v>2320</v>
      </c>
      <c r="F2" s="2580"/>
      <c r="G2" s="1119"/>
      <c r="H2" s="1119"/>
      <c r="I2" s="1119"/>
      <c r="J2" s="1119"/>
      <c r="K2" s="1121"/>
      <c r="L2" s="1122"/>
      <c r="M2" s="1123"/>
      <c r="N2" s="1123"/>
      <c r="O2" s="1123"/>
      <c r="P2" s="1413"/>
      <c r="Q2" s="764"/>
      <c r="R2" s="764"/>
      <c r="S2" s="764"/>
      <c r="T2" s="764"/>
      <c r="U2" s="764"/>
      <c r="V2" s="764"/>
      <c r="W2" s="764"/>
      <c r="X2" s="764"/>
      <c r="Y2" s="764"/>
      <c r="Z2" s="764"/>
      <c r="AA2" s="764"/>
      <c r="AB2" s="764"/>
      <c r="AC2" s="765"/>
    </row>
    <row r="3" spans="1:29" s="395" customFormat="1" ht="28.5" customHeight="1" thickBot="1">
      <c r="A3" s="244" t="s">
        <v>2321</v>
      </c>
      <c r="B3" s="606" t="e">
        <f ca="1">IF(AND(C2="——",B37="元/平方米"),C39,ROUND(B2*10000/D3,0))</f>
        <v>#DIV/0!</v>
      </c>
      <c r="C3" s="397" t="s">
        <v>2633</v>
      </c>
      <c r="D3" s="396">
        <f>SUMIF('数据-汇总表'!$C19:$C33,D1,'数据-汇总表'!$E19:$E33)</f>
        <v>0</v>
      </c>
      <c r="E3" s="397" t="s">
        <v>2697</v>
      </c>
      <c r="F3" s="396">
        <f>SUMIF('数据-取费表'!A5:A15,D1,'数据-取费表'!AH5:AH15)</f>
        <v>0</v>
      </c>
      <c r="G3" s="1119"/>
      <c r="H3" s="1119"/>
      <c r="I3" s="1119"/>
      <c r="J3" s="1119"/>
      <c r="K3" s="1121"/>
      <c r="L3" s="1122"/>
      <c r="M3" s="1123"/>
      <c r="N3" s="1123"/>
      <c r="O3" s="1123"/>
      <c r="P3" s="1413"/>
      <c r="Q3" s="764"/>
      <c r="R3" s="764"/>
      <c r="S3" s="764"/>
      <c r="T3" s="764"/>
      <c r="U3" s="764"/>
      <c r="V3" s="764"/>
      <c r="W3" s="764"/>
      <c r="X3" s="764"/>
      <c r="Y3" s="764"/>
      <c r="Z3" s="764"/>
      <c r="AA3" s="764"/>
      <c r="AB3" s="782"/>
      <c r="AC3" s="778"/>
    </row>
    <row r="4" spans="1:29" ht="15">
      <c r="A4" s="398" t="s">
        <v>2634</v>
      </c>
      <c r="B4" s="399"/>
      <c r="C4" s="3264" t="s">
        <v>2635</v>
      </c>
      <c r="D4" s="3277"/>
      <c r="E4" s="3278" t="s">
        <v>2636</v>
      </c>
      <c r="F4" s="3279"/>
      <c r="G4" s="3264" t="s">
        <v>2637</v>
      </c>
      <c r="H4" s="3277"/>
      <c r="I4" s="3264" t="s">
        <v>2638</v>
      </c>
      <c r="J4" s="3277"/>
      <c r="K4" s="607" t="s">
        <v>2639</v>
      </c>
      <c r="L4" s="1124"/>
      <c r="M4" s="1125"/>
      <c r="N4" s="1125"/>
      <c r="O4" s="1125"/>
      <c r="P4" s="3280" t="s">
        <v>2640</v>
      </c>
      <c r="Q4" s="3281"/>
      <c r="R4" s="3286" t="s">
        <v>2636</v>
      </c>
      <c r="S4" s="3287"/>
      <c r="T4" s="3286" t="s">
        <v>2637</v>
      </c>
      <c r="U4" s="3287"/>
      <c r="V4" s="3273" t="s">
        <v>2638</v>
      </c>
      <c r="W4" s="3273"/>
      <c r="X4" s="1806"/>
      <c r="Y4" s="3286" t="s">
        <v>2640</v>
      </c>
      <c r="Z4" s="3287"/>
      <c r="AA4" s="3274" t="s">
        <v>2636</v>
      </c>
      <c r="AB4" s="3275" t="s">
        <v>2637</v>
      </c>
      <c r="AC4" s="3274" t="s">
        <v>2638</v>
      </c>
    </row>
    <row r="5" spans="1:29" ht="15">
      <c r="A5" s="401"/>
      <c r="B5" s="402"/>
      <c r="C5" s="3294" t="s">
        <v>2531</v>
      </c>
      <c r="D5" s="3295"/>
      <c r="E5" s="3301" t="s">
        <v>2532</v>
      </c>
      <c r="F5" s="3302"/>
      <c r="G5" s="3294" t="s">
        <v>2533</v>
      </c>
      <c r="H5" s="3295"/>
      <c r="I5" s="3294" t="s">
        <v>2534</v>
      </c>
      <c r="J5" s="3295"/>
      <c r="K5" s="607"/>
      <c r="L5" s="1124"/>
      <c r="M5" s="1125"/>
      <c r="N5" s="1125"/>
      <c r="O5" s="1125"/>
      <c r="P5" s="3282"/>
      <c r="Q5" s="3283"/>
      <c r="R5" s="3288"/>
      <c r="S5" s="3289"/>
      <c r="T5" s="3288"/>
      <c r="U5" s="3289"/>
      <c r="V5" s="3273"/>
      <c r="W5" s="3273"/>
      <c r="X5" s="1806"/>
      <c r="Y5" s="3288"/>
      <c r="Z5" s="3289"/>
      <c r="AA5" s="3275"/>
      <c r="AB5" s="3275"/>
      <c r="AC5" s="3275"/>
    </row>
    <row r="6" spans="1:29" ht="15.75" thickBot="1">
      <c r="A6" s="403"/>
      <c r="B6" s="404"/>
      <c r="C6" s="3292" t="s">
        <v>2535</v>
      </c>
      <c r="D6" s="3293"/>
      <c r="E6" s="3299" t="s">
        <v>2535</v>
      </c>
      <c r="F6" s="3300"/>
      <c r="G6" s="3292" t="s">
        <v>2535</v>
      </c>
      <c r="H6" s="3293"/>
      <c r="I6" s="3292" t="s">
        <v>2535</v>
      </c>
      <c r="J6" s="3293"/>
      <c r="K6" s="607" t="s">
        <v>2536</v>
      </c>
      <c r="L6" s="1124"/>
      <c r="M6" s="1125"/>
      <c r="N6" s="1125"/>
      <c r="O6" s="1125"/>
      <c r="P6" s="3284"/>
      <c r="Q6" s="3285"/>
      <c r="R6" s="3288"/>
      <c r="S6" s="3289"/>
      <c r="T6" s="3290"/>
      <c r="U6" s="3291"/>
      <c r="V6" s="3273"/>
      <c r="W6" s="3273"/>
      <c r="X6" s="1806"/>
      <c r="Y6" s="3290"/>
      <c r="Z6" s="3291"/>
      <c r="AA6" s="3276"/>
      <c r="AB6" s="3276"/>
      <c r="AC6" s="3276"/>
    </row>
    <row r="7" spans="1:29" s="116" customFormat="1" ht="15.75" thickBot="1">
      <c r="A7" s="405" t="s">
        <v>2537</v>
      </c>
      <c r="B7" s="406"/>
      <c r="C7" s="407">
        <f>'数据-取费表'!B2</f>
        <v>43782</v>
      </c>
      <c r="D7" s="408">
        <v>100</v>
      </c>
      <c r="E7" s="409"/>
      <c r="F7" s="410">
        <f>SUMIF(48:48,YEAR(E7)&amp;"-"&amp;MONTH(E7),49:49)</f>
        <v>0</v>
      </c>
      <c r="G7" s="409"/>
      <c r="H7" s="408">
        <f>SUMIF(48:48,YEAR(G7)&amp;"-"&amp;MONTH(G7),49:49)</f>
        <v>0</v>
      </c>
      <c r="I7" s="409"/>
      <c r="J7" s="408">
        <f>SUMIF(48:48,YEAR(I7)&amp;"-"&amp;MONTH(I7),49:49)</f>
        <v>0</v>
      </c>
      <c r="K7" s="608"/>
      <c r="L7" s="1126"/>
      <c r="M7" s="1127"/>
      <c r="N7" s="1127"/>
      <c r="O7" s="1127"/>
      <c r="P7" s="3296" t="s">
        <v>2538</v>
      </c>
      <c r="Q7" s="3298"/>
      <c r="R7" s="766" t="s">
        <v>17</v>
      </c>
      <c r="S7" s="767">
        <f t="shared" ref="S7:S14" si="0">F7</f>
        <v>0</v>
      </c>
      <c r="T7" s="766" t="s">
        <v>17</v>
      </c>
      <c r="U7" s="767">
        <f t="shared" ref="U7:U14" si="1">H7</f>
        <v>0</v>
      </c>
      <c r="V7" s="766" t="s">
        <v>17</v>
      </c>
      <c r="W7" s="767">
        <f t="shared" ref="W7:W14" si="2">J7</f>
        <v>0</v>
      </c>
      <c r="X7" s="768"/>
      <c r="Y7" s="3296" t="s">
        <v>2538</v>
      </c>
      <c r="Z7" s="3297"/>
      <c r="AA7" s="769" t="e">
        <f>D7/F7</f>
        <v>#DIV/0!</v>
      </c>
      <c r="AB7" s="769" t="e">
        <f>D7/H7</f>
        <v>#DIV/0!</v>
      </c>
      <c r="AC7" s="769" t="e">
        <f>D7/J7</f>
        <v>#DIV/0!</v>
      </c>
    </row>
    <row r="8" spans="1:29" s="116" customFormat="1" ht="15.75" thickBot="1">
      <c r="A8" s="405" t="s">
        <v>2539</v>
      </c>
      <c r="B8" s="406"/>
      <c r="C8" s="411" t="s">
        <v>2641</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296" t="s">
        <v>2541</v>
      </c>
      <c r="Q8" s="3297"/>
      <c r="R8" s="766" t="s">
        <v>17</v>
      </c>
      <c r="S8" s="767">
        <f t="shared" si="0"/>
        <v>0</v>
      </c>
      <c r="T8" s="766" t="s">
        <v>17</v>
      </c>
      <c r="U8" s="767">
        <f t="shared" si="1"/>
        <v>0</v>
      </c>
      <c r="V8" s="766" t="s">
        <v>17</v>
      </c>
      <c r="W8" s="767">
        <f t="shared" si="2"/>
        <v>0</v>
      </c>
      <c r="X8" s="768"/>
      <c r="Y8" s="3296" t="s">
        <v>2541</v>
      </c>
      <c r="Z8" s="3297"/>
      <c r="AA8" s="769" t="e">
        <f t="shared" ref="AA8:AA36" si="3">D8/F8</f>
        <v>#DIV/0!</v>
      </c>
      <c r="AB8" s="769" t="e">
        <f t="shared" ref="AB8:AB36" si="4">D8/H8</f>
        <v>#DIV/0!</v>
      </c>
      <c r="AC8" s="769" t="e">
        <f t="shared" ref="AC8:AC36" si="5">D8/J8</f>
        <v>#DIV/0!</v>
      </c>
    </row>
    <row r="9" spans="1:29" s="116" customFormat="1">
      <c r="A9" s="68" t="s">
        <v>2542</v>
      </c>
      <c r="B9" s="637" t="s">
        <v>2543</v>
      </c>
      <c r="C9" s="413"/>
      <c r="D9" s="132">
        <v>100</v>
      </c>
      <c r="E9" s="416"/>
      <c r="F9" s="132">
        <f>SUMIF(53:53,E9,54:54)-SUMIF(53:53,C9,54:54)+100</f>
        <v>100</v>
      </c>
      <c r="G9" s="414"/>
      <c r="H9" s="132">
        <f>SUMIF(53:53,G9,54:54)-SUMIF(53:53,C9,54:54)+100</f>
        <v>100</v>
      </c>
      <c r="I9" s="414"/>
      <c r="J9" s="132">
        <f>SUMIF(53:53,I9,54:54)-SUMIF(53:53,C9,54:54)+100</f>
        <v>100</v>
      </c>
      <c r="K9" s="608"/>
      <c r="L9" s="1126"/>
      <c r="M9" s="1127"/>
      <c r="N9" s="1127"/>
      <c r="O9" s="1127"/>
      <c r="P9" s="3267" t="s">
        <v>2544</v>
      </c>
      <c r="Q9" s="1788" t="str">
        <f t="shared" ref="Q9:Q14" si="6">B9</f>
        <v>用途</v>
      </c>
      <c r="R9" s="766" t="s">
        <v>17</v>
      </c>
      <c r="S9" s="767">
        <f t="shared" si="0"/>
        <v>100</v>
      </c>
      <c r="T9" s="766" t="s">
        <v>17</v>
      </c>
      <c r="U9" s="767">
        <f t="shared" si="1"/>
        <v>100</v>
      </c>
      <c r="V9" s="766" t="s">
        <v>17</v>
      </c>
      <c r="W9" s="767">
        <f t="shared" si="2"/>
        <v>100</v>
      </c>
      <c r="X9" s="768"/>
      <c r="Y9" s="3087" t="s">
        <v>2545</v>
      </c>
      <c r="Z9" s="55" t="str">
        <f t="shared" ref="Z9:Z14" si="7">Q9</f>
        <v>用途</v>
      </c>
      <c r="AA9" s="769">
        <f t="shared" si="3"/>
        <v>1</v>
      </c>
      <c r="AB9" s="769">
        <f t="shared" si="4"/>
        <v>1</v>
      </c>
      <c r="AC9" s="769">
        <f t="shared" si="5"/>
        <v>1</v>
      </c>
    </row>
    <row r="10" spans="1:29" s="424" customFormat="1" ht="27">
      <c r="A10" s="638"/>
      <c r="B10" s="639" t="s">
        <v>2546</v>
      </c>
      <c r="C10" s="420"/>
      <c r="D10" s="133">
        <v>100</v>
      </c>
      <c r="E10" s="420"/>
      <c r="F10" s="133">
        <f>SUMIF(55:55,E10,56:56)-SUMIF(55:55,C10,56:56)+100</f>
        <v>100</v>
      </c>
      <c r="G10" s="421"/>
      <c r="H10" s="133">
        <f>SUMIF(55:55,G10,56:56)-SUMIF(55:55,C10,56:56)+100</f>
        <v>100</v>
      </c>
      <c r="I10" s="420"/>
      <c r="J10" s="133">
        <f>SUMIF(55:55,I10,56:56)-SUMIF(55:55,C10,56:56)+100</f>
        <v>100</v>
      </c>
      <c r="K10" s="609"/>
      <c r="L10" s="1129"/>
      <c r="M10" s="1130"/>
      <c r="N10" s="1130"/>
      <c r="O10" s="1130"/>
      <c r="P10" s="3267"/>
      <c r="Q10" s="1788" t="str">
        <f t="shared" si="6"/>
        <v>土地使用年限（年）</v>
      </c>
      <c r="R10" s="766" t="s">
        <v>17</v>
      </c>
      <c r="S10" s="767">
        <f t="shared" si="0"/>
        <v>100</v>
      </c>
      <c r="T10" s="766" t="s">
        <v>17</v>
      </c>
      <c r="U10" s="767">
        <f t="shared" si="1"/>
        <v>100</v>
      </c>
      <c r="V10" s="766" t="s">
        <v>17</v>
      </c>
      <c r="W10" s="767">
        <f t="shared" si="2"/>
        <v>100</v>
      </c>
      <c r="X10" s="768"/>
      <c r="Y10" s="3087"/>
      <c r="Z10" s="55" t="str">
        <f t="shared" si="7"/>
        <v>土地使用年限（年）</v>
      </c>
      <c r="AA10" s="769">
        <f t="shared" si="3"/>
        <v>1</v>
      </c>
      <c r="AB10" s="769">
        <f t="shared" si="4"/>
        <v>1</v>
      </c>
      <c r="AC10" s="769">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2"/>
      <c r="M11" s="1125"/>
      <c r="N11" s="1125"/>
      <c r="O11" s="1125"/>
      <c r="P11" s="3267"/>
      <c r="Q11" s="1788">
        <f t="shared" si="6"/>
        <v>111</v>
      </c>
      <c r="R11" s="766" t="s">
        <v>17</v>
      </c>
      <c r="S11" s="767">
        <f t="shared" si="0"/>
        <v>100</v>
      </c>
      <c r="T11" s="766" t="s">
        <v>17</v>
      </c>
      <c r="U11" s="767">
        <f t="shared" si="1"/>
        <v>100</v>
      </c>
      <c r="V11" s="766" t="s">
        <v>17</v>
      </c>
      <c r="W11" s="767">
        <f t="shared" si="2"/>
        <v>100</v>
      </c>
      <c r="X11" s="768"/>
      <c r="Y11" s="3087"/>
      <c r="Z11" s="55">
        <f t="shared" si="7"/>
        <v>111</v>
      </c>
      <c r="AA11" s="769">
        <f t="shared" si="3"/>
        <v>1</v>
      </c>
      <c r="AB11" s="769">
        <f t="shared" si="4"/>
        <v>1</v>
      </c>
      <c r="AC11" s="769">
        <f t="shared" si="5"/>
        <v>1</v>
      </c>
    </row>
    <row r="12" spans="1:29" s="116"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6"/>
      <c r="M12" s="1127"/>
      <c r="N12" s="1127"/>
      <c r="O12" s="1127"/>
      <c r="P12" s="3267"/>
      <c r="Q12" s="1788">
        <f t="shared" si="6"/>
        <v>111</v>
      </c>
      <c r="R12" s="766" t="s">
        <v>17</v>
      </c>
      <c r="S12" s="767">
        <f t="shared" si="0"/>
        <v>100</v>
      </c>
      <c r="T12" s="766" t="s">
        <v>17</v>
      </c>
      <c r="U12" s="767">
        <f t="shared" si="1"/>
        <v>100</v>
      </c>
      <c r="V12" s="766" t="s">
        <v>17</v>
      </c>
      <c r="W12" s="767">
        <f t="shared" si="2"/>
        <v>100</v>
      </c>
      <c r="X12" s="768"/>
      <c r="Y12" s="3087"/>
      <c r="Z12" s="55">
        <f t="shared" si="7"/>
        <v>111</v>
      </c>
      <c r="AA12" s="769">
        <f>D12/F12</f>
        <v>1</v>
      </c>
      <c r="AB12" s="769">
        <f>D12/H12</f>
        <v>1</v>
      </c>
      <c r="AC12" s="769">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4"/>
      <c r="M13" s="1125"/>
      <c r="N13" s="1125"/>
      <c r="O13" s="1125"/>
      <c r="P13" s="3267"/>
      <c r="Q13" s="1788">
        <f t="shared" si="6"/>
        <v>111</v>
      </c>
      <c r="R13" s="766" t="s">
        <v>17</v>
      </c>
      <c r="S13" s="767">
        <f t="shared" si="0"/>
        <v>100</v>
      </c>
      <c r="T13" s="766" t="s">
        <v>17</v>
      </c>
      <c r="U13" s="767">
        <f t="shared" si="1"/>
        <v>100</v>
      </c>
      <c r="V13" s="766" t="s">
        <v>17</v>
      </c>
      <c r="W13" s="767">
        <f t="shared" si="2"/>
        <v>100</v>
      </c>
      <c r="X13" s="768"/>
      <c r="Y13" s="3087"/>
      <c r="Z13" s="55">
        <f t="shared" si="7"/>
        <v>111</v>
      </c>
      <c r="AA13" s="769">
        <f t="shared" si="3"/>
        <v>1</v>
      </c>
      <c r="AB13" s="769">
        <f t="shared" si="4"/>
        <v>1</v>
      </c>
      <c r="AC13" s="769">
        <f t="shared" si="5"/>
        <v>1</v>
      </c>
    </row>
    <row r="14" spans="1:29" ht="85.5">
      <c r="A14" s="398" t="s">
        <v>2548</v>
      </c>
      <c r="B14" s="626" t="s">
        <v>2698</v>
      </c>
      <c r="C14" s="2683"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69" t="s">
        <v>2549</v>
      </c>
      <c r="Q14" s="1803" t="str">
        <f t="shared" si="6"/>
        <v>交通便捷度</v>
      </c>
      <c r="R14" s="770" t="s">
        <v>17</v>
      </c>
      <c r="S14" s="771">
        <f t="shared" si="0"/>
        <v>100</v>
      </c>
      <c r="T14" s="770" t="s">
        <v>17</v>
      </c>
      <c r="U14" s="771">
        <f t="shared" si="1"/>
        <v>100</v>
      </c>
      <c r="V14" s="770" t="s">
        <v>17</v>
      </c>
      <c r="W14" s="771">
        <f t="shared" si="2"/>
        <v>100</v>
      </c>
      <c r="X14" s="1806"/>
      <c r="Y14" s="3269" t="s">
        <v>2549</v>
      </c>
      <c r="Z14" s="1807" t="str">
        <f t="shared" si="7"/>
        <v>交通便捷度</v>
      </c>
      <c r="AA14" s="1804">
        <f t="shared" si="3"/>
        <v>1</v>
      </c>
      <c r="AB14" s="1804">
        <f t="shared" si="4"/>
        <v>1</v>
      </c>
      <c r="AC14" s="1804">
        <f t="shared" si="5"/>
        <v>1</v>
      </c>
    </row>
    <row r="15" spans="1:29" ht="15">
      <c r="A15" s="401"/>
      <c r="B15" s="644"/>
      <c r="C15" s="444"/>
      <c r="D15" s="445"/>
      <c r="E15" s="444"/>
      <c r="F15" s="446"/>
      <c r="G15" s="444"/>
      <c r="H15" s="447"/>
      <c r="I15" s="444"/>
      <c r="J15" s="445"/>
      <c r="K15" s="612"/>
      <c r="L15" s="1134"/>
      <c r="M15" s="1125"/>
      <c r="N15" s="1125"/>
      <c r="O15" s="1125"/>
      <c r="P15" s="3270"/>
      <c r="Q15" s="1803"/>
      <c r="R15" s="770"/>
      <c r="S15" s="771"/>
      <c r="T15" s="770"/>
      <c r="U15" s="771"/>
      <c r="V15" s="770"/>
      <c r="W15" s="771"/>
      <c r="X15" s="1806"/>
      <c r="Y15" s="3270"/>
      <c r="Z15" s="1807"/>
      <c r="AA15" s="1804">
        <v>1</v>
      </c>
      <c r="AB15" s="1804">
        <v>1</v>
      </c>
      <c r="AC15" s="1804">
        <v>1</v>
      </c>
    </row>
    <row r="16" spans="1:29" ht="42.75">
      <c r="A16" s="401"/>
      <c r="B16" s="628" t="s">
        <v>2677</v>
      </c>
      <c r="C16" s="2599"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70"/>
      <c r="Q16" s="1803" t="str">
        <f>B16</f>
        <v>公共配套设施</v>
      </c>
      <c r="R16" s="770" t="s">
        <v>17</v>
      </c>
      <c r="S16" s="771">
        <f>F16</f>
        <v>100</v>
      </c>
      <c r="T16" s="770" t="s">
        <v>17</v>
      </c>
      <c r="U16" s="771">
        <f>H16</f>
        <v>100</v>
      </c>
      <c r="V16" s="770" t="s">
        <v>17</v>
      </c>
      <c r="W16" s="771">
        <f>J16</f>
        <v>100</v>
      </c>
      <c r="X16" s="1806"/>
      <c r="Y16" s="3270"/>
      <c r="Z16" s="1807" t="str">
        <f>Q16</f>
        <v>公共配套设施</v>
      </c>
      <c r="AA16" s="1804">
        <f t="shared" si="3"/>
        <v>1</v>
      </c>
      <c r="AB16" s="1804">
        <f t="shared" si="4"/>
        <v>1</v>
      </c>
      <c r="AC16" s="1804">
        <f t="shared" si="5"/>
        <v>1</v>
      </c>
    </row>
    <row r="17" spans="1:29" ht="15">
      <c r="A17" s="401"/>
      <c r="B17" s="629"/>
      <c r="C17" s="2600"/>
      <c r="D17" s="445"/>
      <c r="E17" s="444"/>
      <c r="F17" s="446"/>
      <c r="G17" s="444"/>
      <c r="H17" s="445"/>
      <c r="I17" s="444"/>
      <c r="J17" s="445"/>
      <c r="K17" s="612"/>
      <c r="L17" s="1134"/>
      <c r="M17" s="1125"/>
      <c r="N17" s="1125"/>
      <c r="O17" s="1125"/>
      <c r="P17" s="3270"/>
      <c r="Q17" s="1803"/>
      <c r="R17" s="770"/>
      <c r="S17" s="771"/>
      <c r="T17" s="770"/>
      <c r="U17" s="771"/>
      <c r="V17" s="770"/>
      <c r="W17" s="771"/>
      <c r="X17" s="1806"/>
      <c r="Y17" s="3270"/>
      <c r="Z17" s="1807"/>
      <c r="AA17" s="1804">
        <v>1</v>
      </c>
      <c r="AB17" s="1804">
        <v>1</v>
      </c>
      <c r="AC17" s="1804">
        <v>1</v>
      </c>
    </row>
    <row r="18" spans="1:29" ht="28.5">
      <c r="A18" s="401"/>
      <c r="B18" s="630" t="s">
        <v>2678</v>
      </c>
      <c r="C18" s="2599"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70"/>
      <c r="Q18" s="1803" t="str">
        <f>B18</f>
        <v>基础设施水平</v>
      </c>
      <c r="R18" s="770" t="s">
        <v>17</v>
      </c>
      <c r="S18" s="771">
        <f>F18</f>
        <v>100</v>
      </c>
      <c r="T18" s="770" t="s">
        <v>17</v>
      </c>
      <c r="U18" s="771">
        <f>H18</f>
        <v>100</v>
      </c>
      <c r="V18" s="770" t="s">
        <v>17</v>
      </c>
      <c r="W18" s="771">
        <f>J18</f>
        <v>100</v>
      </c>
      <c r="X18" s="1806"/>
      <c r="Y18" s="3270"/>
      <c r="Z18" s="1807" t="str">
        <f>Q18</f>
        <v>基础设施水平</v>
      </c>
      <c r="AA18" s="1804">
        <f>D18/F18</f>
        <v>1</v>
      </c>
      <c r="AB18" s="1804">
        <f>D18/H18</f>
        <v>1</v>
      </c>
      <c r="AC18" s="1804">
        <f>D18/J18</f>
        <v>1</v>
      </c>
    </row>
    <row r="19" spans="1:29" ht="15">
      <c r="A19" s="401"/>
      <c r="B19" s="630"/>
      <c r="C19" s="2600"/>
      <c r="D19" s="447"/>
      <c r="E19" s="2600"/>
      <c r="F19" s="450"/>
      <c r="G19" s="2600"/>
      <c r="H19" s="445"/>
      <c r="I19" s="444"/>
      <c r="J19" s="445"/>
      <c r="K19" s="1377"/>
      <c r="L19" s="1134"/>
      <c r="M19" s="1125"/>
      <c r="N19" s="1125"/>
      <c r="O19" s="1125"/>
      <c r="P19" s="3270"/>
      <c r="Q19" s="1803"/>
      <c r="R19" s="770"/>
      <c r="S19" s="771"/>
      <c r="T19" s="770"/>
      <c r="U19" s="771"/>
      <c r="V19" s="770"/>
      <c r="W19" s="771"/>
      <c r="X19" s="1806"/>
      <c r="Y19" s="3270"/>
      <c r="Z19" s="1807"/>
      <c r="AA19" s="1804">
        <v>1</v>
      </c>
      <c r="AB19" s="1804">
        <v>1</v>
      </c>
      <c r="AC19" s="1804">
        <v>1</v>
      </c>
    </row>
    <row r="20" spans="1:29" ht="57">
      <c r="A20" s="401"/>
      <c r="B20" s="628" t="s">
        <v>2699</v>
      </c>
      <c r="C20" s="2599"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70"/>
      <c r="Q20" s="1803" t="str">
        <f>B20</f>
        <v>自然及人文环境</v>
      </c>
      <c r="R20" s="770" t="s">
        <v>17</v>
      </c>
      <c r="S20" s="771">
        <f>F20</f>
        <v>100</v>
      </c>
      <c r="T20" s="770" t="s">
        <v>17</v>
      </c>
      <c r="U20" s="771">
        <f>H20</f>
        <v>100</v>
      </c>
      <c r="V20" s="770" t="s">
        <v>17</v>
      </c>
      <c r="W20" s="771">
        <f>J20</f>
        <v>100</v>
      </c>
      <c r="X20" s="1806"/>
      <c r="Y20" s="3270"/>
      <c r="Z20" s="1807" t="str">
        <f>Q20</f>
        <v>自然及人文环境</v>
      </c>
      <c r="AA20" s="1804">
        <f t="shared" si="3"/>
        <v>1</v>
      </c>
      <c r="AB20" s="1804">
        <f t="shared" si="4"/>
        <v>1</v>
      </c>
      <c r="AC20" s="1804">
        <f t="shared" si="5"/>
        <v>1</v>
      </c>
    </row>
    <row r="21" spans="1:29" ht="15">
      <c r="A21" s="401"/>
      <c r="B21" s="629"/>
      <c r="C21" s="444"/>
      <c r="D21" s="445"/>
      <c r="E21" s="444"/>
      <c r="F21" s="446"/>
      <c r="G21" s="444"/>
      <c r="H21" s="445"/>
      <c r="I21" s="444"/>
      <c r="J21" s="445"/>
      <c r="K21" s="612"/>
      <c r="L21" s="1134"/>
      <c r="M21" s="1125"/>
      <c r="N21" s="1125"/>
      <c r="O21" s="1125"/>
      <c r="P21" s="3270"/>
      <c r="Q21" s="1803"/>
      <c r="R21" s="770"/>
      <c r="S21" s="771"/>
      <c r="T21" s="770"/>
      <c r="U21" s="771"/>
      <c r="V21" s="770"/>
      <c r="W21" s="771"/>
      <c r="X21" s="1806"/>
      <c r="Y21" s="3270"/>
      <c r="Z21" s="1807"/>
      <c r="AA21" s="1804">
        <v>1</v>
      </c>
      <c r="AB21" s="1804">
        <v>1</v>
      </c>
      <c r="AC21" s="1804">
        <v>1</v>
      </c>
    </row>
    <row r="22" spans="1:29" ht="15">
      <c r="A22" s="401"/>
      <c r="B22" s="628" t="s">
        <v>2700</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70"/>
      <c r="Q22" s="1803" t="str">
        <f>B22</f>
        <v>楼层</v>
      </c>
      <c r="R22" s="770" t="s">
        <v>17</v>
      </c>
      <c r="S22" s="771">
        <f>F22</f>
        <v>100</v>
      </c>
      <c r="T22" s="770" t="s">
        <v>17</v>
      </c>
      <c r="U22" s="771">
        <f>H22</f>
        <v>100</v>
      </c>
      <c r="V22" s="770" t="s">
        <v>17</v>
      </c>
      <c r="W22" s="771">
        <f>J22</f>
        <v>100</v>
      </c>
      <c r="X22" s="1806"/>
      <c r="Y22" s="3270"/>
      <c r="Z22" s="1807" t="str">
        <f>Q22</f>
        <v>楼层</v>
      </c>
      <c r="AA22" s="1804">
        <f t="shared" si="3"/>
        <v>1</v>
      </c>
      <c r="AB22" s="1804">
        <f t="shared" si="4"/>
        <v>1</v>
      </c>
      <c r="AC22" s="1804">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70"/>
      <c r="Q23" s="1803">
        <f>B23</f>
        <v>111</v>
      </c>
      <c r="R23" s="770" t="s">
        <v>17</v>
      </c>
      <c r="S23" s="771">
        <f>F23</f>
        <v>100</v>
      </c>
      <c r="T23" s="770" t="s">
        <v>17</v>
      </c>
      <c r="U23" s="771">
        <f>H23</f>
        <v>100</v>
      </c>
      <c r="V23" s="770" t="s">
        <v>17</v>
      </c>
      <c r="W23" s="771">
        <f>J23</f>
        <v>100</v>
      </c>
      <c r="X23" s="1806"/>
      <c r="Y23" s="3270"/>
      <c r="Z23" s="1807">
        <f>Q23</f>
        <v>111</v>
      </c>
      <c r="AA23" s="1804">
        <f t="shared" si="3"/>
        <v>1</v>
      </c>
      <c r="AB23" s="1804">
        <f t="shared" si="4"/>
        <v>1</v>
      </c>
      <c r="AC23" s="1804">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70"/>
      <c r="Q24" s="1803">
        <f t="shared" ref="Q24:Q36" si="8">B24</f>
        <v>111</v>
      </c>
      <c r="R24" s="770" t="s">
        <v>17</v>
      </c>
      <c r="S24" s="771">
        <f>F24</f>
        <v>100</v>
      </c>
      <c r="T24" s="770" t="s">
        <v>17</v>
      </c>
      <c r="U24" s="771">
        <f>H24</f>
        <v>100</v>
      </c>
      <c r="V24" s="770" t="s">
        <v>17</v>
      </c>
      <c r="W24" s="771">
        <f>J24</f>
        <v>100</v>
      </c>
      <c r="X24" s="1806"/>
      <c r="Y24" s="3270"/>
      <c r="Z24" s="1807">
        <f>Q24</f>
        <v>111</v>
      </c>
      <c r="AA24" s="1804">
        <f t="shared" si="3"/>
        <v>1</v>
      </c>
      <c r="AB24" s="1804">
        <f t="shared" si="4"/>
        <v>1</v>
      </c>
      <c r="AC24" s="1804">
        <f t="shared" si="5"/>
        <v>1</v>
      </c>
    </row>
    <row r="25" spans="1:29" s="116"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6"/>
      <c r="M25" s="1127"/>
      <c r="N25" s="1127"/>
      <c r="O25" s="1127"/>
      <c r="P25" s="3270"/>
      <c r="Q25" s="1788">
        <f t="shared" si="8"/>
        <v>111</v>
      </c>
      <c r="R25" s="766" t="s">
        <v>17</v>
      </c>
      <c r="S25" s="767">
        <f>F25</f>
        <v>100</v>
      </c>
      <c r="T25" s="766" t="s">
        <v>17</v>
      </c>
      <c r="U25" s="767">
        <f>H25</f>
        <v>100</v>
      </c>
      <c r="V25" s="766" t="s">
        <v>17</v>
      </c>
      <c r="W25" s="767">
        <f>J25</f>
        <v>100</v>
      </c>
      <c r="X25" s="768"/>
      <c r="Y25" s="3270"/>
      <c r="Z25" s="55">
        <f>Q25</f>
        <v>111</v>
      </c>
      <c r="AA25" s="1804">
        <f>D25/F25</f>
        <v>1</v>
      </c>
      <c r="AB25" s="1804">
        <f>D25/H25</f>
        <v>1</v>
      </c>
      <c r="AC25" s="1804">
        <f>D25/J25</f>
        <v>1</v>
      </c>
    </row>
    <row r="26" spans="1:29" ht="15">
      <c r="A26" s="649" t="s">
        <v>2552</v>
      </c>
      <c r="B26" s="70" t="s">
        <v>2701</v>
      </c>
      <c r="C26" s="2684">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271" t="s">
        <v>2554</v>
      </c>
      <c r="Q26" s="1803" t="str">
        <f t="shared" si="8"/>
        <v>配套类型</v>
      </c>
      <c r="R26" s="770" t="s">
        <v>17</v>
      </c>
      <c r="S26" s="771">
        <f t="shared" ref="S26:S36" si="9">F26</f>
        <v>100</v>
      </c>
      <c r="T26" s="770" t="s">
        <v>17</v>
      </c>
      <c r="U26" s="771">
        <f t="shared" ref="U26:U36" si="10">H26</f>
        <v>100</v>
      </c>
      <c r="V26" s="770" t="s">
        <v>17</v>
      </c>
      <c r="W26" s="771">
        <f t="shared" ref="W26:W36" si="11">J26</f>
        <v>100</v>
      </c>
      <c r="X26" s="1806"/>
      <c r="Y26" s="3272" t="s">
        <v>2554</v>
      </c>
      <c r="Z26" s="1807" t="str">
        <f t="shared" ref="Z26:Z36" si="12">Q26</f>
        <v>配套类型</v>
      </c>
      <c r="AA26" s="1804">
        <f t="shared" si="3"/>
        <v>1</v>
      </c>
      <c r="AB26" s="1804">
        <f t="shared" si="4"/>
        <v>1</v>
      </c>
      <c r="AC26" s="1804">
        <f t="shared" si="5"/>
        <v>1</v>
      </c>
    </row>
    <row r="27" spans="1:29" s="468" customFormat="1" ht="15">
      <c r="A27" s="650"/>
      <c r="B27" s="651" t="s">
        <v>2702</v>
      </c>
      <c r="C27" s="652"/>
      <c r="D27" s="133">
        <v>100</v>
      </c>
      <c r="E27" s="652"/>
      <c r="F27" s="458">
        <f>SUMIF(81:81,E27,82:82)-SUMIF(81:81,C27,82:82)+100</f>
        <v>100</v>
      </c>
      <c r="G27" s="652"/>
      <c r="H27" s="432">
        <f>SUMIF(81:81,G27,82:82)-SUMIF(81:81,C27,82:82)+100</f>
        <v>100</v>
      </c>
      <c r="I27" s="652"/>
      <c r="J27" s="432">
        <f>SUMIF(81:81,I27,82:82)-SUMIF(81:81,C27,82:82)+100</f>
        <v>100</v>
      </c>
      <c r="K27" s="610"/>
      <c r="L27" s="1132"/>
      <c r="M27" s="1135"/>
      <c r="N27" s="1135"/>
      <c r="O27" s="1135"/>
      <c r="P27" s="3272"/>
      <c r="Q27" s="772" t="str">
        <f t="shared" si="8"/>
        <v>项目停车位配比</v>
      </c>
      <c r="R27" s="773" t="s">
        <v>17</v>
      </c>
      <c r="S27" s="774">
        <f t="shared" si="9"/>
        <v>100</v>
      </c>
      <c r="T27" s="773" t="s">
        <v>17</v>
      </c>
      <c r="U27" s="774">
        <f t="shared" si="10"/>
        <v>100</v>
      </c>
      <c r="V27" s="773" t="s">
        <v>17</v>
      </c>
      <c r="W27" s="774">
        <f t="shared" si="11"/>
        <v>100</v>
      </c>
      <c r="X27" s="775"/>
      <c r="Y27" s="3272"/>
      <c r="Z27" s="776" t="str">
        <f t="shared" si="12"/>
        <v>项目停车位配比</v>
      </c>
      <c r="AA27" s="1804">
        <f t="shared" si="3"/>
        <v>1</v>
      </c>
      <c r="AB27" s="1804">
        <f t="shared" si="4"/>
        <v>1</v>
      </c>
      <c r="AC27" s="1804">
        <f t="shared" si="5"/>
        <v>1</v>
      </c>
    </row>
    <row r="28" spans="1:29" ht="15">
      <c r="A28" s="653"/>
      <c r="B28" s="651" t="s">
        <v>2703</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72"/>
      <c r="Q28" s="1803" t="str">
        <f t="shared" si="8"/>
        <v>公共部分装修</v>
      </c>
      <c r="R28" s="770" t="s">
        <v>17</v>
      </c>
      <c r="S28" s="771">
        <f t="shared" si="9"/>
        <v>100</v>
      </c>
      <c r="T28" s="770" t="s">
        <v>17</v>
      </c>
      <c r="U28" s="771">
        <f t="shared" si="10"/>
        <v>100</v>
      </c>
      <c r="V28" s="770" t="s">
        <v>17</v>
      </c>
      <c r="W28" s="771">
        <f t="shared" si="11"/>
        <v>100</v>
      </c>
      <c r="X28" s="1806"/>
      <c r="Y28" s="3272"/>
      <c r="Z28" s="1807" t="str">
        <f t="shared" si="12"/>
        <v>公共部分装修</v>
      </c>
      <c r="AA28" s="1804">
        <f t="shared" si="3"/>
        <v>1</v>
      </c>
      <c r="AB28" s="1804">
        <f t="shared" si="4"/>
        <v>1</v>
      </c>
      <c r="AC28" s="1804">
        <f t="shared" si="5"/>
        <v>1</v>
      </c>
    </row>
    <row r="29" spans="1:29" ht="15">
      <c r="A29" s="653"/>
      <c r="B29" s="651" t="s">
        <v>2704</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72"/>
      <c r="Q29" s="1803" t="str">
        <f t="shared" si="8"/>
        <v>成新率</v>
      </c>
      <c r="R29" s="770" t="s">
        <v>17</v>
      </c>
      <c r="S29" s="771" t="e">
        <f t="shared" si="9"/>
        <v>#N/A</v>
      </c>
      <c r="T29" s="770" t="s">
        <v>17</v>
      </c>
      <c r="U29" s="771" t="e">
        <f t="shared" si="10"/>
        <v>#N/A</v>
      </c>
      <c r="V29" s="770" t="s">
        <v>17</v>
      </c>
      <c r="W29" s="771" t="e">
        <f t="shared" si="11"/>
        <v>#N/A</v>
      </c>
      <c r="X29" s="1806"/>
      <c r="Y29" s="3272"/>
      <c r="Z29" s="1807" t="str">
        <f t="shared" si="12"/>
        <v>成新率</v>
      </c>
      <c r="AA29" s="1804" t="e">
        <f t="shared" si="3"/>
        <v>#N/A</v>
      </c>
      <c r="AB29" s="1804" t="e">
        <f t="shared" si="4"/>
        <v>#N/A</v>
      </c>
      <c r="AC29" s="1804" t="e">
        <f t="shared" si="5"/>
        <v>#N/A</v>
      </c>
    </row>
    <row r="30" spans="1:29" ht="15">
      <c r="A30" s="653"/>
      <c r="B30" s="651" t="s">
        <v>2705</v>
      </c>
      <c r="C30" s="654"/>
      <c r="D30" s="432">
        <v>100</v>
      </c>
      <c r="E30" s="654"/>
      <c r="F30" s="458">
        <f>SUMIF(88:88,E30,89:89)-SUMIF(88:88,C30,89:89)+100</f>
        <v>100</v>
      </c>
      <c r="G30" s="654"/>
      <c r="H30" s="432">
        <f>SUMIF(88:88,E30,89:89)-SUMIF(88:88,C30,89:89)+100</f>
        <v>100</v>
      </c>
      <c r="I30" s="654"/>
      <c r="J30" s="432">
        <f>SUMIF(88:88,E30,89:89)-SUMIF(88:88,C30,89:89)+100</f>
        <v>100</v>
      </c>
      <c r="K30" s="609"/>
      <c r="L30" s="1134"/>
      <c r="M30" s="1125"/>
      <c r="N30" s="1125"/>
      <c r="O30" s="1125"/>
      <c r="P30" s="3272"/>
      <c r="Q30" s="1803" t="str">
        <f t="shared" si="8"/>
        <v>物业等级</v>
      </c>
      <c r="R30" s="770" t="s">
        <v>17</v>
      </c>
      <c r="S30" s="771">
        <f t="shared" si="9"/>
        <v>100</v>
      </c>
      <c r="T30" s="770" t="s">
        <v>17</v>
      </c>
      <c r="U30" s="771">
        <f t="shared" si="10"/>
        <v>100</v>
      </c>
      <c r="V30" s="770" t="s">
        <v>17</v>
      </c>
      <c r="W30" s="771">
        <f t="shared" si="11"/>
        <v>100</v>
      </c>
      <c r="X30" s="1806"/>
      <c r="Y30" s="3272"/>
      <c r="Z30" s="1807" t="str">
        <f t="shared" si="12"/>
        <v>物业等级</v>
      </c>
      <c r="AA30" s="1804">
        <f t="shared" si="3"/>
        <v>1</v>
      </c>
      <c r="AB30" s="1804">
        <f t="shared" si="4"/>
        <v>1</v>
      </c>
      <c r="AC30" s="1804">
        <f t="shared" si="5"/>
        <v>1</v>
      </c>
    </row>
    <row r="31" spans="1:29" s="116" customFormat="1" ht="15">
      <c r="A31" s="655"/>
      <c r="B31" s="651" t="s">
        <v>2706</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72"/>
      <c r="Q31" s="1788" t="str">
        <f t="shared" si="8"/>
        <v>停车位面积</v>
      </c>
      <c r="R31" s="766" t="s">
        <v>17</v>
      </c>
      <c r="S31" s="767" t="e">
        <f t="shared" si="9"/>
        <v>#N/A</v>
      </c>
      <c r="T31" s="766" t="s">
        <v>17</v>
      </c>
      <c r="U31" s="767" t="e">
        <f t="shared" si="10"/>
        <v>#N/A</v>
      </c>
      <c r="V31" s="766" t="s">
        <v>17</v>
      </c>
      <c r="W31" s="767" t="e">
        <f t="shared" si="11"/>
        <v>#N/A</v>
      </c>
      <c r="X31" s="768"/>
      <c r="Y31" s="3272"/>
      <c r="Z31" s="55" t="str">
        <f t="shared" si="12"/>
        <v>停车位面积</v>
      </c>
      <c r="AA31" s="769" t="e">
        <f t="shared" si="3"/>
        <v>#N/A</v>
      </c>
      <c r="AB31" s="769" t="e">
        <f t="shared" si="4"/>
        <v>#N/A</v>
      </c>
      <c r="AC31" s="769" t="e">
        <f t="shared" si="5"/>
        <v>#N/A</v>
      </c>
    </row>
    <row r="32" spans="1:29" ht="15">
      <c r="A32" s="653"/>
      <c r="B32" s="651" t="s">
        <v>2707</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72" t="s">
        <v>2554</v>
      </c>
      <c r="Q32" s="1803" t="str">
        <f t="shared" si="8"/>
        <v>车位类型</v>
      </c>
      <c r="R32" s="770" t="s">
        <v>17</v>
      </c>
      <c r="S32" s="771">
        <f t="shared" si="9"/>
        <v>100</v>
      </c>
      <c r="T32" s="770" t="s">
        <v>17</v>
      </c>
      <c r="U32" s="771">
        <f t="shared" si="10"/>
        <v>100</v>
      </c>
      <c r="V32" s="770" t="s">
        <v>17</v>
      </c>
      <c r="W32" s="771">
        <f t="shared" si="11"/>
        <v>100</v>
      </c>
      <c r="X32" s="1806"/>
      <c r="Y32" s="3272" t="s">
        <v>2554</v>
      </c>
      <c r="Z32" s="1807" t="str">
        <f t="shared" si="12"/>
        <v>车位类型</v>
      </c>
      <c r="AA32" s="1804">
        <f t="shared" si="3"/>
        <v>1</v>
      </c>
      <c r="AB32" s="1804">
        <f t="shared" si="4"/>
        <v>1</v>
      </c>
      <c r="AC32" s="1804">
        <f t="shared" si="5"/>
        <v>1</v>
      </c>
    </row>
    <row r="33" spans="1:29" ht="15">
      <c r="A33" s="653"/>
      <c r="B33" s="651" t="s">
        <v>2708</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72"/>
      <c r="Q33" s="1803" t="str">
        <f t="shared" si="8"/>
        <v>是否直接入户</v>
      </c>
      <c r="R33" s="770" t="s">
        <v>17</v>
      </c>
      <c r="S33" s="771">
        <f t="shared" si="9"/>
        <v>100</v>
      </c>
      <c r="T33" s="770" t="s">
        <v>17</v>
      </c>
      <c r="U33" s="771">
        <f t="shared" si="10"/>
        <v>100</v>
      </c>
      <c r="V33" s="770" t="s">
        <v>17</v>
      </c>
      <c r="W33" s="771">
        <f t="shared" si="11"/>
        <v>100</v>
      </c>
      <c r="X33" s="1806"/>
      <c r="Y33" s="3272"/>
      <c r="Z33" s="1807" t="str">
        <f t="shared" si="12"/>
        <v>是否直接入户</v>
      </c>
      <c r="AA33" s="1804">
        <f t="shared" si="3"/>
        <v>1</v>
      </c>
      <c r="AB33" s="1804">
        <f t="shared" si="4"/>
        <v>1</v>
      </c>
      <c r="AC33" s="1804">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72"/>
      <c r="Q34" s="1803">
        <f t="shared" si="8"/>
        <v>111</v>
      </c>
      <c r="R34" s="770" t="s">
        <v>17</v>
      </c>
      <c r="S34" s="771">
        <f t="shared" si="9"/>
        <v>100</v>
      </c>
      <c r="T34" s="770" t="s">
        <v>17</v>
      </c>
      <c r="U34" s="771">
        <f t="shared" si="10"/>
        <v>100</v>
      </c>
      <c r="V34" s="770" t="s">
        <v>17</v>
      </c>
      <c r="W34" s="771">
        <f t="shared" si="11"/>
        <v>100</v>
      </c>
      <c r="X34" s="1806"/>
      <c r="Y34" s="3272"/>
      <c r="Z34" s="1807">
        <f t="shared" si="12"/>
        <v>111</v>
      </c>
      <c r="AA34" s="1804">
        <f t="shared" si="3"/>
        <v>1</v>
      </c>
      <c r="AB34" s="1804">
        <f t="shared" si="4"/>
        <v>1</v>
      </c>
      <c r="AC34" s="1804">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72"/>
      <c r="Q35" s="772">
        <f t="shared" si="8"/>
        <v>111</v>
      </c>
      <c r="R35" s="773" t="s">
        <v>17</v>
      </c>
      <c r="S35" s="774">
        <f t="shared" si="9"/>
        <v>100</v>
      </c>
      <c r="T35" s="773" t="s">
        <v>17</v>
      </c>
      <c r="U35" s="774">
        <f t="shared" si="10"/>
        <v>100</v>
      </c>
      <c r="V35" s="773" t="s">
        <v>17</v>
      </c>
      <c r="W35" s="774">
        <f t="shared" si="11"/>
        <v>100</v>
      </c>
      <c r="X35" s="775"/>
      <c r="Y35" s="3272"/>
      <c r="Z35" s="776">
        <f t="shared" si="12"/>
        <v>111</v>
      </c>
      <c r="AA35" s="1804">
        <f t="shared" si="3"/>
        <v>1</v>
      </c>
      <c r="AB35" s="1804">
        <f t="shared" si="4"/>
        <v>1</v>
      </c>
      <c r="AC35" s="1804">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72"/>
      <c r="Q36" s="1803">
        <f t="shared" si="8"/>
        <v>111</v>
      </c>
      <c r="R36" s="770" t="s">
        <v>17</v>
      </c>
      <c r="S36" s="771">
        <f t="shared" si="9"/>
        <v>100</v>
      </c>
      <c r="T36" s="770" t="s">
        <v>17</v>
      </c>
      <c r="U36" s="771">
        <f t="shared" si="10"/>
        <v>100</v>
      </c>
      <c r="V36" s="770" t="s">
        <v>17</v>
      </c>
      <c r="W36" s="771">
        <f t="shared" si="11"/>
        <v>100</v>
      </c>
      <c r="X36" s="1806"/>
      <c r="Y36" s="3272"/>
      <c r="Z36" s="1807">
        <f t="shared" si="12"/>
        <v>111</v>
      </c>
      <c r="AA36" s="1804">
        <f t="shared" si="3"/>
        <v>1</v>
      </c>
      <c r="AB36" s="1804">
        <f t="shared" si="4"/>
        <v>1</v>
      </c>
      <c r="AC36" s="1804">
        <f t="shared" si="5"/>
        <v>1</v>
      </c>
    </row>
    <row r="37" spans="1:29" ht="15">
      <c r="A37" s="476" t="s">
        <v>2709</v>
      </c>
      <c r="B37" s="2685" t="s">
        <v>2710</v>
      </c>
      <c r="C37" s="1401" t="s">
        <v>1</v>
      </c>
      <c r="D37" s="1402"/>
      <c r="E37" s="1403"/>
      <c r="F37" s="1404"/>
      <c r="G37" s="1405"/>
      <c r="H37" s="1406"/>
      <c r="I37" s="1403"/>
      <c r="J37" s="1406"/>
      <c r="K37" s="616"/>
      <c r="L37" s="1137"/>
      <c r="M37" s="1138"/>
      <c r="N37" s="1125"/>
      <c r="O37" s="1138"/>
      <c r="P37" s="3267" t="str">
        <f>A37</f>
        <v>成交单价</v>
      </c>
      <c r="Q37" s="3267"/>
      <c r="R37" s="3311">
        <f>E37</f>
        <v>0</v>
      </c>
      <c r="S37" s="3311"/>
      <c r="T37" s="3311">
        <f>G37</f>
        <v>0</v>
      </c>
      <c r="U37" s="3311"/>
      <c r="V37" s="3311">
        <f>I37</f>
        <v>0</v>
      </c>
      <c r="W37" s="3311"/>
      <c r="X37" s="755"/>
      <c r="Y37" s="777"/>
      <c r="Z37" s="755"/>
      <c r="AA37" s="755"/>
      <c r="AB37" s="755"/>
      <c r="AC37" s="755"/>
    </row>
    <row r="38" spans="1:29" ht="15.75" thickBot="1">
      <c r="A38" s="483" t="s">
        <v>2711</v>
      </c>
      <c r="B38" s="484" t="str">
        <f>B37</f>
        <v>元/车位</v>
      </c>
      <c r="C38" s="1407" t="e">
        <f>R39</f>
        <v>#DIV/0!</v>
      </c>
      <c r="D38" s="1408"/>
      <c r="E38" s="1409" t="e">
        <f>R38</f>
        <v>#DIV/0!</v>
      </c>
      <c r="F38" s="1409"/>
      <c r="G38" s="1407" t="e">
        <f>T38</f>
        <v>#DIV/0!</v>
      </c>
      <c r="H38" s="1408"/>
      <c r="I38" s="1409" t="e">
        <f>V38</f>
        <v>#DIV/0!</v>
      </c>
      <c r="J38" s="1408"/>
      <c r="K38" s="617"/>
      <c r="L38" s="1137"/>
      <c r="M38" s="1138"/>
      <c r="N38" s="1138"/>
      <c r="O38" s="1138"/>
      <c r="P38" s="3267" t="str">
        <f>A38</f>
        <v>比较价值（元/平方米）</v>
      </c>
      <c r="Q38" s="3267"/>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755"/>
      <c r="Y38" s="755"/>
      <c r="Z38" s="755"/>
      <c r="AA38" s="755"/>
      <c r="AB38" s="755"/>
      <c r="AC38" s="755"/>
    </row>
    <row r="39" spans="1:29" ht="15.75" thickBot="1">
      <c r="A39" s="489" t="s">
        <v>2712</v>
      </c>
      <c r="B39" s="490"/>
      <c r="C39" s="1411" t="e">
        <f>R39</f>
        <v>#DIV/0!</v>
      </c>
      <c r="D39" s="1411"/>
      <c r="E39" s="1411"/>
      <c r="F39" s="1411"/>
      <c r="G39" s="1411"/>
      <c r="H39" s="1411"/>
      <c r="I39" s="1411"/>
      <c r="J39" s="1411"/>
      <c r="K39" s="618"/>
      <c r="L39" s="1137"/>
      <c r="M39" s="1138"/>
      <c r="N39" s="1138"/>
      <c r="O39" s="1138"/>
      <c r="P39" s="3261" t="str">
        <f>A39</f>
        <v>估价对象XX用房的比较价值（楼面单价，元/平方米）</v>
      </c>
      <c r="Q39" s="3262"/>
      <c r="R39" s="3312" t="e">
        <f>IF(F1="售价",ROUND(AVERAGE(R38:V38),0),ROUND(AVERAGE(R38:V38),1))</f>
        <v>#DIV/0!</v>
      </c>
      <c r="S39" s="3312"/>
      <c r="T39" s="3312"/>
      <c r="U39" s="3312"/>
      <c r="V39" s="3312"/>
      <c r="W39" s="3312"/>
      <c r="X39" s="755"/>
      <c r="Y39" s="755"/>
      <c r="Z39" s="755"/>
      <c r="AA39" s="755"/>
      <c r="AB39" s="755"/>
      <c r="AC39" s="755"/>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4" t="s">
        <v>2713</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4" t="s">
        <v>2714</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9" customFormat="1" ht="13.5" customHeight="1">
      <c r="A44" s="1139"/>
      <c r="B44" s="1139"/>
      <c r="C44" s="494" t="s">
        <v>2715</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2716</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5" customFormat="1" ht="15">
      <c r="A48" s="502" t="s">
        <v>2717</v>
      </c>
      <c r="B48" s="503"/>
      <c r="C48" s="1567" t="str">
        <f>YEAR(C7)&amp;"-"&amp;MONTH(C7)</f>
        <v>2019-11</v>
      </c>
      <c r="D48" s="1568">
        <f>EDATE(C48,-1)</f>
        <v>43739</v>
      </c>
      <c r="E48" s="1568">
        <f t="shared" ref="E48:O48" si="13">EDATE(D48,-1)</f>
        <v>43709</v>
      </c>
      <c r="F48" s="1568">
        <f t="shared" si="13"/>
        <v>43678</v>
      </c>
      <c r="G48" s="1568">
        <f t="shared" si="13"/>
        <v>43647</v>
      </c>
      <c r="H48" s="1568">
        <f t="shared" si="13"/>
        <v>43617</v>
      </c>
      <c r="I48" s="1568">
        <f t="shared" si="13"/>
        <v>43586</v>
      </c>
      <c r="J48" s="1568">
        <f t="shared" si="13"/>
        <v>43556</v>
      </c>
      <c r="K48" s="1568">
        <f t="shared" si="13"/>
        <v>43525</v>
      </c>
      <c r="L48" s="1568">
        <f t="shared" si="13"/>
        <v>43497</v>
      </c>
      <c r="M48" s="1568">
        <f t="shared" si="13"/>
        <v>43466</v>
      </c>
      <c r="N48" s="1568">
        <f t="shared" si="13"/>
        <v>43435</v>
      </c>
      <c r="O48" s="1568">
        <f t="shared" si="13"/>
        <v>43405</v>
      </c>
      <c r="P48" s="1432"/>
      <c r="Q48" s="1433"/>
      <c r="R48" s="1433"/>
      <c r="S48" s="1433"/>
      <c r="T48" s="1433"/>
      <c r="U48" s="1433"/>
      <c r="V48" s="1433"/>
      <c r="W48" s="1433"/>
      <c r="X48" s="1433"/>
      <c r="Y48" s="1433"/>
      <c r="Z48" s="1433"/>
      <c r="AA48" s="1433"/>
      <c r="AB48" s="1433"/>
      <c r="AC48" s="1433"/>
    </row>
    <row r="49" spans="1:29" s="116" customFormat="1" ht="15">
      <c r="A49" s="506"/>
      <c r="B49" s="507"/>
      <c r="C49" s="1560">
        <v>100</v>
      </c>
      <c r="D49" s="509"/>
      <c r="E49" s="509"/>
      <c r="F49" s="509"/>
      <c r="G49" s="509"/>
      <c r="H49" s="509"/>
      <c r="I49" s="509"/>
      <c r="J49" s="509"/>
      <c r="K49" s="509"/>
      <c r="L49" s="509"/>
      <c r="M49" s="510"/>
      <c r="N49" s="509"/>
      <c r="O49" s="510"/>
      <c r="P49" s="1422"/>
      <c r="Q49" s="1421"/>
      <c r="R49" s="1421"/>
      <c r="S49" s="1421"/>
      <c r="T49" s="1421"/>
      <c r="U49" s="1421"/>
      <c r="V49" s="1421"/>
      <c r="W49" s="1421"/>
      <c r="X49" s="1421"/>
      <c r="Y49" s="1421"/>
      <c r="Z49" s="1421"/>
      <c r="AA49" s="1421"/>
      <c r="AB49" s="1421"/>
      <c r="AC49" s="1421"/>
    </row>
    <row r="50" spans="1:29" s="116" customFormat="1" ht="15.75" thickBot="1">
      <c r="A50" s="512" t="s">
        <v>2574</v>
      </c>
      <c r="B50" s="513"/>
      <c r="C50" s="514"/>
      <c r="D50" s="515"/>
      <c r="E50" s="515"/>
      <c r="F50" s="515"/>
      <c r="G50" s="515"/>
      <c r="H50" s="515"/>
      <c r="I50" s="515"/>
      <c r="J50" s="515"/>
      <c r="K50" s="515"/>
      <c r="L50" s="515"/>
      <c r="M50" s="516"/>
      <c r="N50" s="515"/>
      <c r="O50" s="516"/>
      <c r="P50" s="1422"/>
      <c r="Q50" s="1417"/>
      <c r="R50" s="1421"/>
      <c r="S50" s="1421"/>
      <c r="T50" s="1421"/>
      <c r="U50" s="1421"/>
      <c r="V50" s="1421"/>
      <c r="W50" s="1421"/>
      <c r="X50" s="1421"/>
      <c r="Y50" s="1421"/>
      <c r="Z50" s="1421"/>
      <c r="AA50" s="1421"/>
      <c r="AB50" s="1421"/>
      <c r="AC50" s="1421"/>
    </row>
    <row r="51" spans="1:29" s="116" customFormat="1" ht="15">
      <c r="A51" s="518" t="s">
        <v>2539</v>
      </c>
      <c r="B51" s="507"/>
      <c r="C51" s="519" t="s">
        <v>2641</v>
      </c>
      <c r="D51" s="520"/>
      <c r="E51" s="520"/>
      <c r="F51" s="520"/>
      <c r="G51" s="520"/>
      <c r="H51" s="520"/>
      <c r="I51" s="520"/>
      <c r="J51" s="520"/>
      <c r="K51" s="520"/>
      <c r="L51" s="521"/>
      <c r="M51" s="522"/>
      <c r="N51" s="1145"/>
      <c r="O51" s="1145"/>
      <c r="P51" s="1420"/>
      <c r="Q51" s="1417"/>
      <c r="R51" s="1421"/>
      <c r="S51" s="1421"/>
      <c r="T51" s="1421"/>
      <c r="U51" s="1421"/>
      <c r="V51" s="1421"/>
      <c r="W51" s="1421"/>
      <c r="X51" s="1421"/>
      <c r="Y51" s="1421"/>
      <c r="Z51" s="1421"/>
      <c r="AA51" s="1421"/>
      <c r="AB51" s="1421"/>
      <c r="AC51" s="1421"/>
    </row>
    <row r="52" spans="1:29" s="116" customFormat="1" ht="15.75" thickBot="1">
      <c r="A52" s="518"/>
      <c r="B52" s="507"/>
      <c r="C52" s="636">
        <v>100</v>
      </c>
      <c r="D52" s="509"/>
      <c r="E52" s="509"/>
      <c r="F52" s="509"/>
      <c r="G52" s="509"/>
      <c r="H52" s="509"/>
      <c r="I52" s="509"/>
      <c r="J52" s="509"/>
      <c r="K52" s="509"/>
      <c r="L52" s="509"/>
      <c r="M52" s="511"/>
      <c r="N52" s="1145"/>
      <c r="O52" s="1145"/>
      <c r="P52" s="1422"/>
      <c r="Q52" s="1417"/>
      <c r="R52" s="1421"/>
      <c r="S52" s="1421"/>
      <c r="T52" s="1421"/>
      <c r="U52" s="1421"/>
      <c r="V52" s="1421"/>
      <c r="W52" s="1421"/>
      <c r="X52" s="1421"/>
      <c r="Y52" s="1421"/>
      <c r="Z52" s="1421"/>
      <c r="AA52" s="1421"/>
      <c r="AB52" s="1421"/>
      <c r="AC52" s="1421"/>
    </row>
    <row r="53" spans="1:29">
      <c r="A53" s="524" t="s">
        <v>2577</v>
      </c>
      <c r="B53" s="525" t="s">
        <v>2543</v>
      </c>
      <c r="C53" s="526">
        <f>C9</f>
        <v>0</v>
      </c>
      <c r="D53" s="527"/>
      <c r="E53" s="527"/>
      <c r="F53" s="527"/>
      <c r="G53" s="527"/>
      <c r="H53" s="527"/>
      <c r="I53" s="527"/>
      <c r="J53" s="527"/>
      <c r="K53" s="528"/>
      <c r="L53" s="529"/>
      <c r="M53" s="530"/>
      <c r="N53" s="1146"/>
      <c r="O53" s="1146"/>
      <c r="P53" s="1423"/>
      <c r="Q53" s="1417"/>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3"/>
      <c r="Q54" s="1417"/>
      <c r="R54" s="1138"/>
      <c r="S54" s="1138"/>
      <c r="T54" s="1138"/>
      <c r="U54" s="1138"/>
      <c r="V54" s="1138"/>
      <c r="W54" s="1138"/>
      <c r="X54" s="1138"/>
      <c r="Y54" s="1138"/>
      <c r="Z54" s="1138"/>
      <c r="AA54" s="1138"/>
      <c r="AB54" s="1138"/>
      <c r="AC54" s="1138"/>
    </row>
    <row r="55" spans="1:29" ht="27.75" thickTop="1">
      <c r="A55" s="531"/>
      <c r="B55" s="535" t="s">
        <v>2546</v>
      </c>
      <c r="C55" s="536" t="s">
        <v>2578</v>
      </c>
      <c r="D55" s="536" t="s">
        <v>2579</v>
      </c>
      <c r="E55" s="536" t="s">
        <v>2580</v>
      </c>
      <c r="F55" s="536" t="s">
        <v>2581</v>
      </c>
      <c r="G55" s="536" t="s">
        <v>2582</v>
      </c>
      <c r="H55" s="536" t="s">
        <v>2583</v>
      </c>
      <c r="I55" s="536" t="s">
        <v>2584</v>
      </c>
      <c r="J55" s="536"/>
      <c r="K55" s="537"/>
      <c r="L55" s="538"/>
      <c r="M55" s="539"/>
      <c r="N55" s="1146"/>
      <c r="O55" s="1146"/>
      <c r="P55" s="1423"/>
      <c r="Q55" s="1417"/>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3"/>
      <c r="Q56" s="1417"/>
      <c r="R56" s="1138"/>
      <c r="S56" s="1138"/>
      <c r="T56" s="1138"/>
      <c r="U56" s="1138"/>
      <c r="V56" s="1138"/>
      <c r="W56" s="1138"/>
      <c r="X56" s="1138"/>
      <c r="Y56" s="1138"/>
      <c r="Z56" s="1138"/>
      <c r="AA56" s="1138"/>
      <c r="AB56" s="1138"/>
      <c r="AC56" s="1138"/>
    </row>
    <row r="57" spans="1:29" ht="15.75" thickTop="1">
      <c r="A57" s="531"/>
      <c r="B57" s="657">
        <f>B11</f>
        <v>111</v>
      </c>
      <c r="C57" s="546"/>
      <c r="D57" s="546"/>
      <c r="E57" s="546"/>
      <c r="F57" s="546"/>
      <c r="G57" s="546"/>
      <c r="H57" s="546"/>
      <c r="I57" s="546"/>
      <c r="J57" s="546"/>
      <c r="K57" s="547"/>
      <c r="L57" s="548"/>
      <c r="M57" s="549"/>
      <c r="N57" s="1146"/>
      <c r="O57" s="1146"/>
      <c r="P57" s="1423"/>
      <c r="Q57" s="1417"/>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3"/>
      <c r="Q58" s="1417"/>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4"/>
      <c r="Q59" s="1425"/>
      <c r="R59" s="1426"/>
      <c r="S59" s="1426"/>
      <c r="T59" s="1426"/>
      <c r="U59" s="1426"/>
      <c r="V59" s="1426"/>
      <c r="W59" s="1426"/>
      <c r="X59" s="1426"/>
      <c r="Y59" s="1426"/>
      <c r="Z59" s="1426"/>
      <c r="AA59" s="1426"/>
      <c r="AB59" s="1426"/>
      <c r="AC59" s="1426"/>
    </row>
    <row r="60" spans="1:29" s="468" customFormat="1" ht="15.75" thickBot="1">
      <c r="A60" s="550"/>
      <c r="B60" s="540"/>
      <c r="C60" s="557"/>
      <c r="D60" s="533"/>
      <c r="E60" s="533"/>
      <c r="F60" s="533"/>
      <c r="G60" s="533"/>
      <c r="H60" s="533"/>
      <c r="I60" s="533"/>
      <c r="J60" s="533"/>
      <c r="K60" s="533"/>
      <c r="L60" s="533"/>
      <c r="M60" s="534"/>
      <c r="N60" s="1147"/>
      <c r="O60" s="1147"/>
      <c r="P60" s="1424"/>
      <c r="Q60" s="1425"/>
      <c r="R60" s="1426"/>
      <c r="S60" s="1426"/>
      <c r="T60" s="1426"/>
      <c r="U60" s="1426"/>
      <c r="V60" s="1426"/>
      <c r="W60" s="1426"/>
      <c r="X60" s="1426"/>
      <c r="Y60" s="1426"/>
      <c r="Z60" s="1426"/>
      <c r="AA60" s="1426"/>
      <c r="AB60" s="1426"/>
      <c r="AC60" s="1426"/>
    </row>
    <row r="61" spans="1:29" s="468" customFormat="1" ht="15.75" thickTop="1">
      <c r="A61" s="550"/>
      <c r="B61" s="535">
        <f>B13</f>
        <v>111</v>
      </c>
      <c r="C61" s="551"/>
      <c r="D61" s="551"/>
      <c r="E61" s="551"/>
      <c r="F61" s="551"/>
      <c r="G61" s="551"/>
      <c r="H61" s="552"/>
      <c r="I61" s="552"/>
      <c r="J61" s="552"/>
      <c r="K61" s="552"/>
      <c r="L61" s="553"/>
      <c r="M61" s="554"/>
      <c r="N61" s="1148"/>
      <c r="O61" s="1148"/>
      <c r="P61" s="1427"/>
      <c r="Q61" s="1428"/>
      <c r="R61" s="1426"/>
      <c r="S61" s="1426"/>
      <c r="T61" s="1426"/>
      <c r="U61" s="1426"/>
      <c r="V61" s="1426"/>
      <c r="W61" s="1426"/>
      <c r="X61" s="1426"/>
      <c r="Y61" s="1426"/>
      <c r="Z61" s="1426"/>
      <c r="AA61" s="1426"/>
      <c r="AB61" s="1426"/>
      <c r="AC61" s="1426"/>
    </row>
    <row r="62" spans="1:29" s="468" customFormat="1" ht="15.75" thickBot="1">
      <c r="A62" s="550"/>
      <c r="B62" s="540"/>
      <c r="C62" s="557"/>
      <c r="D62" s="557"/>
      <c r="E62" s="557"/>
      <c r="F62" s="557"/>
      <c r="G62" s="557"/>
      <c r="H62" s="559"/>
      <c r="I62" s="559"/>
      <c r="J62" s="559"/>
      <c r="K62" s="559"/>
      <c r="L62" s="559"/>
      <c r="M62" s="560"/>
      <c r="N62" s="1148"/>
      <c r="O62" s="1148"/>
      <c r="P62" s="1424"/>
      <c r="Q62" s="1425"/>
      <c r="R62" s="1426"/>
      <c r="S62" s="1426"/>
      <c r="T62" s="1426"/>
      <c r="U62" s="1426"/>
      <c r="V62" s="1426"/>
      <c r="W62" s="1426"/>
      <c r="X62" s="1426"/>
      <c r="Y62" s="1426"/>
      <c r="Z62" s="1426"/>
      <c r="AA62" s="1426"/>
      <c r="AB62" s="1426"/>
      <c r="AC62" s="1426"/>
    </row>
    <row r="63" spans="1:29" ht="15" thickTop="1">
      <c r="A63" s="524" t="s">
        <v>2548</v>
      </c>
      <c r="B63" s="525" t="s">
        <v>2591</v>
      </c>
      <c r="C63" s="570" t="s">
        <v>2586</v>
      </c>
      <c r="D63" s="570" t="s">
        <v>2587</v>
      </c>
      <c r="E63" s="570" t="s">
        <v>2588</v>
      </c>
      <c r="F63" s="570" t="s">
        <v>2589</v>
      </c>
      <c r="G63" s="570" t="s">
        <v>2590</v>
      </c>
      <c r="H63" s="526"/>
      <c r="I63" s="526"/>
      <c r="J63" s="526"/>
      <c r="K63" s="571"/>
      <c r="L63" s="572"/>
      <c r="M63" s="573"/>
      <c r="N63" s="1146"/>
      <c r="O63" s="1146"/>
      <c r="P63" s="1429"/>
      <c r="Q63" s="1417"/>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3"/>
      <c r="Q64" s="1417"/>
      <c r="R64" s="1138"/>
      <c r="S64" s="1138"/>
      <c r="T64" s="1138"/>
      <c r="U64" s="1138"/>
      <c r="V64" s="1138"/>
      <c r="W64" s="1138"/>
      <c r="X64" s="1138"/>
      <c r="Y64" s="1138"/>
      <c r="Z64" s="1138"/>
      <c r="AA64" s="1138"/>
      <c r="AB64" s="1138"/>
      <c r="AC64" s="1138"/>
    </row>
    <row r="65" spans="1:29" ht="15.75" thickTop="1">
      <c r="A65" s="531"/>
      <c r="B65" s="535" t="s">
        <v>2592</v>
      </c>
      <c r="C65" s="575" t="s">
        <v>2586</v>
      </c>
      <c r="D65" s="575" t="s">
        <v>2587</v>
      </c>
      <c r="E65" s="575" t="s">
        <v>2588</v>
      </c>
      <c r="F65" s="575" t="s">
        <v>2589</v>
      </c>
      <c r="G65" s="575" t="s">
        <v>2590</v>
      </c>
      <c r="H65" s="536"/>
      <c r="I65" s="536"/>
      <c r="J65" s="536"/>
      <c r="K65" s="537"/>
      <c r="L65" s="538"/>
      <c r="M65" s="539"/>
      <c r="N65" s="1146"/>
      <c r="O65" s="1146"/>
      <c r="P65" s="1423"/>
      <c r="Q65" s="1417"/>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3"/>
      <c r="Q66" s="1417"/>
      <c r="R66" s="1138"/>
      <c r="S66" s="1138"/>
      <c r="T66" s="1138"/>
      <c r="U66" s="1138"/>
      <c r="V66" s="1138"/>
      <c r="W66" s="1138"/>
      <c r="X66" s="1138"/>
      <c r="Y66" s="1138"/>
      <c r="Z66" s="1138"/>
      <c r="AA66" s="1138"/>
      <c r="AB66" s="1138"/>
      <c r="AC66" s="1138"/>
    </row>
    <row r="67" spans="1:29" ht="15.75" thickTop="1">
      <c r="A67" s="531"/>
      <c r="B67" s="543" t="s">
        <v>2678</v>
      </c>
      <c r="C67" s="657" t="s">
        <v>2664</v>
      </c>
      <c r="D67" s="657" t="s">
        <v>2665</v>
      </c>
      <c r="E67" s="657" t="s">
        <v>2666</v>
      </c>
      <c r="F67" s="657" t="s">
        <v>2667</v>
      </c>
      <c r="G67" s="657" t="s">
        <v>2668</v>
      </c>
      <c r="H67" s="536"/>
      <c r="I67" s="536"/>
      <c r="J67" s="536"/>
      <c r="K67" s="536"/>
      <c r="L67" s="536"/>
      <c r="M67" s="1376"/>
      <c r="N67" s="1147"/>
      <c r="O67" s="1147"/>
      <c r="P67" s="1423"/>
      <c r="Q67" s="1417"/>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7"/>
      <c r="O68" s="1147"/>
      <c r="P68" s="1423"/>
      <c r="Q68" s="1417"/>
      <c r="R68" s="1138"/>
      <c r="S68" s="1138"/>
      <c r="T68" s="1138"/>
      <c r="U68" s="1138"/>
      <c r="V68" s="1138"/>
      <c r="W68" s="1138"/>
      <c r="X68" s="1138"/>
      <c r="Y68" s="1138"/>
      <c r="Z68" s="1138"/>
      <c r="AA68" s="1138"/>
      <c r="AB68" s="1138"/>
      <c r="AC68" s="1138"/>
    </row>
    <row r="69" spans="1:29" ht="15.75" thickTop="1">
      <c r="A69" s="531"/>
      <c r="B69" s="535" t="s">
        <v>2598</v>
      </c>
      <c r="C69" s="575" t="s">
        <v>2586</v>
      </c>
      <c r="D69" s="575" t="s">
        <v>2587</v>
      </c>
      <c r="E69" s="575" t="s">
        <v>2588</v>
      </c>
      <c r="F69" s="575" t="s">
        <v>2589</v>
      </c>
      <c r="G69" s="575" t="s">
        <v>2590</v>
      </c>
      <c r="H69" s="536"/>
      <c r="I69" s="536"/>
      <c r="J69" s="536"/>
      <c r="K69" s="537"/>
      <c r="L69" s="538"/>
      <c r="M69" s="539"/>
      <c r="N69" s="1146"/>
      <c r="O69" s="1146"/>
      <c r="P69" s="1423"/>
      <c r="Q69" s="1417"/>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3"/>
      <c r="Q70" s="1417"/>
      <c r="R70" s="1138"/>
      <c r="S70" s="1138"/>
      <c r="T70" s="1138"/>
      <c r="U70" s="1138"/>
      <c r="V70" s="1138"/>
      <c r="W70" s="1138"/>
      <c r="X70" s="1138"/>
      <c r="Y70" s="1138"/>
      <c r="Z70" s="1138"/>
      <c r="AA70" s="1138"/>
      <c r="AB70" s="1138"/>
      <c r="AC70" s="1138"/>
    </row>
    <row r="71" spans="1:29" ht="15.75" thickTop="1">
      <c r="A71" s="531"/>
      <c r="B71" s="535" t="s">
        <v>2718</v>
      </c>
      <c r="C71" s="551"/>
      <c r="D71" s="551"/>
      <c r="E71" s="551"/>
      <c r="F71" s="551"/>
      <c r="G71" s="551"/>
      <c r="H71" s="580"/>
      <c r="I71" s="580"/>
      <c r="J71" s="580"/>
      <c r="K71" s="581"/>
      <c r="L71" s="582"/>
      <c r="M71" s="583"/>
      <c r="N71" s="1146"/>
      <c r="O71" s="1146"/>
      <c r="P71" s="1423"/>
      <c r="Q71" s="1417"/>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3"/>
      <c r="Q72" s="1417"/>
      <c r="R72" s="1138"/>
      <c r="S72" s="1138"/>
      <c r="T72" s="1138"/>
      <c r="U72" s="1138"/>
      <c r="V72" s="1138"/>
      <c r="W72" s="1138"/>
      <c r="X72" s="1138"/>
      <c r="Y72" s="1138"/>
      <c r="Z72" s="1138"/>
      <c r="AA72" s="1138"/>
      <c r="AB72" s="1138"/>
      <c r="AC72" s="1138"/>
    </row>
    <row r="73" spans="1:29" s="116" customFormat="1" ht="15.75" thickTop="1">
      <c r="A73" s="576"/>
      <c r="B73" s="535">
        <f>B23</f>
        <v>111</v>
      </c>
      <c r="C73" s="546"/>
      <c r="D73" s="546"/>
      <c r="E73" s="546"/>
      <c r="F73" s="546"/>
      <c r="G73" s="551"/>
      <c r="H73" s="551"/>
      <c r="I73" s="551"/>
      <c r="J73" s="551"/>
      <c r="K73" s="551"/>
      <c r="L73" s="577"/>
      <c r="M73" s="578"/>
      <c r="N73" s="1145"/>
      <c r="O73" s="1145"/>
      <c r="P73" s="1423"/>
      <c r="Q73" s="1417"/>
      <c r="R73" s="1421"/>
      <c r="S73" s="1421"/>
      <c r="T73" s="1421"/>
      <c r="U73" s="1421"/>
      <c r="V73" s="1421"/>
      <c r="W73" s="1421"/>
      <c r="X73" s="1421"/>
      <c r="Y73" s="1421"/>
      <c r="Z73" s="1421"/>
      <c r="AA73" s="1421"/>
      <c r="AB73" s="1421"/>
      <c r="AC73" s="1421"/>
    </row>
    <row r="74" spans="1:29" s="116" customFormat="1" ht="15.75" thickBot="1">
      <c r="A74" s="576"/>
      <c r="B74" s="540"/>
      <c r="C74" s="557"/>
      <c r="D74" s="533"/>
      <c r="E74" s="533"/>
      <c r="F74" s="533"/>
      <c r="G74" s="533"/>
      <c r="H74" s="533"/>
      <c r="I74" s="533"/>
      <c r="J74" s="533"/>
      <c r="K74" s="533"/>
      <c r="L74" s="533"/>
      <c r="M74" s="534"/>
      <c r="N74" s="1147"/>
      <c r="O74" s="1147"/>
      <c r="P74" s="1423"/>
      <c r="Q74" s="1417"/>
      <c r="R74" s="1421"/>
      <c r="S74" s="1421"/>
      <c r="T74" s="1421"/>
      <c r="U74" s="1421"/>
      <c r="V74" s="1421"/>
      <c r="W74" s="1421"/>
      <c r="X74" s="1421"/>
      <c r="Y74" s="1421"/>
      <c r="Z74" s="1421"/>
      <c r="AA74" s="1421"/>
      <c r="AB74" s="1421"/>
      <c r="AC74" s="1421"/>
    </row>
    <row r="75" spans="1:29" s="116" customFormat="1" ht="15.75" thickTop="1">
      <c r="A75" s="576"/>
      <c r="B75" s="535">
        <f>B24</f>
        <v>111</v>
      </c>
      <c r="C75" s="546"/>
      <c r="D75" s="546"/>
      <c r="E75" s="546"/>
      <c r="F75" s="546"/>
      <c r="G75" s="551"/>
      <c r="H75" s="551"/>
      <c r="I75" s="551"/>
      <c r="J75" s="551"/>
      <c r="K75" s="551"/>
      <c r="L75" s="551"/>
      <c r="M75" s="578"/>
      <c r="N75" s="1145"/>
      <c r="O75" s="1145"/>
      <c r="P75" s="1423"/>
      <c r="Q75" s="1417"/>
      <c r="R75" s="1421"/>
      <c r="S75" s="1421"/>
      <c r="T75" s="1421"/>
      <c r="U75" s="1421"/>
      <c r="V75" s="1421"/>
      <c r="W75" s="1421"/>
      <c r="X75" s="1421"/>
      <c r="Y75" s="1421"/>
      <c r="Z75" s="1421"/>
      <c r="AA75" s="1421"/>
      <c r="AB75" s="1421"/>
      <c r="AC75" s="1421"/>
    </row>
    <row r="76" spans="1:29" s="116" customFormat="1" ht="15.75" thickBot="1">
      <c r="A76" s="576"/>
      <c r="B76" s="540"/>
      <c r="C76" s="557"/>
      <c r="D76" s="533"/>
      <c r="E76" s="533"/>
      <c r="F76" s="533"/>
      <c r="G76" s="533"/>
      <c r="H76" s="533"/>
      <c r="I76" s="533"/>
      <c r="J76" s="533"/>
      <c r="K76" s="533"/>
      <c r="L76" s="533"/>
      <c r="M76" s="534"/>
      <c r="N76" s="1147"/>
      <c r="O76" s="1147"/>
      <c r="P76" s="1423"/>
      <c r="Q76" s="1417"/>
      <c r="R76" s="1421"/>
      <c r="S76" s="1421"/>
      <c r="T76" s="1421"/>
      <c r="U76" s="1421"/>
      <c r="V76" s="1421"/>
      <c r="W76" s="1421"/>
      <c r="X76" s="1421"/>
      <c r="Y76" s="1421"/>
      <c r="Z76" s="1421"/>
      <c r="AA76" s="1421"/>
      <c r="AB76" s="1421"/>
      <c r="AC76" s="1421"/>
    </row>
    <row r="77" spans="1:29" s="468" customFormat="1" ht="15.75" thickTop="1">
      <c r="A77" s="550"/>
      <c r="B77" s="535">
        <f>B25</f>
        <v>111</v>
      </c>
      <c r="C77" s="551"/>
      <c r="D77" s="551"/>
      <c r="E77" s="551"/>
      <c r="F77" s="551"/>
      <c r="G77" s="551"/>
      <c r="H77" s="552"/>
      <c r="I77" s="552"/>
      <c r="J77" s="552"/>
      <c r="K77" s="552"/>
      <c r="L77" s="553"/>
      <c r="M77" s="554"/>
      <c r="N77" s="1148"/>
      <c r="O77" s="1148"/>
      <c r="P77" s="1424"/>
      <c r="Q77" s="1425"/>
      <c r="R77" s="1426"/>
      <c r="S77" s="1426"/>
      <c r="T77" s="1426"/>
      <c r="U77" s="1426"/>
      <c r="V77" s="1426"/>
      <c r="W77" s="1426"/>
      <c r="X77" s="1426"/>
      <c r="Y77" s="1426"/>
      <c r="Z77" s="1426"/>
      <c r="AA77" s="1426"/>
      <c r="AB77" s="1426"/>
      <c r="AC77" s="1426"/>
    </row>
    <row r="78" spans="1:29" s="468" customFormat="1" ht="15.75" thickBot="1">
      <c r="A78" s="550"/>
      <c r="B78" s="540"/>
      <c r="C78" s="557"/>
      <c r="D78" s="557"/>
      <c r="E78" s="557"/>
      <c r="F78" s="557"/>
      <c r="G78" s="533"/>
      <c r="H78" s="533"/>
      <c r="I78" s="533"/>
      <c r="J78" s="533"/>
      <c r="K78" s="533"/>
      <c r="L78" s="533"/>
      <c r="M78" s="534"/>
      <c r="N78" s="1148"/>
      <c r="O78" s="1148"/>
      <c r="P78" s="1424"/>
      <c r="Q78" s="1425"/>
      <c r="R78" s="1426"/>
      <c r="S78" s="1426"/>
      <c r="T78" s="1426"/>
      <c r="U78" s="1426"/>
      <c r="V78" s="1426"/>
      <c r="W78" s="1426"/>
      <c r="X78" s="1426"/>
      <c r="Y78" s="1426"/>
      <c r="Z78" s="1426"/>
      <c r="AA78" s="1426"/>
      <c r="AB78" s="1426"/>
      <c r="AC78" s="1426"/>
    </row>
    <row r="79" spans="1:29" ht="27.75" thickTop="1">
      <c r="A79" s="524" t="s">
        <v>2552</v>
      </c>
      <c r="B79" s="525" t="s">
        <v>2719</v>
      </c>
      <c r="C79" s="526">
        <f>C26</f>
        <v>0</v>
      </c>
      <c r="D79" s="527"/>
      <c r="E79" s="527"/>
      <c r="F79" s="527"/>
      <c r="G79" s="527"/>
      <c r="H79" s="527"/>
      <c r="I79" s="527"/>
      <c r="J79" s="527"/>
      <c r="K79" s="528"/>
      <c r="L79" s="529"/>
      <c r="M79" s="530"/>
      <c r="N79" s="1146"/>
      <c r="O79" s="1146"/>
      <c r="P79" s="1423"/>
      <c r="Q79" s="1417"/>
      <c r="R79" s="1138"/>
      <c r="S79" s="1138"/>
      <c r="T79" s="1138"/>
      <c r="U79" s="1138"/>
      <c r="V79" s="1138"/>
      <c r="W79" s="1138"/>
      <c r="X79" s="1138"/>
      <c r="Y79" s="1138"/>
      <c r="Z79" s="1138"/>
      <c r="AA79" s="1138"/>
      <c r="AB79" s="1138"/>
      <c r="AC79" s="1138"/>
    </row>
    <row r="80" spans="1:29" ht="15.75" thickBot="1">
      <c r="A80" s="531"/>
      <c r="B80" s="540"/>
      <c r="C80" s="541">
        <v>100</v>
      </c>
      <c r="D80" s="541">
        <f t="shared" ref="D80:M80" si="14">C80-$K26</f>
        <v>100</v>
      </c>
      <c r="E80" s="541">
        <f t="shared" si="14"/>
        <v>100</v>
      </c>
      <c r="F80" s="541">
        <f t="shared" si="14"/>
        <v>100</v>
      </c>
      <c r="G80" s="541">
        <f t="shared" si="14"/>
        <v>100</v>
      </c>
      <c r="H80" s="541">
        <f t="shared" si="14"/>
        <v>100</v>
      </c>
      <c r="I80" s="541">
        <f t="shared" si="14"/>
        <v>100</v>
      </c>
      <c r="J80" s="541">
        <f t="shared" si="14"/>
        <v>100</v>
      </c>
      <c r="K80" s="541">
        <f t="shared" si="14"/>
        <v>100</v>
      </c>
      <c r="L80" s="541">
        <f t="shared" si="14"/>
        <v>100</v>
      </c>
      <c r="M80" s="542">
        <f t="shared" si="14"/>
        <v>100</v>
      </c>
      <c r="N80" s="1147"/>
      <c r="O80" s="1147"/>
      <c r="P80" s="1423"/>
      <c r="Q80" s="1417"/>
      <c r="R80" s="1138"/>
      <c r="S80" s="1138"/>
      <c r="T80" s="1138"/>
      <c r="U80" s="1138"/>
      <c r="V80" s="1138"/>
      <c r="W80" s="1138"/>
      <c r="X80" s="1138"/>
      <c r="Y80" s="1138"/>
      <c r="Z80" s="1138"/>
      <c r="AA80" s="1138"/>
      <c r="AB80" s="1138"/>
      <c r="AC80" s="1138"/>
    </row>
    <row r="81" spans="1:29" ht="15.75" thickTop="1">
      <c r="A81" s="531"/>
      <c r="B81" s="535" t="s">
        <v>2720</v>
      </c>
      <c r="C81" s="658"/>
      <c r="D81" s="658"/>
      <c r="E81" s="658"/>
      <c r="F81" s="658"/>
      <c r="G81" s="658"/>
      <c r="H81" s="658"/>
      <c r="I81" s="658"/>
      <c r="J81" s="658"/>
      <c r="K81" s="659"/>
      <c r="L81" s="660"/>
      <c r="M81" s="661"/>
      <c r="N81" s="1145"/>
      <c r="O81" s="1145"/>
      <c r="P81" s="1423"/>
      <c r="Q81" s="1417"/>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4"/>
      <c r="Q82" s="1425"/>
      <c r="R82" s="1426"/>
      <c r="S82" s="1426"/>
      <c r="T82" s="1426"/>
      <c r="U82" s="1426"/>
      <c r="V82" s="1426"/>
      <c r="W82" s="1426"/>
      <c r="X82" s="1426"/>
      <c r="Y82" s="1426"/>
      <c r="Z82" s="1426"/>
      <c r="AA82" s="1426"/>
      <c r="AB82" s="1426"/>
      <c r="AC82" s="1426"/>
    </row>
    <row r="83" spans="1:29" ht="15" thickTop="1">
      <c r="A83" s="596"/>
      <c r="B83" s="535" t="s">
        <v>2605</v>
      </c>
      <c r="C83" s="551"/>
      <c r="D83" s="551"/>
      <c r="E83" s="580"/>
      <c r="F83" s="580"/>
      <c r="G83" s="580"/>
      <c r="H83" s="580"/>
      <c r="I83" s="580"/>
      <c r="J83" s="580"/>
      <c r="K83" s="581"/>
      <c r="L83" s="582"/>
      <c r="M83" s="583"/>
      <c r="N83" s="1146"/>
      <c r="O83" s="1146"/>
      <c r="P83" s="1423"/>
      <c r="Q83" s="1417"/>
      <c r="R83" s="1138"/>
      <c r="S83" s="1138"/>
      <c r="T83" s="1138"/>
      <c r="U83" s="1138"/>
      <c r="V83" s="1138"/>
      <c r="W83" s="1138"/>
      <c r="X83" s="1138"/>
      <c r="Y83" s="1138"/>
      <c r="Z83" s="1138"/>
      <c r="AA83" s="1138"/>
      <c r="AB83" s="1138"/>
      <c r="AC83" s="1138"/>
    </row>
    <row r="84" spans="1:29" ht="15.75" thickBot="1">
      <c r="A84" s="531"/>
      <c r="B84" s="540"/>
      <c r="C84" s="541">
        <v>100</v>
      </c>
      <c r="D84" s="541">
        <f t="shared" ref="D84:M84" si="15">C84-$K28</f>
        <v>100</v>
      </c>
      <c r="E84" s="541">
        <f t="shared" si="15"/>
        <v>100</v>
      </c>
      <c r="F84" s="541">
        <f t="shared" si="15"/>
        <v>100</v>
      </c>
      <c r="G84" s="541">
        <f t="shared" si="15"/>
        <v>100</v>
      </c>
      <c r="H84" s="541">
        <f t="shared" si="15"/>
        <v>100</v>
      </c>
      <c r="I84" s="541">
        <f t="shared" si="15"/>
        <v>100</v>
      </c>
      <c r="J84" s="541">
        <f t="shared" si="15"/>
        <v>100</v>
      </c>
      <c r="K84" s="541">
        <f t="shared" si="15"/>
        <v>100</v>
      </c>
      <c r="L84" s="541">
        <f t="shared" si="15"/>
        <v>100</v>
      </c>
      <c r="M84" s="542">
        <f t="shared" si="15"/>
        <v>100</v>
      </c>
      <c r="N84" s="1147"/>
      <c r="O84" s="1147"/>
      <c r="P84" s="1423"/>
      <c r="Q84" s="1417"/>
      <c r="R84" s="1138"/>
      <c r="S84" s="1138"/>
      <c r="T84" s="1138"/>
      <c r="U84" s="1138"/>
      <c r="V84" s="1138"/>
      <c r="W84" s="1138"/>
      <c r="X84" s="1138"/>
      <c r="Y84" s="1138"/>
      <c r="Z84" s="1138"/>
      <c r="AA84" s="1138"/>
      <c r="AB84" s="1138"/>
      <c r="AC84" s="1138"/>
    </row>
    <row r="85" spans="1:29" ht="15" thickTop="1">
      <c r="A85" s="596"/>
      <c r="B85" s="535" t="s">
        <v>2721</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3"/>
      <c r="Q85" s="1417"/>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20"/>
      <c r="J86" s="620"/>
      <c r="K86" s="621"/>
      <c r="L86" s="622"/>
      <c r="M86" s="623"/>
      <c r="N86" s="1146"/>
      <c r="O86" s="1146"/>
      <c r="P86" s="1423"/>
      <c r="Q86" s="1417"/>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6">D87+$K$29</f>
        <v>100</v>
      </c>
      <c r="F87" s="541">
        <f t="shared" si="16"/>
        <v>100</v>
      </c>
      <c r="G87" s="541">
        <f t="shared" si="16"/>
        <v>100</v>
      </c>
      <c r="H87" s="541">
        <f t="shared" si="16"/>
        <v>100</v>
      </c>
      <c r="I87" s="541">
        <f t="shared" si="16"/>
        <v>100</v>
      </c>
      <c r="J87" s="541">
        <f t="shared" si="16"/>
        <v>100</v>
      </c>
      <c r="K87" s="541">
        <f t="shared" si="16"/>
        <v>100</v>
      </c>
      <c r="L87" s="541">
        <f t="shared" si="16"/>
        <v>100</v>
      </c>
      <c r="M87" s="541">
        <f t="shared" si="16"/>
        <v>100</v>
      </c>
      <c r="N87" s="1147"/>
      <c r="O87" s="1147"/>
      <c r="P87" s="1423"/>
      <c r="Q87" s="1417"/>
      <c r="R87" s="1138"/>
      <c r="S87" s="1138"/>
      <c r="T87" s="1138"/>
      <c r="U87" s="1138"/>
      <c r="V87" s="1138"/>
      <c r="W87" s="1138"/>
      <c r="X87" s="1138"/>
      <c r="Y87" s="1138"/>
      <c r="Z87" s="1138"/>
      <c r="AA87" s="1138"/>
      <c r="AB87" s="1138"/>
      <c r="AC87" s="1138"/>
    </row>
    <row r="88" spans="1:29" ht="15" thickTop="1">
      <c r="A88" s="596"/>
      <c r="B88" s="543" t="s">
        <v>2722</v>
      </c>
      <c r="C88" s="527"/>
      <c r="D88" s="527"/>
      <c r="E88" s="527"/>
      <c r="F88" s="527"/>
      <c r="G88" s="527"/>
      <c r="H88" s="527"/>
      <c r="I88" s="527"/>
      <c r="J88" s="527"/>
      <c r="K88" s="528"/>
      <c r="L88" s="529"/>
      <c r="M88" s="530"/>
      <c r="N88" s="1146"/>
      <c r="O88" s="1146"/>
      <c r="P88" s="1423"/>
      <c r="Q88" s="1417"/>
      <c r="R88" s="1138"/>
      <c r="S88" s="1138"/>
      <c r="T88" s="1138"/>
      <c r="U88" s="1138"/>
      <c r="V88" s="1138"/>
      <c r="W88" s="1138"/>
      <c r="X88" s="1138"/>
      <c r="Y88" s="1138"/>
      <c r="Z88" s="1138"/>
      <c r="AA88" s="1138"/>
      <c r="AB88" s="1138"/>
      <c r="AC88" s="1138"/>
    </row>
    <row r="89" spans="1:29" ht="15.75" thickBot="1">
      <c r="A89" s="531"/>
      <c r="B89" s="540"/>
      <c r="C89" s="579">
        <v>100</v>
      </c>
      <c r="D89" s="541">
        <f t="shared" ref="D89:M89" si="17">C89+$K30</f>
        <v>100</v>
      </c>
      <c r="E89" s="541">
        <f t="shared" si="17"/>
        <v>100</v>
      </c>
      <c r="F89" s="541">
        <f t="shared" si="17"/>
        <v>100</v>
      </c>
      <c r="G89" s="541">
        <f t="shared" si="17"/>
        <v>100</v>
      </c>
      <c r="H89" s="541">
        <f t="shared" si="17"/>
        <v>100</v>
      </c>
      <c r="I89" s="541">
        <f t="shared" si="17"/>
        <v>100</v>
      </c>
      <c r="J89" s="541">
        <f t="shared" si="17"/>
        <v>100</v>
      </c>
      <c r="K89" s="541">
        <f t="shared" si="17"/>
        <v>100</v>
      </c>
      <c r="L89" s="541">
        <f t="shared" si="17"/>
        <v>100</v>
      </c>
      <c r="M89" s="541">
        <f t="shared" si="17"/>
        <v>100</v>
      </c>
      <c r="N89" s="1147"/>
      <c r="O89" s="1147"/>
      <c r="P89" s="1423"/>
      <c r="Q89" s="1417"/>
      <c r="R89" s="1138"/>
      <c r="S89" s="1138"/>
      <c r="T89" s="1138"/>
      <c r="U89" s="1138"/>
      <c r="V89" s="1138"/>
      <c r="W89" s="1138"/>
      <c r="X89" s="1138"/>
      <c r="Y89" s="1138"/>
      <c r="Z89" s="1138"/>
      <c r="AA89" s="1138"/>
      <c r="AB89" s="1138"/>
      <c r="AC89" s="1138"/>
    </row>
    <row r="90" spans="1:29" s="468" customFormat="1" ht="15" thickTop="1">
      <c r="A90" s="590"/>
      <c r="B90" s="535" t="s">
        <v>2723</v>
      </c>
      <c r="C90" s="575" t="str">
        <f>C91&amp;"(含)"&amp;"-"&amp;D91</f>
        <v>(含)-</v>
      </c>
      <c r="D90" s="575" t="str">
        <f t="shared" ref="D90:L90" si="18">D91&amp;"(含)"&amp;"-"&amp;E91</f>
        <v>(含)-</v>
      </c>
      <c r="E90" s="575" t="str">
        <f t="shared" si="18"/>
        <v>(含)-</v>
      </c>
      <c r="F90" s="575" t="str">
        <f t="shared" si="18"/>
        <v>(含)-</v>
      </c>
      <c r="G90" s="575" t="str">
        <f t="shared" si="18"/>
        <v>(含)-</v>
      </c>
      <c r="H90" s="575" t="str">
        <f t="shared" si="18"/>
        <v>(含)-</v>
      </c>
      <c r="I90" s="575" t="str">
        <f t="shared" si="18"/>
        <v>(含)-</v>
      </c>
      <c r="J90" s="575" t="str">
        <f t="shared" si="18"/>
        <v>(含)-</v>
      </c>
      <c r="K90" s="575" t="str">
        <f t="shared" si="18"/>
        <v>(含)-</v>
      </c>
      <c r="L90" s="575" t="str">
        <f t="shared" si="18"/>
        <v>(含)-</v>
      </c>
      <c r="M90" s="619" t="str">
        <f>M91&amp;"(含)"&amp;"-"&amp;P91</f>
        <v>(含)-</v>
      </c>
      <c r="N90" s="1148"/>
      <c r="O90" s="1148"/>
      <c r="P90" s="1424"/>
      <c r="Q90" s="1425"/>
      <c r="R90" s="1426"/>
      <c r="S90" s="1426"/>
      <c r="T90" s="1426"/>
      <c r="U90" s="1426"/>
      <c r="V90" s="1426"/>
      <c r="W90" s="1426"/>
      <c r="X90" s="1426"/>
      <c r="Y90" s="1426"/>
      <c r="Z90" s="1426"/>
      <c r="AA90" s="1426"/>
      <c r="AB90" s="1426"/>
      <c r="AC90" s="1426"/>
    </row>
    <row r="91" spans="1:29" s="468" customFormat="1">
      <c r="A91" s="590"/>
      <c r="B91" s="543"/>
      <c r="C91" s="592"/>
      <c r="D91" s="592"/>
      <c r="E91" s="592"/>
      <c r="F91" s="592"/>
      <c r="G91" s="592"/>
      <c r="H91" s="592"/>
      <c r="I91" s="592"/>
      <c r="J91" s="593"/>
      <c r="K91" s="593"/>
      <c r="L91" s="594"/>
      <c r="M91" s="595"/>
      <c r="N91" s="1148"/>
      <c r="O91" s="1148"/>
      <c r="P91" s="1424"/>
      <c r="Q91" s="1425"/>
      <c r="R91" s="1426"/>
      <c r="S91" s="1426"/>
      <c r="T91" s="1426"/>
      <c r="U91" s="1426"/>
      <c r="V91" s="1426"/>
      <c r="W91" s="1426"/>
      <c r="X91" s="1426"/>
      <c r="Y91" s="1426"/>
      <c r="Z91" s="1426"/>
      <c r="AA91" s="1426"/>
      <c r="AB91" s="1426"/>
      <c r="AC91" s="1426"/>
    </row>
    <row r="92" spans="1:29" s="468" customFormat="1" ht="15.75" thickBot="1">
      <c r="A92" s="550"/>
      <c r="B92" s="540"/>
      <c r="C92" s="557"/>
      <c r="D92" s="533"/>
      <c r="E92" s="533"/>
      <c r="F92" s="533"/>
      <c r="G92" s="533"/>
      <c r="H92" s="533"/>
      <c r="I92" s="533"/>
      <c r="J92" s="533"/>
      <c r="K92" s="533"/>
      <c r="L92" s="533"/>
      <c r="M92" s="534"/>
      <c r="N92" s="1148"/>
      <c r="O92" s="1148"/>
      <c r="P92" s="1424"/>
      <c r="Q92" s="1425"/>
      <c r="R92" s="1426"/>
      <c r="S92" s="1426"/>
      <c r="T92" s="1426"/>
      <c r="U92" s="1426"/>
      <c r="V92" s="1426"/>
      <c r="W92" s="1426"/>
      <c r="X92" s="1426"/>
      <c r="Y92" s="1426"/>
      <c r="Z92" s="1426"/>
      <c r="AA92" s="1426"/>
      <c r="AB92" s="1426"/>
      <c r="AC92" s="1426"/>
    </row>
    <row r="93" spans="1:29" ht="15" thickTop="1">
      <c r="A93" s="596"/>
      <c r="B93" s="535" t="s">
        <v>2724</v>
      </c>
      <c r="C93" s="551"/>
      <c r="D93" s="551"/>
      <c r="E93" s="580"/>
      <c r="F93" s="580"/>
      <c r="G93" s="580"/>
      <c r="H93" s="580"/>
      <c r="I93" s="580"/>
      <c r="J93" s="580"/>
      <c r="K93" s="581"/>
      <c r="L93" s="582"/>
      <c r="M93" s="583"/>
      <c r="N93" s="1146"/>
      <c r="O93" s="1146"/>
      <c r="P93" s="1423"/>
      <c r="Q93" s="1417"/>
      <c r="R93" s="1138"/>
      <c r="S93" s="1138"/>
      <c r="T93" s="1138"/>
      <c r="U93" s="1138"/>
      <c r="V93" s="1138"/>
      <c r="W93" s="1138"/>
      <c r="X93" s="1138"/>
      <c r="Y93" s="1138"/>
      <c r="Z93" s="1138"/>
      <c r="AA93" s="1138"/>
      <c r="AB93" s="1138"/>
      <c r="AC93" s="1138"/>
    </row>
    <row r="94" spans="1:29" ht="15.75" thickBot="1">
      <c r="A94" s="531"/>
      <c r="B94" s="540"/>
      <c r="C94" s="541">
        <v>100</v>
      </c>
      <c r="D94" s="541">
        <f t="shared" ref="D94:M94" si="19">C94-$K32</f>
        <v>100</v>
      </c>
      <c r="E94" s="541">
        <f t="shared" si="19"/>
        <v>100</v>
      </c>
      <c r="F94" s="541">
        <f t="shared" si="19"/>
        <v>100</v>
      </c>
      <c r="G94" s="541">
        <f t="shared" si="19"/>
        <v>100</v>
      </c>
      <c r="H94" s="541">
        <f t="shared" si="19"/>
        <v>100</v>
      </c>
      <c r="I94" s="541">
        <f t="shared" si="19"/>
        <v>100</v>
      </c>
      <c r="J94" s="541">
        <f t="shared" si="19"/>
        <v>100</v>
      </c>
      <c r="K94" s="541">
        <f t="shared" si="19"/>
        <v>100</v>
      </c>
      <c r="L94" s="541">
        <f t="shared" si="19"/>
        <v>100</v>
      </c>
      <c r="M94" s="542">
        <f t="shared" si="19"/>
        <v>100</v>
      </c>
      <c r="N94" s="1147"/>
      <c r="O94" s="1147"/>
      <c r="P94" s="1423"/>
      <c r="Q94" s="1417"/>
      <c r="R94" s="1138"/>
      <c r="S94" s="1138"/>
      <c r="T94" s="1138"/>
      <c r="U94" s="1138"/>
      <c r="V94" s="1138"/>
      <c r="W94" s="1138"/>
      <c r="X94" s="1138"/>
      <c r="Y94" s="1138"/>
      <c r="Z94" s="1138"/>
      <c r="AA94" s="1138"/>
      <c r="AB94" s="1138"/>
      <c r="AC94" s="1138"/>
    </row>
    <row r="95" spans="1:29" ht="15" thickTop="1">
      <c r="A95" s="596"/>
      <c r="B95" s="535" t="s">
        <v>2725</v>
      </c>
      <c r="C95" s="527"/>
      <c r="D95" s="527"/>
      <c r="E95" s="527"/>
      <c r="F95" s="527"/>
      <c r="G95" s="527"/>
      <c r="H95" s="527"/>
      <c r="I95" s="527"/>
      <c r="J95" s="527"/>
      <c r="K95" s="528"/>
      <c r="L95" s="529"/>
      <c r="M95" s="530"/>
      <c r="N95" s="1146"/>
      <c r="O95" s="1146"/>
      <c r="P95" s="1423"/>
      <c r="Q95" s="1417"/>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3"/>
      <c r="Q96" s="1417"/>
      <c r="R96" s="1138"/>
      <c r="S96" s="1138"/>
      <c r="T96" s="1138"/>
      <c r="U96" s="1138"/>
      <c r="V96" s="1138"/>
      <c r="W96" s="1138"/>
      <c r="X96" s="1138"/>
      <c r="Y96" s="1138"/>
      <c r="Z96" s="1138"/>
      <c r="AA96" s="1138"/>
      <c r="AB96" s="1138"/>
      <c r="AC96" s="1138"/>
    </row>
    <row r="97" spans="1:29" ht="15" thickTop="1">
      <c r="A97" s="596"/>
      <c r="B97" s="633">
        <f>B34</f>
        <v>111</v>
      </c>
      <c r="C97" s="546"/>
      <c r="D97" s="546"/>
      <c r="E97" s="546"/>
      <c r="F97" s="546"/>
      <c r="G97" s="551"/>
      <c r="H97" s="552"/>
      <c r="I97" s="552"/>
      <c r="J97" s="552"/>
      <c r="K97" s="552"/>
      <c r="L97" s="553"/>
      <c r="M97" s="554"/>
      <c r="N97" s="1147"/>
      <c r="O97" s="1147"/>
      <c r="P97" s="1430"/>
      <c r="Q97" s="1431"/>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3"/>
      <c r="Q98" s="1417"/>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4"/>
      <c r="Q99" s="1425"/>
      <c r="R99" s="1426"/>
      <c r="S99" s="1426"/>
      <c r="T99" s="1426"/>
      <c r="U99" s="1426"/>
      <c r="V99" s="1426"/>
      <c r="W99" s="1426"/>
      <c r="X99" s="1426"/>
      <c r="Y99" s="1426"/>
      <c r="Z99" s="1426"/>
      <c r="AA99" s="1426"/>
      <c r="AB99" s="1426"/>
      <c r="AC99" s="1426"/>
    </row>
    <row r="100" spans="1:29" s="468" customFormat="1" ht="15.75" thickBot="1">
      <c r="A100" s="550"/>
      <c r="B100" s="532"/>
      <c r="C100" s="557"/>
      <c r="D100" s="533"/>
      <c r="E100" s="533"/>
      <c r="F100" s="533"/>
      <c r="G100" s="557"/>
      <c r="H100" s="559"/>
      <c r="I100" s="559"/>
      <c r="J100" s="559"/>
      <c r="K100" s="559"/>
      <c r="L100" s="559"/>
      <c r="M100" s="560"/>
      <c r="N100" s="1148"/>
      <c r="O100" s="1148"/>
      <c r="P100" s="1424"/>
      <c r="Q100" s="1425"/>
      <c r="R100" s="1426"/>
      <c r="S100" s="1426"/>
      <c r="T100" s="1426"/>
      <c r="U100" s="1426"/>
      <c r="V100" s="1426"/>
      <c r="W100" s="1426"/>
      <c r="X100" s="1426"/>
      <c r="Y100" s="1426"/>
      <c r="Z100" s="1426"/>
      <c r="AA100" s="1426"/>
      <c r="AB100" s="1426"/>
      <c r="AC100" s="1426"/>
    </row>
    <row r="101" spans="1:29" ht="15" thickTop="1">
      <c r="A101" s="596"/>
      <c r="B101" s="535">
        <f>B36</f>
        <v>111</v>
      </c>
      <c r="C101" s="551"/>
      <c r="D101" s="551"/>
      <c r="E101" s="551"/>
      <c r="F101" s="551"/>
      <c r="G101" s="551"/>
      <c r="H101" s="552"/>
      <c r="I101" s="552"/>
      <c r="J101" s="552"/>
      <c r="K101" s="552"/>
      <c r="L101" s="553"/>
      <c r="M101" s="554"/>
      <c r="N101" s="1146"/>
      <c r="O101" s="1146"/>
      <c r="P101" s="1423"/>
      <c r="Q101" s="1417"/>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2" customFormat="1" ht="28.5" customHeight="1" thickBot="1">
      <c r="A1" s="1611" t="s">
        <v>2696</v>
      </c>
      <c r="B1" s="1612"/>
      <c r="C1" s="1613" t="s">
        <v>2519</v>
      </c>
      <c r="D1" s="1614"/>
      <c r="E1" s="1623"/>
      <c r="F1" s="2576"/>
      <c r="G1" s="1624" t="s">
        <v>2632</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2319</v>
      </c>
      <c r="B2" s="1412" t="e">
        <f ca="1">IF(C2="——",ROUND(C37*D3/10000,0),ROUND(C37*D3/10000,0)-D2)</f>
        <v>#DIV/0!</v>
      </c>
      <c r="C2" s="2578"/>
      <c r="D2" s="1118" t="e">
        <f ca="1">SUMIF(INDIRECT("'"&amp;F2&amp;"'"&amp;"!A:A"),"承租人权益价值",INDIRECT("'"&amp;F2&amp;"'"&amp;"!c:c"))</f>
        <v>#REF!</v>
      </c>
      <c r="E2" s="2579" t="s">
        <v>2320</v>
      </c>
      <c r="F2" s="258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2321</v>
      </c>
      <c r="B3" s="606" t="e">
        <f ca="1">IF(C2="——",C37,ROUND(B2*10000/D3,0))</f>
        <v>#DIV/0!</v>
      </c>
      <c r="C3" s="397" t="s">
        <v>2633</v>
      </c>
      <c r="D3" s="396">
        <f>SUMIF('数据-汇总表'!$C19:$C33,D1,'数据-汇总表'!$E19:$E33)</f>
        <v>0</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2634</v>
      </c>
      <c r="B4" s="399"/>
      <c r="C4" s="3264" t="s">
        <v>2635</v>
      </c>
      <c r="D4" s="3277"/>
      <c r="E4" s="3278" t="s">
        <v>2636</v>
      </c>
      <c r="F4" s="3279"/>
      <c r="G4" s="3264" t="s">
        <v>2637</v>
      </c>
      <c r="H4" s="3277"/>
      <c r="I4" s="3264" t="s">
        <v>2638</v>
      </c>
      <c r="J4" s="3277"/>
      <c r="K4" s="607" t="s">
        <v>2639</v>
      </c>
      <c r="L4" s="1124"/>
      <c r="M4" s="1125"/>
      <c r="N4" s="1125"/>
      <c r="O4" s="1125"/>
      <c r="P4" s="3280" t="s">
        <v>2640</v>
      </c>
      <c r="Q4" s="3281"/>
      <c r="R4" s="3286" t="s">
        <v>2636</v>
      </c>
      <c r="S4" s="3287"/>
      <c r="T4" s="3286" t="s">
        <v>2637</v>
      </c>
      <c r="U4" s="3287"/>
      <c r="V4" s="3273" t="s">
        <v>2638</v>
      </c>
      <c r="W4" s="3273"/>
      <c r="X4" s="1806"/>
      <c r="Y4" s="3286" t="s">
        <v>2640</v>
      </c>
      <c r="Z4" s="3287"/>
      <c r="AA4" s="3274" t="s">
        <v>2636</v>
      </c>
      <c r="AB4" s="3275" t="s">
        <v>2637</v>
      </c>
      <c r="AC4" s="3274" t="s">
        <v>2638</v>
      </c>
    </row>
    <row r="5" spans="1:29" ht="15">
      <c r="A5" s="401"/>
      <c r="B5" s="402"/>
      <c r="C5" s="3294" t="s">
        <v>2531</v>
      </c>
      <c r="D5" s="3295"/>
      <c r="E5" s="3301" t="s">
        <v>2532</v>
      </c>
      <c r="F5" s="3302"/>
      <c r="G5" s="3294" t="s">
        <v>2533</v>
      </c>
      <c r="H5" s="3295"/>
      <c r="I5" s="3294" t="s">
        <v>2534</v>
      </c>
      <c r="J5" s="3295"/>
      <c r="K5" s="607"/>
      <c r="L5" s="1124"/>
      <c r="M5" s="1125"/>
      <c r="N5" s="1125"/>
      <c r="O5" s="1125"/>
      <c r="P5" s="3282"/>
      <c r="Q5" s="3283"/>
      <c r="R5" s="3288"/>
      <c r="S5" s="3289"/>
      <c r="T5" s="3288"/>
      <c r="U5" s="3289"/>
      <c r="V5" s="3273"/>
      <c r="W5" s="3273"/>
      <c r="X5" s="1806"/>
      <c r="Y5" s="3288"/>
      <c r="Z5" s="3289"/>
      <c r="AA5" s="3275"/>
      <c r="AB5" s="3275"/>
      <c r="AC5" s="3275"/>
    </row>
    <row r="6" spans="1:29" ht="15.75" thickBot="1">
      <c r="A6" s="403"/>
      <c r="B6" s="404"/>
      <c r="C6" s="3292" t="s">
        <v>2535</v>
      </c>
      <c r="D6" s="3293"/>
      <c r="E6" s="3299" t="s">
        <v>2535</v>
      </c>
      <c r="F6" s="3300"/>
      <c r="G6" s="3292" t="s">
        <v>2535</v>
      </c>
      <c r="H6" s="3293"/>
      <c r="I6" s="3292" t="s">
        <v>2535</v>
      </c>
      <c r="J6" s="3293"/>
      <c r="K6" s="607" t="s">
        <v>2536</v>
      </c>
      <c r="L6" s="1124"/>
      <c r="M6" s="1125"/>
      <c r="N6" s="1125"/>
      <c r="O6" s="1125"/>
      <c r="P6" s="3284"/>
      <c r="Q6" s="3285"/>
      <c r="R6" s="3288"/>
      <c r="S6" s="3289"/>
      <c r="T6" s="3290"/>
      <c r="U6" s="3291"/>
      <c r="V6" s="3273"/>
      <c r="W6" s="3273"/>
      <c r="X6" s="1806"/>
      <c r="Y6" s="3290"/>
      <c r="Z6" s="3291"/>
      <c r="AA6" s="3276"/>
      <c r="AB6" s="3276"/>
      <c r="AC6" s="3276"/>
    </row>
    <row r="7" spans="1:29" s="116" customFormat="1" ht="15.75" thickBot="1">
      <c r="A7" s="405" t="s">
        <v>2537</v>
      </c>
      <c r="B7" s="406"/>
      <c r="C7" s="407">
        <f>'数据-取费表'!B2</f>
        <v>43782</v>
      </c>
      <c r="D7" s="408">
        <v>100</v>
      </c>
      <c r="E7" s="409"/>
      <c r="F7" s="410">
        <f>SUMIF(46:46,YEAR(E7)&amp;"-"&amp;MONTH(E7),47:47)</f>
        <v>0</v>
      </c>
      <c r="G7" s="2686"/>
      <c r="H7" s="408">
        <f>SUMIF(46:46,YEAR(G7)&amp;"-"&amp;MONTH(G7),47:47)</f>
        <v>0</v>
      </c>
      <c r="I7" s="409"/>
      <c r="J7" s="408">
        <f>SUMIF(46:46,YEAR(I7)&amp;"-"&amp;MONTH(I7),47:47)</f>
        <v>0</v>
      </c>
      <c r="K7" s="608"/>
      <c r="L7" s="1126"/>
      <c r="M7" s="1127"/>
      <c r="N7" s="1127"/>
      <c r="O7" s="1127"/>
      <c r="P7" s="3296" t="s">
        <v>2538</v>
      </c>
      <c r="Q7" s="3298"/>
      <c r="R7" s="766" t="s">
        <v>17</v>
      </c>
      <c r="S7" s="767">
        <f t="shared" ref="S7:S14" si="0">F7</f>
        <v>0</v>
      </c>
      <c r="T7" s="766" t="s">
        <v>17</v>
      </c>
      <c r="U7" s="767">
        <f t="shared" ref="U7:U14" si="1">H7</f>
        <v>0</v>
      </c>
      <c r="V7" s="766" t="s">
        <v>17</v>
      </c>
      <c r="W7" s="767">
        <f t="shared" ref="W7:W14" si="2">J7</f>
        <v>0</v>
      </c>
      <c r="X7" s="768"/>
      <c r="Y7" s="3296" t="s">
        <v>2538</v>
      </c>
      <c r="Z7" s="3297"/>
      <c r="AA7" s="769" t="e">
        <f>D7/F7</f>
        <v>#DIV/0!</v>
      </c>
      <c r="AB7" s="769" t="e">
        <f>D7/H7</f>
        <v>#DIV/0!</v>
      </c>
      <c r="AC7" s="769" t="e">
        <f>D7/J7</f>
        <v>#DIV/0!</v>
      </c>
    </row>
    <row r="8" spans="1:29" s="116" customFormat="1" ht="15.75" thickBot="1">
      <c r="A8" s="405" t="s">
        <v>2539</v>
      </c>
      <c r="B8" s="406"/>
      <c r="C8" s="411" t="s">
        <v>2641</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296" t="s">
        <v>2541</v>
      </c>
      <c r="Q8" s="3297"/>
      <c r="R8" s="766" t="s">
        <v>17</v>
      </c>
      <c r="S8" s="767">
        <f t="shared" si="0"/>
        <v>0</v>
      </c>
      <c r="T8" s="766" t="s">
        <v>17</v>
      </c>
      <c r="U8" s="767">
        <f t="shared" si="1"/>
        <v>0</v>
      </c>
      <c r="V8" s="766" t="s">
        <v>17</v>
      </c>
      <c r="W8" s="767">
        <f t="shared" si="2"/>
        <v>0</v>
      </c>
      <c r="X8" s="768"/>
      <c r="Y8" s="3296" t="s">
        <v>2541</v>
      </c>
      <c r="Z8" s="3297"/>
      <c r="AA8" s="769" t="e">
        <f t="shared" ref="AA8:AA34" si="3">D8/F8</f>
        <v>#DIV/0!</v>
      </c>
      <c r="AB8" s="769" t="e">
        <f t="shared" ref="AB8:AB34" si="4">D8/H8</f>
        <v>#DIV/0!</v>
      </c>
      <c r="AC8" s="769" t="e">
        <f t="shared" ref="AC8:AC34" si="5">D8/J8</f>
        <v>#DIV/0!</v>
      </c>
    </row>
    <row r="9" spans="1:29" s="116" customFormat="1">
      <c r="A9" s="412" t="s">
        <v>2542</v>
      </c>
      <c r="B9" s="71" t="s">
        <v>2543</v>
      </c>
      <c r="C9" s="413"/>
      <c r="D9" s="132">
        <v>100</v>
      </c>
      <c r="E9" s="416"/>
      <c r="F9" s="415">
        <f>SUMIF(51:51,E9,52:52)-SUMIF(51:51,C9,52:52)+100</f>
        <v>100</v>
      </c>
      <c r="G9" s="416"/>
      <c r="H9" s="132">
        <f>SUMIF(51:51,G9,52:52)-SUMIF(51:51,C9,52:52)+100</f>
        <v>100</v>
      </c>
      <c r="I9" s="416"/>
      <c r="J9" s="132">
        <f>SUMIF(51:51,I9,52:52)-SUMIF(51:51,C9,52:52)+100</f>
        <v>100</v>
      </c>
      <c r="K9" s="608"/>
      <c r="L9" s="1126"/>
      <c r="M9" s="1127"/>
      <c r="N9" s="1127"/>
      <c r="O9" s="1128"/>
      <c r="P9" s="3267" t="s">
        <v>2544</v>
      </c>
      <c r="Q9" s="1788" t="str">
        <f t="shared" ref="Q9:Q14" si="6">B9</f>
        <v>用途</v>
      </c>
      <c r="R9" s="766" t="s">
        <v>17</v>
      </c>
      <c r="S9" s="767">
        <f t="shared" si="0"/>
        <v>100</v>
      </c>
      <c r="T9" s="766" t="s">
        <v>17</v>
      </c>
      <c r="U9" s="767">
        <f t="shared" si="1"/>
        <v>100</v>
      </c>
      <c r="V9" s="766" t="s">
        <v>17</v>
      </c>
      <c r="W9" s="767">
        <f t="shared" si="2"/>
        <v>100</v>
      </c>
      <c r="X9" s="768"/>
      <c r="Y9" s="3087" t="s">
        <v>2545</v>
      </c>
      <c r="Z9" s="55" t="str">
        <f t="shared" ref="Z9:Z14" si="7">Q9</f>
        <v>用途</v>
      </c>
      <c r="AA9" s="769">
        <f t="shared" si="3"/>
        <v>1</v>
      </c>
      <c r="AB9" s="769">
        <f t="shared" si="4"/>
        <v>1</v>
      </c>
      <c r="AC9" s="769">
        <f t="shared" si="5"/>
        <v>1</v>
      </c>
    </row>
    <row r="10" spans="1:29" s="424" customFormat="1" ht="27">
      <c r="A10" s="418"/>
      <c r="B10" s="419" t="s">
        <v>2546</v>
      </c>
      <c r="C10" s="420"/>
      <c r="D10" s="133">
        <v>100</v>
      </c>
      <c r="E10" s="420"/>
      <c r="F10" s="422">
        <f>SUMIF(53:53,E10,54:54)-SUMIF(53:53,C10,54:54)+100</f>
        <v>100</v>
      </c>
      <c r="G10" s="420"/>
      <c r="H10" s="133">
        <f>SUMIF(53:53,G10,54:54)-SUMIF(53:53,C10,54:54)+100</f>
        <v>100</v>
      </c>
      <c r="I10" s="420"/>
      <c r="J10" s="133">
        <f>SUMIF(53:53,I10,54:54)-SUMIF(53:53,C10,54:54)+100</f>
        <v>100</v>
      </c>
      <c r="K10" s="609"/>
      <c r="L10" s="1129"/>
      <c r="M10" s="1130"/>
      <c r="N10" s="1130"/>
      <c r="O10" s="1131"/>
      <c r="P10" s="3267"/>
      <c r="Q10" s="1788" t="str">
        <f t="shared" si="6"/>
        <v>土地使用年限（年）</v>
      </c>
      <c r="R10" s="766" t="s">
        <v>17</v>
      </c>
      <c r="S10" s="767">
        <f t="shared" si="0"/>
        <v>100</v>
      </c>
      <c r="T10" s="766" t="s">
        <v>17</v>
      </c>
      <c r="U10" s="767">
        <f t="shared" si="1"/>
        <v>100</v>
      </c>
      <c r="V10" s="766" t="s">
        <v>17</v>
      </c>
      <c r="W10" s="767">
        <f t="shared" si="2"/>
        <v>100</v>
      </c>
      <c r="X10" s="768"/>
      <c r="Y10" s="3087"/>
      <c r="Z10" s="55" t="str">
        <f t="shared" si="7"/>
        <v>土地使用年限（年）</v>
      </c>
      <c r="AA10" s="769">
        <f t="shared" si="3"/>
        <v>1</v>
      </c>
      <c r="AB10" s="769">
        <f t="shared" si="4"/>
        <v>1</v>
      </c>
      <c r="AC10" s="769">
        <f t="shared" si="5"/>
        <v>1</v>
      </c>
    </row>
    <row r="11" spans="1:29" ht="15">
      <c r="A11" s="425"/>
      <c r="B11" s="2592">
        <v>111</v>
      </c>
      <c r="C11" s="429"/>
      <c r="D11" s="133">
        <v>100</v>
      </c>
      <c r="E11" s="466"/>
      <c r="F11" s="422">
        <f>SUMIF(55:55,E11,56:56)-SUMIF(55:55,C11,56:56)+100</f>
        <v>100</v>
      </c>
      <c r="G11" s="466"/>
      <c r="H11" s="133">
        <f>SUMIF(55:55,G11,56:56)-SUMIF(55:55,C11,56:56)+100</f>
        <v>100</v>
      </c>
      <c r="I11" s="466"/>
      <c r="J11" s="133">
        <f>SUMIF(55:55,I11,56:56)-SUMIF(55:55,C11,56:56)+100</f>
        <v>100</v>
      </c>
      <c r="K11" s="610"/>
      <c r="L11" s="1132"/>
      <c r="M11" s="1125"/>
      <c r="N11" s="1125"/>
      <c r="O11" s="1133"/>
      <c r="P11" s="3267"/>
      <c r="Q11" s="1788">
        <f t="shared" si="6"/>
        <v>111</v>
      </c>
      <c r="R11" s="766" t="s">
        <v>17</v>
      </c>
      <c r="S11" s="767">
        <f t="shared" si="0"/>
        <v>100</v>
      </c>
      <c r="T11" s="766" t="s">
        <v>17</v>
      </c>
      <c r="U11" s="767">
        <f t="shared" si="1"/>
        <v>100</v>
      </c>
      <c r="V11" s="766" t="s">
        <v>17</v>
      </c>
      <c r="W11" s="767">
        <f t="shared" si="2"/>
        <v>100</v>
      </c>
      <c r="X11" s="768"/>
      <c r="Y11" s="3087"/>
      <c r="Z11" s="55">
        <f t="shared" si="7"/>
        <v>111</v>
      </c>
      <c r="AA11" s="769">
        <f t="shared" si="3"/>
        <v>1</v>
      </c>
      <c r="AB11" s="769">
        <f t="shared" si="4"/>
        <v>1</v>
      </c>
      <c r="AC11" s="769">
        <f t="shared" si="5"/>
        <v>1</v>
      </c>
    </row>
    <row r="12" spans="1:29" s="116" customFormat="1" ht="15">
      <c r="A12" s="428"/>
      <c r="B12" s="2592">
        <v>111</v>
      </c>
      <c r="C12" s="429"/>
      <c r="D12" s="430">
        <v>100</v>
      </c>
      <c r="E12" s="466"/>
      <c r="F12" s="422">
        <f>SUMIF(57:57,E12,58:58)-SUMIF(57:57,C12,58:58)+100</f>
        <v>100</v>
      </c>
      <c r="G12" s="466"/>
      <c r="H12" s="133">
        <f>SUMIF(57:57,G12,58:58)-SUMIF(57:57,C12,58:58)+100</f>
        <v>100</v>
      </c>
      <c r="I12" s="466"/>
      <c r="J12" s="133">
        <f>SUMIF(57:57,I12,58:58)-SUMIF(57:57,C12,58:58)+100</f>
        <v>100</v>
      </c>
      <c r="K12" s="610"/>
      <c r="L12" s="1126"/>
      <c r="M12" s="1127"/>
      <c r="N12" s="1127"/>
      <c r="O12" s="1128"/>
      <c r="P12" s="3267"/>
      <c r="Q12" s="1788">
        <f t="shared" si="6"/>
        <v>111</v>
      </c>
      <c r="R12" s="766" t="s">
        <v>17</v>
      </c>
      <c r="S12" s="767">
        <f t="shared" si="0"/>
        <v>100</v>
      </c>
      <c r="T12" s="766" t="s">
        <v>17</v>
      </c>
      <c r="U12" s="767">
        <f t="shared" si="1"/>
        <v>100</v>
      </c>
      <c r="V12" s="766" t="s">
        <v>17</v>
      </c>
      <c r="W12" s="767">
        <f t="shared" si="2"/>
        <v>100</v>
      </c>
      <c r="X12" s="768"/>
      <c r="Y12" s="3087"/>
      <c r="Z12" s="55">
        <f t="shared" si="7"/>
        <v>111</v>
      </c>
      <c r="AA12" s="769">
        <f>D12/F12</f>
        <v>1</v>
      </c>
      <c r="AB12" s="769">
        <f>D12/H12</f>
        <v>1</v>
      </c>
      <c r="AC12" s="769">
        <f>D12/J12</f>
        <v>1</v>
      </c>
    </row>
    <row r="13" spans="1:29" ht="15.75" thickBot="1">
      <c r="A13" s="425"/>
      <c r="B13" s="2592">
        <v>111</v>
      </c>
      <c r="C13" s="431"/>
      <c r="D13" s="432">
        <v>100</v>
      </c>
      <c r="E13" s="466"/>
      <c r="F13" s="422">
        <f>SUMIF(59:59,E13,60:60)-SUMIF(59:59,C13,60:60)+100</f>
        <v>100</v>
      </c>
      <c r="G13" s="2687"/>
      <c r="H13" s="435">
        <f>SUMIF(59:59,G13,60:60)-SUMIF(59:59,C13,60:60)+100</f>
        <v>100</v>
      </c>
      <c r="I13" s="466"/>
      <c r="J13" s="432">
        <f>SUMIF(59:59,I13,60:60)-SUMIF(59:59,C13,60:60)+100</f>
        <v>100</v>
      </c>
      <c r="K13" s="610"/>
      <c r="L13" s="1134"/>
      <c r="M13" s="1125"/>
      <c r="N13" s="1125"/>
      <c r="O13" s="1133"/>
      <c r="P13" s="3267"/>
      <c r="Q13" s="1788">
        <f t="shared" si="6"/>
        <v>111</v>
      </c>
      <c r="R13" s="766" t="s">
        <v>17</v>
      </c>
      <c r="S13" s="767">
        <f t="shared" si="0"/>
        <v>100</v>
      </c>
      <c r="T13" s="766" t="s">
        <v>17</v>
      </c>
      <c r="U13" s="767">
        <f t="shared" si="1"/>
        <v>100</v>
      </c>
      <c r="V13" s="766" t="s">
        <v>17</v>
      </c>
      <c r="W13" s="767">
        <f t="shared" si="2"/>
        <v>100</v>
      </c>
      <c r="X13" s="768"/>
      <c r="Y13" s="3087"/>
      <c r="Z13" s="55">
        <f t="shared" si="7"/>
        <v>111</v>
      </c>
      <c r="AA13" s="769">
        <f t="shared" si="3"/>
        <v>1</v>
      </c>
      <c r="AB13" s="769">
        <f t="shared" si="4"/>
        <v>1</v>
      </c>
      <c r="AC13" s="769">
        <f t="shared" si="5"/>
        <v>1</v>
      </c>
    </row>
    <row r="14" spans="1:29" ht="85.5">
      <c r="A14" s="437" t="s">
        <v>2548</v>
      </c>
      <c r="B14" s="69" t="s">
        <v>2698</v>
      </c>
      <c r="C14" s="2683"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69" t="s">
        <v>2549</v>
      </c>
      <c r="Q14" s="1803" t="str">
        <f t="shared" si="6"/>
        <v>交通便捷度</v>
      </c>
      <c r="R14" s="770" t="s">
        <v>17</v>
      </c>
      <c r="S14" s="771">
        <f t="shared" si="0"/>
        <v>100</v>
      </c>
      <c r="T14" s="770" t="s">
        <v>17</v>
      </c>
      <c r="U14" s="771">
        <f t="shared" si="1"/>
        <v>100</v>
      </c>
      <c r="V14" s="770" t="s">
        <v>17</v>
      </c>
      <c r="W14" s="771">
        <f t="shared" si="2"/>
        <v>100</v>
      </c>
      <c r="X14" s="1806"/>
      <c r="Y14" s="3269" t="s">
        <v>2549</v>
      </c>
      <c r="Z14" s="1807" t="str">
        <f t="shared" si="7"/>
        <v>交通便捷度</v>
      </c>
      <c r="AA14" s="1804">
        <f t="shared" si="3"/>
        <v>1</v>
      </c>
      <c r="AB14" s="1804">
        <f t="shared" si="4"/>
        <v>1</v>
      </c>
      <c r="AC14" s="1804">
        <f t="shared" si="5"/>
        <v>1</v>
      </c>
    </row>
    <row r="15" spans="1:29" ht="15">
      <c r="A15" s="425"/>
      <c r="B15" s="443"/>
      <c r="C15" s="444"/>
      <c r="D15" s="445"/>
      <c r="E15" s="444"/>
      <c r="F15" s="446"/>
      <c r="G15" s="444"/>
      <c r="H15" s="447"/>
      <c r="I15" s="444"/>
      <c r="J15" s="445"/>
      <c r="K15" s="612"/>
      <c r="L15" s="1134"/>
      <c r="M15" s="1125"/>
      <c r="N15" s="1125"/>
      <c r="O15" s="1133"/>
      <c r="P15" s="3270"/>
      <c r="Q15" s="1803"/>
      <c r="R15" s="770"/>
      <c r="S15" s="771"/>
      <c r="T15" s="770"/>
      <c r="U15" s="771"/>
      <c r="V15" s="770"/>
      <c r="W15" s="771"/>
      <c r="X15" s="1806"/>
      <c r="Y15" s="3270"/>
      <c r="Z15" s="1807"/>
      <c r="AA15" s="1804">
        <v>1</v>
      </c>
      <c r="AB15" s="1804">
        <v>1</v>
      </c>
      <c r="AC15" s="1804">
        <v>1</v>
      </c>
    </row>
    <row r="16" spans="1:29" ht="42.75">
      <c r="A16" s="425"/>
      <c r="B16" s="448" t="s">
        <v>2677</v>
      </c>
      <c r="C16" s="2599"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70"/>
      <c r="Q16" s="1803" t="str">
        <f>B16</f>
        <v>公共配套设施</v>
      </c>
      <c r="R16" s="770" t="s">
        <v>17</v>
      </c>
      <c r="S16" s="771">
        <f>F16</f>
        <v>100</v>
      </c>
      <c r="T16" s="770" t="s">
        <v>17</v>
      </c>
      <c r="U16" s="771">
        <f>H16</f>
        <v>100</v>
      </c>
      <c r="V16" s="770" t="s">
        <v>17</v>
      </c>
      <c r="W16" s="771">
        <f>J16</f>
        <v>100</v>
      </c>
      <c r="X16" s="1806"/>
      <c r="Y16" s="3270"/>
      <c r="Z16" s="1807" t="str">
        <f>Q16</f>
        <v>公共配套设施</v>
      </c>
      <c r="AA16" s="1804">
        <f t="shared" si="3"/>
        <v>1</v>
      </c>
      <c r="AB16" s="1804">
        <f t="shared" si="4"/>
        <v>1</v>
      </c>
      <c r="AC16" s="1804">
        <f t="shared" si="5"/>
        <v>1</v>
      </c>
    </row>
    <row r="17" spans="1:29" ht="15">
      <c r="A17" s="425"/>
      <c r="B17" s="453"/>
      <c r="C17" s="2600"/>
      <c r="D17" s="445"/>
      <c r="E17" s="444"/>
      <c r="F17" s="446"/>
      <c r="G17" s="444"/>
      <c r="H17" s="445"/>
      <c r="I17" s="444"/>
      <c r="J17" s="445"/>
      <c r="K17" s="612"/>
      <c r="L17" s="1134"/>
      <c r="M17" s="1125"/>
      <c r="N17" s="1125"/>
      <c r="O17" s="1133"/>
      <c r="P17" s="3270"/>
      <c r="Q17" s="1803"/>
      <c r="R17" s="770"/>
      <c r="S17" s="771"/>
      <c r="T17" s="770"/>
      <c r="U17" s="771"/>
      <c r="V17" s="770"/>
      <c r="W17" s="771"/>
      <c r="X17" s="1806"/>
      <c r="Y17" s="3270"/>
      <c r="Z17" s="1807"/>
      <c r="AA17" s="1804">
        <v>1</v>
      </c>
      <c r="AB17" s="1804">
        <v>1</v>
      </c>
      <c r="AC17" s="1804">
        <v>1</v>
      </c>
    </row>
    <row r="18" spans="1:29" ht="28.5">
      <c r="A18" s="425"/>
      <c r="B18" s="1378" t="s">
        <v>2678</v>
      </c>
      <c r="C18" s="2599"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70"/>
      <c r="Q18" s="1803" t="str">
        <f>B18</f>
        <v>基础设施水平</v>
      </c>
      <c r="R18" s="770" t="s">
        <v>17</v>
      </c>
      <c r="S18" s="771">
        <f>F18</f>
        <v>100</v>
      </c>
      <c r="T18" s="770" t="s">
        <v>17</v>
      </c>
      <c r="U18" s="771">
        <f>H18</f>
        <v>100</v>
      </c>
      <c r="V18" s="770" t="s">
        <v>17</v>
      </c>
      <c r="W18" s="771">
        <f>J18</f>
        <v>100</v>
      </c>
      <c r="X18" s="1806"/>
      <c r="Y18" s="3270"/>
      <c r="Z18" s="1807" t="str">
        <f>Q18</f>
        <v>基础设施水平</v>
      </c>
      <c r="AA18" s="1804">
        <f>D18/F18</f>
        <v>1</v>
      </c>
      <c r="AB18" s="1804">
        <f>D18/H18</f>
        <v>1</v>
      </c>
      <c r="AC18" s="1804">
        <f>D18/J18</f>
        <v>1</v>
      </c>
    </row>
    <row r="19" spans="1:29" ht="15">
      <c r="A19" s="425"/>
      <c r="B19" s="1378"/>
      <c r="C19" s="2600"/>
      <c r="D19" s="447"/>
      <c r="E19" s="2600"/>
      <c r="F19" s="450"/>
      <c r="G19" s="2600"/>
      <c r="H19" s="445"/>
      <c r="I19" s="444"/>
      <c r="J19" s="445"/>
      <c r="K19" s="1377"/>
      <c r="L19" s="1134"/>
      <c r="M19" s="1125"/>
      <c r="N19" s="1125"/>
      <c r="O19" s="1133"/>
      <c r="P19" s="3270"/>
      <c r="Q19" s="1803"/>
      <c r="R19" s="770"/>
      <c r="S19" s="771"/>
      <c r="T19" s="770"/>
      <c r="U19" s="771"/>
      <c r="V19" s="770"/>
      <c r="W19" s="771"/>
      <c r="X19" s="1806"/>
      <c r="Y19" s="3270"/>
      <c r="Z19" s="1807"/>
      <c r="AA19" s="1804">
        <v>1</v>
      </c>
      <c r="AB19" s="1804">
        <v>1</v>
      </c>
      <c r="AC19" s="1804">
        <v>1</v>
      </c>
    </row>
    <row r="20" spans="1:29" ht="57">
      <c r="A20" s="425"/>
      <c r="B20" s="448" t="s">
        <v>2699</v>
      </c>
      <c r="C20" s="2599"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70"/>
      <c r="Q20" s="1803" t="str">
        <f>B20</f>
        <v>自然及人文环境</v>
      </c>
      <c r="R20" s="770" t="s">
        <v>17</v>
      </c>
      <c r="S20" s="771">
        <f>F20</f>
        <v>100</v>
      </c>
      <c r="T20" s="770" t="s">
        <v>17</v>
      </c>
      <c r="U20" s="771">
        <f>H20</f>
        <v>100</v>
      </c>
      <c r="V20" s="770" t="s">
        <v>17</v>
      </c>
      <c r="W20" s="771">
        <f>J20</f>
        <v>100</v>
      </c>
      <c r="X20" s="1806"/>
      <c r="Y20" s="3270"/>
      <c r="Z20" s="1807" t="str">
        <f>Q20</f>
        <v>自然及人文环境</v>
      </c>
      <c r="AA20" s="1804">
        <f t="shared" si="3"/>
        <v>1</v>
      </c>
      <c r="AB20" s="1804">
        <f t="shared" si="4"/>
        <v>1</v>
      </c>
      <c r="AC20" s="1804">
        <f t="shared" si="5"/>
        <v>1</v>
      </c>
    </row>
    <row r="21" spans="1:29" ht="15">
      <c r="A21" s="425"/>
      <c r="B21" s="453"/>
      <c r="C21" s="444"/>
      <c r="D21" s="445"/>
      <c r="E21" s="444"/>
      <c r="F21" s="446"/>
      <c r="G21" s="444"/>
      <c r="H21" s="445"/>
      <c r="I21" s="444"/>
      <c r="J21" s="445"/>
      <c r="K21" s="612"/>
      <c r="L21" s="1134"/>
      <c r="M21" s="1125"/>
      <c r="N21" s="1125"/>
      <c r="O21" s="1133"/>
      <c r="P21" s="3270"/>
      <c r="Q21" s="1803"/>
      <c r="R21" s="770"/>
      <c r="S21" s="771"/>
      <c r="T21" s="770"/>
      <c r="U21" s="771"/>
      <c r="V21" s="770"/>
      <c r="W21" s="771"/>
      <c r="X21" s="1806"/>
      <c r="Y21" s="3270"/>
      <c r="Z21" s="1807"/>
      <c r="AA21" s="1804">
        <v>1</v>
      </c>
      <c r="AB21" s="1804">
        <v>1</v>
      </c>
      <c r="AC21" s="1804">
        <v>1</v>
      </c>
    </row>
    <row r="22" spans="1:29" ht="15">
      <c r="A22" s="425"/>
      <c r="B22" s="448" t="s">
        <v>2700</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70"/>
      <c r="Q22" s="1803" t="str">
        <f>B22</f>
        <v>楼层</v>
      </c>
      <c r="R22" s="770" t="s">
        <v>17</v>
      </c>
      <c r="S22" s="771">
        <f>F22</f>
        <v>100</v>
      </c>
      <c r="T22" s="770" t="s">
        <v>17</v>
      </c>
      <c r="U22" s="771">
        <f>H22</f>
        <v>100</v>
      </c>
      <c r="V22" s="770" t="s">
        <v>17</v>
      </c>
      <c r="W22" s="771">
        <f>J22</f>
        <v>100</v>
      </c>
      <c r="X22" s="1806"/>
      <c r="Y22" s="3270"/>
      <c r="Z22" s="1807" t="str">
        <f>Q22</f>
        <v>楼层</v>
      </c>
      <c r="AA22" s="1804">
        <f t="shared" si="3"/>
        <v>1</v>
      </c>
      <c r="AB22" s="1804">
        <f t="shared" si="4"/>
        <v>1</v>
      </c>
      <c r="AC22" s="1804">
        <f t="shared" si="5"/>
        <v>1</v>
      </c>
    </row>
    <row r="23" spans="1:29" ht="15">
      <c r="A23" s="401"/>
      <c r="B23" s="2592">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70"/>
      <c r="Q23" s="1803">
        <f>B23</f>
        <v>111</v>
      </c>
      <c r="R23" s="770" t="s">
        <v>17</v>
      </c>
      <c r="S23" s="771">
        <f>F23</f>
        <v>100</v>
      </c>
      <c r="T23" s="770" t="s">
        <v>17</v>
      </c>
      <c r="U23" s="771">
        <f>H23</f>
        <v>100</v>
      </c>
      <c r="V23" s="770" t="s">
        <v>17</v>
      </c>
      <c r="W23" s="771">
        <f>J23</f>
        <v>100</v>
      </c>
      <c r="X23" s="1806"/>
      <c r="Y23" s="3270"/>
      <c r="Z23" s="1807">
        <f>Q23</f>
        <v>111</v>
      </c>
      <c r="AA23" s="1804">
        <f t="shared" si="3"/>
        <v>1</v>
      </c>
      <c r="AB23" s="1804">
        <f t="shared" si="4"/>
        <v>1</v>
      </c>
      <c r="AC23" s="1804">
        <f t="shared" si="5"/>
        <v>1</v>
      </c>
    </row>
    <row r="24" spans="1:29" ht="15">
      <c r="A24" s="425"/>
      <c r="B24" s="2592">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70"/>
      <c r="Q24" s="1803">
        <f t="shared" ref="Q24:Q34" si="8">B24</f>
        <v>111</v>
      </c>
      <c r="R24" s="770" t="s">
        <v>17</v>
      </c>
      <c r="S24" s="771">
        <f>F24</f>
        <v>100</v>
      </c>
      <c r="T24" s="770" t="s">
        <v>17</v>
      </c>
      <c r="U24" s="771">
        <f>H24</f>
        <v>100</v>
      </c>
      <c r="V24" s="770" t="s">
        <v>17</v>
      </c>
      <c r="W24" s="771">
        <f>J24</f>
        <v>100</v>
      </c>
      <c r="X24" s="1806"/>
      <c r="Y24" s="3270"/>
      <c r="Z24" s="1807">
        <f>Q24</f>
        <v>111</v>
      </c>
      <c r="AA24" s="1804">
        <f t="shared" si="3"/>
        <v>1</v>
      </c>
      <c r="AB24" s="1804">
        <f t="shared" si="4"/>
        <v>1</v>
      </c>
      <c r="AC24" s="1804">
        <f t="shared" si="5"/>
        <v>1</v>
      </c>
    </row>
    <row r="25" spans="1:29" s="116" customFormat="1" ht="15.75" thickBot="1">
      <c r="A25" s="428"/>
      <c r="B25" s="2592">
        <v>111</v>
      </c>
      <c r="C25" s="2688"/>
      <c r="D25" s="662">
        <v>100</v>
      </c>
      <c r="E25" s="2688"/>
      <c r="F25" s="663">
        <f>SUMIF(75:75,E25,76:76)-SUMIF(75:75,C25,76:76)+100</f>
        <v>100</v>
      </c>
      <c r="G25" s="2688"/>
      <c r="H25" s="662">
        <f>SUMIF(75:75,G25,76:76)-SUMIF(75:75,C25,76:76)+100</f>
        <v>100</v>
      </c>
      <c r="I25" s="2688"/>
      <c r="J25" s="662">
        <f>SUMIF(75:75,I25,76:76)-SUMIF(75:75,C25,76:76)+100</f>
        <v>100</v>
      </c>
      <c r="K25" s="610"/>
      <c r="L25" s="1126"/>
      <c r="M25" s="1127"/>
      <c r="N25" s="1127"/>
      <c r="O25" s="1128"/>
      <c r="P25" s="3270"/>
      <c r="Q25" s="1788">
        <f t="shared" si="8"/>
        <v>111</v>
      </c>
      <c r="R25" s="766" t="s">
        <v>17</v>
      </c>
      <c r="S25" s="767">
        <f>F25</f>
        <v>100</v>
      </c>
      <c r="T25" s="766" t="s">
        <v>17</v>
      </c>
      <c r="U25" s="767">
        <f>H25</f>
        <v>100</v>
      </c>
      <c r="V25" s="766" t="s">
        <v>17</v>
      </c>
      <c r="W25" s="767">
        <f>J25</f>
        <v>100</v>
      </c>
      <c r="X25" s="768"/>
      <c r="Y25" s="3270"/>
      <c r="Z25" s="55">
        <f>Q25</f>
        <v>111</v>
      </c>
      <c r="AA25" s="1804">
        <f>D25/F25</f>
        <v>1</v>
      </c>
      <c r="AB25" s="1804">
        <f>D25/H25</f>
        <v>1</v>
      </c>
      <c r="AC25" s="1804">
        <f>D25/J25</f>
        <v>1</v>
      </c>
    </row>
    <row r="26" spans="1:29" ht="15">
      <c r="A26" s="463" t="s">
        <v>2552</v>
      </c>
      <c r="B26" s="71" t="s">
        <v>2703</v>
      </c>
      <c r="C26" s="2669"/>
      <c r="D26" s="464">
        <v>100</v>
      </c>
      <c r="E26" s="2669"/>
      <c r="F26" s="664">
        <f>SUMIF(77:77,E26,78:78)-SUMIF(77:77,C26,78:78)+100</f>
        <v>100</v>
      </c>
      <c r="G26" s="2669"/>
      <c r="H26" s="464">
        <f>SUMIF(77:77,G26,78:78)-SUMIF(77:77,C26,78:78)+100</f>
        <v>100</v>
      </c>
      <c r="I26" s="2669"/>
      <c r="J26" s="464">
        <f>SUMIF(77:77,I26,78:78)-SUMIF(77:77,C26,78:78)+100</f>
        <v>100</v>
      </c>
      <c r="K26" s="609"/>
      <c r="L26" s="1134"/>
      <c r="M26" s="1125"/>
      <c r="N26" s="1125"/>
      <c r="O26" s="1133"/>
      <c r="P26" s="3271" t="s">
        <v>2554</v>
      </c>
      <c r="Q26" s="1803" t="str">
        <f t="shared" si="8"/>
        <v>公共部分装修</v>
      </c>
      <c r="R26" s="770" t="s">
        <v>17</v>
      </c>
      <c r="S26" s="771">
        <f t="shared" ref="S26:S34" si="9">F26</f>
        <v>100</v>
      </c>
      <c r="T26" s="770" t="s">
        <v>17</v>
      </c>
      <c r="U26" s="771">
        <f t="shared" ref="U26:U34" si="10">H26</f>
        <v>100</v>
      </c>
      <c r="V26" s="770" t="s">
        <v>17</v>
      </c>
      <c r="W26" s="771">
        <f t="shared" ref="W26:W34" si="11">J26</f>
        <v>100</v>
      </c>
      <c r="X26" s="1806"/>
      <c r="Y26" s="3272" t="s">
        <v>2554</v>
      </c>
      <c r="Z26" s="1807" t="str">
        <f t="shared" ref="Z26:Z34" si="12">Q26</f>
        <v>公共部分装修</v>
      </c>
      <c r="AA26" s="1804">
        <f t="shared" si="3"/>
        <v>1</v>
      </c>
      <c r="AB26" s="1804">
        <f t="shared" si="4"/>
        <v>1</v>
      </c>
      <c r="AC26" s="1804">
        <f t="shared" si="5"/>
        <v>1</v>
      </c>
    </row>
    <row r="27" spans="1:29" s="468" customFormat="1" ht="15">
      <c r="A27" s="465"/>
      <c r="B27" s="419" t="s">
        <v>2704</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72"/>
      <c r="Q27" s="772" t="str">
        <f t="shared" si="8"/>
        <v>成新率</v>
      </c>
      <c r="R27" s="773" t="s">
        <v>17</v>
      </c>
      <c r="S27" s="774" t="e">
        <f t="shared" si="9"/>
        <v>#N/A</v>
      </c>
      <c r="T27" s="773" t="s">
        <v>17</v>
      </c>
      <c r="U27" s="774" t="e">
        <f t="shared" si="10"/>
        <v>#N/A</v>
      </c>
      <c r="V27" s="773" t="s">
        <v>17</v>
      </c>
      <c r="W27" s="774" t="e">
        <f t="shared" si="11"/>
        <v>#N/A</v>
      </c>
      <c r="X27" s="775"/>
      <c r="Y27" s="3272"/>
      <c r="Z27" s="776" t="str">
        <f t="shared" si="12"/>
        <v>成新率</v>
      </c>
      <c r="AA27" s="1804" t="e">
        <f t="shared" si="3"/>
        <v>#N/A</v>
      </c>
      <c r="AB27" s="1804" t="e">
        <f t="shared" si="4"/>
        <v>#N/A</v>
      </c>
      <c r="AC27" s="1804" t="e">
        <f t="shared" si="5"/>
        <v>#N/A</v>
      </c>
    </row>
    <row r="28" spans="1:29" ht="15">
      <c r="A28" s="469"/>
      <c r="B28" s="419" t="s">
        <v>2705</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72"/>
      <c r="Q28" s="1803" t="str">
        <f t="shared" si="8"/>
        <v>物业等级</v>
      </c>
      <c r="R28" s="770" t="s">
        <v>17</v>
      </c>
      <c r="S28" s="771">
        <f t="shared" si="9"/>
        <v>100</v>
      </c>
      <c r="T28" s="770" t="s">
        <v>17</v>
      </c>
      <c r="U28" s="771">
        <f t="shared" si="10"/>
        <v>100</v>
      </c>
      <c r="V28" s="770" t="s">
        <v>17</v>
      </c>
      <c r="W28" s="771">
        <f t="shared" si="11"/>
        <v>100</v>
      </c>
      <c r="X28" s="1806"/>
      <c r="Y28" s="3272"/>
      <c r="Z28" s="1807" t="str">
        <f t="shared" si="12"/>
        <v>物业等级</v>
      </c>
      <c r="AA28" s="1804">
        <f t="shared" si="3"/>
        <v>1</v>
      </c>
      <c r="AB28" s="1804">
        <f t="shared" si="4"/>
        <v>1</v>
      </c>
      <c r="AC28" s="1804">
        <f t="shared" si="5"/>
        <v>1</v>
      </c>
    </row>
    <row r="29" spans="1:29" ht="15">
      <c r="A29" s="469"/>
      <c r="B29" s="419" t="s">
        <v>2726</v>
      </c>
      <c r="C29" s="654"/>
      <c r="D29" s="432">
        <v>100</v>
      </c>
      <c r="E29" s="654"/>
      <c r="F29" s="458">
        <f>SUMIF(84:84,E29,85:85)-SUMIF(84:84,C29,85:85)+100</f>
        <v>100</v>
      </c>
      <c r="G29" s="654"/>
      <c r="H29" s="432">
        <f>SUMIF(84:84,G29,85:85)-SUMIF(84:84,C29,85:85)+100</f>
        <v>100</v>
      </c>
      <c r="I29" s="654"/>
      <c r="J29" s="432">
        <f>SUMIF(84:84,I29,85:85)-SUMIF(84:84,C29,85:85)+100</f>
        <v>100</v>
      </c>
      <c r="K29" s="609"/>
      <c r="L29" s="1134"/>
      <c r="M29" s="1125"/>
      <c r="N29" s="1125"/>
      <c r="O29" s="1133"/>
      <c r="P29" s="3272"/>
      <c r="Q29" s="1803" t="str">
        <f t="shared" si="8"/>
        <v>有无电梯</v>
      </c>
      <c r="R29" s="770" t="s">
        <v>17</v>
      </c>
      <c r="S29" s="771">
        <f t="shared" si="9"/>
        <v>100</v>
      </c>
      <c r="T29" s="770" t="s">
        <v>17</v>
      </c>
      <c r="U29" s="771">
        <f t="shared" si="10"/>
        <v>100</v>
      </c>
      <c r="V29" s="770" t="s">
        <v>17</v>
      </c>
      <c r="W29" s="771">
        <f t="shared" si="11"/>
        <v>100</v>
      </c>
      <c r="X29" s="1806"/>
      <c r="Y29" s="3272"/>
      <c r="Z29" s="1807" t="str">
        <f t="shared" si="12"/>
        <v>有无电梯</v>
      </c>
      <c r="AA29" s="1804">
        <f t="shared" si="3"/>
        <v>1</v>
      </c>
      <c r="AB29" s="1804">
        <f t="shared" si="4"/>
        <v>1</v>
      </c>
      <c r="AC29" s="1804">
        <f t="shared" si="5"/>
        <v>1</v>
      </c>
    </row>
    <row r="30" spans="1:29" ht="15">
      <c r="A30" s="469"/>
      <c r="B30" s="419" t="s">
        <v>2727</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72"/>
      <c r="Q30" s="1803" t="str">
        <f t="shared" si="8"/>
        <v>建筑面积</v>
      </c>
      <c r="R30" s="770" t="s">
        <v>17</v>
      </c>
      <c r="S30" s="771" t="e">
        <f t="shared" si="9"/>
        <v>#N/A</v>
      </c>
      <c r="T30" s="770" t="s">
        <v>17</v>
      </c>
      <c r="U30" s="771" t="e">
        <f t="shared" si="10"/>
        <v>#N/A</v>
      </c>
      <c r="V30" s="770" t="s">
        <v>17</v>
      </c>
      <c r="W30" s="771" t="e">
        <f t="shared" si="11"/>
        <v>#N/A</v>
      </c>
      <c r="X30" s="1806"/>
      <c r="Y30" s="3272"/>
      <c r="Z30" s="1807" t="str">
        <f t="shared" si="12"/>
        <v>建筑面积</v>
      </c>
      <c r="AA30" s="1804" t="e">
        <f t="shared" si="3"/>
        <v>#N/A</v>
      </c>
      <c r="AB30" s="1804" t="e">
        <f t="shared" si="4"/>
        <v>#N/A</v>
      </c>
      <c r="AC30" s="1804" t="e">
        <f t="shared" si="5"/>
        <v>#N/A</v>
      </c>
    </row>
    <row r="31" spans="1:29" s="116" customFormat="1" ht="15">
      <c r="A31" s="470"/>
      <c r="B31" s="419" t="s">
        <v>2728</v>
      </c>
      <c r="C31" s="654"/>
      <c r="D31" s="133">
        <v>100</v>
      </c>
      <c r="E31" s="654"/>
      <c r="F31" s="458">
        <f>SUMIF(89:89,E31,90:90)-SUMIF(89:89,C31,90:90)+100</f>
        <v>100</v>
      </c>
      <c r="G31" s="654"/>
      <c r="H31" s="432">
        <f>SUMIF(89:89,G31,90:90)-SUMIF(89:89,C31,90:90)+100</f>
        <v>100</v>
      </c>
      <c r="I31" s="654"/>
      <c r="J31" s="432">
        <f>SUMIF(89:89,I31,90:90)-SUMIF(89:89,C31,90:90)+100</f>
        <v>100</v>
      </c>
      <c r="K31" s="609"/>
      <c r="L31" s="1126"/>
      <c r="M31" s="1127"/>
      <c r="N31" s="1127"/>
      <c r="O31" s="1128"/>
      <c r="P31" s="3272"/>
      <c r="Q31" s="1788" t="str">
        <f t="shared" si="8"/>
        <v>是否封闭</v>
      </c>
      <c r="R31" s="766" t="s">
        <v>17</v>
      </c>
      <c r="S31" s="767">
        <f t="shared" si="9"/>
        <v>100</v>
      </c>
      <c r="T31" s="766" t="s">
        <v>17</v>
      </c>
      <c r="U31" s="767">
        <f t="shared" si="10"/>
        <v>100</v>
      </c>
      <c r="V31" s="766" t="s">
        <v>17</v>
      </c>
      <c r="W31" s="767">
        <f t="shared" si="11"/>
        <v>100</v>
      </c>
      <c r="X31" s="768"/>
      <c r="Y31" s="3272"/>
      <c r="Z31" s="55" t="str">
        <f t="shared" si="12"/>
        <v>是否封闭</v>
      </c>
      <c r="AA31" s="769">
        <f t="shared" si="3"/>
        <v>1</v>
      </c>
      <c r="AB31" s="769">
        <f t="shared" si="4"/>
        <v>1</v>
      </c>
      <c r="AC31" s="769">
        <f t="shared" si="5"/>
        <v>1</v>
      </c>
    </row>
    <row r="32" spans="1:29" ht="15">
      <c r="A32" s="469"/>
      <c r="B32" s="2592">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72" t="s">
        <v>2554</v>
      </c>
      <c r="Q32" s="1803">
        <f t="shared" si="8"/>
        <v>111</v>
      </c>
      <c r="R32" s="770" t="s">
        <v>17</v>
      </c>
      <c r="S32" s="771">
        <f t="shared" si="9"/>
        <v>100</v>
      </c>
      <c r="T32" s="770" t="s">
        <v>17</v>
      </c>
      <c r="U32" s="771">
        <f t="shared" si="10"/>
        <v>100</v>
      </c>
      <c r="V32" s="770" t="s">
        <v>17</v>
      </c>
      <c r="W32" s="771">
        <f t="shared" si="11"/>
        <v>100</v>
      </c>
      <c r="X32" s="1806"/>
      <c r="Y32" s="3272" t="s">
        <v>2554</v>
      </c>
      <c r="Z32" s="1807">
        <f t="shared" si="12"/>
        <v>111</v>
      </c>
      <c r="AA32" s="1804">
        <f t="shared" si="3"/>
        <v>1</v>
      </c>
      <c r="AB32" s="1804">
        <f t="shared" si="4"/>
        <v>1</v>
      </c>
      <c r="AC32" s="1804">
        <f t="shared" si="5"/>
        <v>1</v>
      </c>
    </row>
    <row r="33" spans="1:29" ht="15">
      <c r="A33" s="469"/>
      <c r="B33" s="2592">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72"/>
      <c r="Q33" s="1803">
        <f t="shared" si="8"/>
        <v>111</v>
      </c>
      <c r="R33" s="770" t="s">
        <v>17</v>
      </c>
      <c r="S33" s="771">
        <f t="shared" si="9"/>
        <v>100</v>
      </c>
      <c r="T33" s="770" t="s">
        <v>17</v>
      </c>
      <c r="U33" s="771">
        <f t="shared" si="10"/>
        <v>100</v>
      </c>
      <c r="V33" s="770" t="s">
        <v>17</v>
      </c>
      <c r="W33" s="771">
        <f t="shared" si="11"/>
        <v>100</v>
      </c>
      <c r="X33" s="1806"/>
      <c r="Y33" s="3272"/>
      <c r="Z33" s="1807">
        <f t="shared" si="12"/>
        <v>111</v>
      </c>
      <c r="AA33" s="1804">
        <f t="shared" si="3"/>
        <v>1</v>
      </c>
      <c r="AB33" s="1804">
        <f t="shared" si="4"/>
        <v>1</v>
      </c>
      <c r="AC33" s="1804">
        <f t="shared" si="5"/>
        <v>1</v>
      </c>
    </row>
    <row r="34" spans="1:29" ht="15.75" thickBot="1">
      <c r="A34" s="475"/>
      <c r="B34" s="2594">
        <v>111</v>
      </c>
      <c r="C34" s="434"/>
      <c r="D34" s="435">
        <v>100</v>
      </c>
      <c r="E34" s="2687"/>
      <c r="F34" s="436">
        <f>SUMIF(95:95,E34,96:96)-SUMIF(95:95,C34,96:96)+100</f>
        <v>100</v>
      </c>
      <c r="G34" s="2687"/>
      <c r="H34" s="435">
        <f>SUMIF(95:95,G34,96:96)-SUMIF(95:95,C34,96:96)+100</f>
        <v>100</v>
      </c>
      <c r="I34" s="2687"/>
      <c r="J34" s="435">
        <f>SUMIF(95:95,I34,96:96)-SUMIF(95:95,C34,96:96)+100</f>
        <v>100</v>
      </c>
      <c r="K34" s="610"/>
      <c r="L34" s="1134"/>
      <c r="M34" s="1125"/>
      <c r="N34" s="1125"/>
      <c r="O34" s="1133"/>
      <c r="P34" s="3272"/>
      <c r="Q34" s="1803">
        <f t="shared" si="8"/>
        <v>111</v>
      </c>
      <c r="R34" s="770" t="s">
        <v>17</v>
      </c>
      <c r="S34" s="771">
        <f t="shared" si="9"/>
        <v>100</v>
      </c>
      <c r="T34" s="770" t="s">
        <v>17</v>
      </c>
      <c r="U34" s="771">
        <f t="shared" si="10"/>
        <v>100</v>
      </c>
      <c r="V34" s="770" t="s">
        <v>17</v>
      </c>
      <c r="W34" s="771">
        <f t="shared" si="11"/>
        <v>100</v>
      </c>
      <c r="X34" s="1806"/>
      <c r="Y34" s="3272"/>
      <c r="Z34" s="1807">
        <f t="shared" si="12"/>
        <v>111</v>
      </c>
      <c r="AA34" s="1804">
        <f t="shared" si="3"/>
        <v>1</v>
      </c>
      <c r="AB34" s="1804">
        <f t="shared" si="4"/>
        <v>1</v>
      </c>
      <c r="AC34" s="1804">
        <f t="shared" si="5"/>
        <v>1</v>
      </c>
    </row>
    <row r="35" spans="1:29" ht="15">
      <c r="A35" s="476" t="s">
        <v>2566</v>
      </c>
      <c r="B35" s="477"/>
      <c r="C35" s="1401" t="s">
        <v>1</v>
      </c>
      <c r="D35" s="1402"/>
      <c r="E35" s="1403"/>
      <c r="F35" s="1404"/>
      <c r="G35" s="1405"/>
      <c r="H35" s="1406"/>
      <c r="I35" s="1403"/>
      <c r="J35" s="1406"/>
      <c r="K35" s="779"/>
      <c r="L35" s="1137"/>
      <c r="M35" s="1138"/>
      <c r="N35" s="1125"/>
      <c r="O35" s="1138"/>
      <c r="P35" s="3267" t="str">
        <f>A35</f>
        <v>成交单价（元/平方米）</v>
      </c>
      <c r="Q35" s="3267"/>
      <c r="R35" s="3311">
        <f>E35</f>
        <v>0</v>
      </c>
      <c r="S35" s="3311"/>
      <c r="T35" s="3311">
        <f>G35</f>
        <v>0</v>
      </c>
      <c r="U35" s="3311"/>
      <c r="V35" s="3311">
        <f>I35</f>
        <v>0</v>
      </c>
      <c r="W35" s="3311"/>
      <c r="X35" s="755"/>
      <c r="Y35" s="777"/>
      <c r="Z35" s="755"/>
      <c r="AA35" s="755"/>
      <c r="AB35" s="755"/>
      <c r="AC35" s="755"/>
    </row>
    <row r="36" spans="1:29" ht="15.75" thickBot="1">
      <c r="A36" s="483" t="s">
        <v>2658</v>
      </c>
      <c r="B36" s="484"/>
      <c r="C36" s="1407" t="e">
        <f>R37</f>
        <v>#DIV/0!</v>
      </c>
      <c r="D36" s="1408"/>
      <c r="E36" s="1409" t="e">
        <f>R36</f>
        <v>#DIV/0!</v>
      </c>
      <c r="F36" s="1409"/>
      <c r="G36" s="1407" t="e">
        <f>T36</f>
        <v>#DIV/0!</v>
      </c>
      <c r="H36" s="1408"/>
      <c r="I36" s="1409" t="e">
        <f>V36</f>
        <v>#DIV/0!</v>
      </c>
      <c r="J36" s="1408"/>
      <c r="K36" s="780"/>
      <c r="L36" s="1137"/>
      <c r="M36" s="1138"/>
      <c r="N36" s="1125"/>
      <c r="O36" s="1138"/>
      <c r="P36" s="3267" t="str">
        <f>A36</f>
        <v>比较价值（元/平方米）</v>
      </c>
      <c r="Q36" s="3267"/>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755"/>
      <c r="Y36" s="755"/>
      <c r="Z36" s="755"/>
      <c r="AA36" s="755"/>
      <c r="AB36" s="755"/>
      <c r="AC36" s="755"/>
    </row>
    <row r="37" spans="1:29" ht="15.75" thickBot="1">
      <c r="A37" s="489" t="s">
        <v>2659</v>
      </c>
      <c r="B37" s="490"/>
      <c r="C37" s="1411" t="e">
        <f>R37</f>
        <v>#DIV/0!</v>
      </c>
      <c r="D37" s="1411"/>
      <c r="E37" s="1411"/>
      <c r="F37" s="1411"/>
      <c r="G37" s="1411"/>
      <c r="H37" s="1411"/>
      <c r="I37" s="1411"/>
      <c r="J37" s="1411"/>
      <c r="K37" s="781"/>
      <c r="L37" s="1137"/>
      <c r="M37" s="1138"/>
      <c r="N37" s="1138"/>
      <c r="O37" s="1138"/>
      <c r="P37" s="3261" t="str">
        <f>A37</f>
        <v>估价对象XX用房的比较价值（楼面单价，元/平方米）</v>
      </c>
      <c r="Q37" s="3262"/>
      <c r="R37" s="3312" t="e">
        <f>IF(F1="售价",ROUND(AVERAGE(R36:V36),0),ROUND(AVERAGE(R36:V36),1))</f>
        <v>#DIV/0!</v>
      </c>
      <c r="S37" s="3312"/>
      <c r="T37" s="3312"/>
      <c r="U37" s="3312"/>
      <c r="V37" s="3312"/>
      <c r="W37" s="3312"/>
      <c r="X37" s="755"/>
      <c r="Y37" s="755"/>
      <c r="Z37" s="755"/>
      <c r="AA37" s="755"/>
      <c r="AB37" s="755"/>
      <c r="AC37" s="755"/>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2660</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2661</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2662</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9" t="s">
        <v>2663</v>
      </c>
      <c r="B45" s="755"/>
      <c r="C45" s="760"/>
      <c r="D45" s="760"/>
      <c r="E45" s="760"/>
      <c r="F45" s="761"/>
      <c r="G45" s="761"/>
      <c r="H45" s="760"/>
      <c r="I45" s="760"/>
      <c r="J45" s="760"/>
      <c r="K45" s="762"/>
      <c r="L45" s="763"/>
      <c r="M45" s="760"/>
      <c r="N45" s="760"/>
      <c r="O45" s="760"/>
      <c r="P45" s="500"/>
      <c r="Q45" s="501"/>
    </row>
    <row r="46" spans="1:29" s="505" customFormat="1" ht="15">
      <c r="A46" s="502" t="s">
        <v>2537</v>
      </c>
      <c r="B46" s="503"/>
      <c r="C46" s="1567" t="str">
        <f>YEAR(C7)&amp;"-"&amp;MONTH(C7)</f>
        <v>2019-11</v>
      </c>
      <c r="D46" s="1568">
        <f>EDATE(C46,-1)</f>
        <v>43739</v>
      </c>
      <c r="E46" s="1568">
        <f t="shared" ref="E46:O46" si="13">EDATE(D46,-1)</f>
        <v>43709</v>
      </c>
      <c r="F46" s="1568">
        <f t="shared" si="13"/>
        <v>43678</v>
      </c>
      <c r="G46" s="1568">
        <f t="shared" si="13"/>
        <v>43647</v>
      </c>
      <c r="H46" s="1568">
        <f t="shared" si="13"/>
        <v>43617</v>
      </c>
      <c r="I46" s="1568">
        <f t="shared" si="13"/>
        <v>43586</v>
      </c>
      <c r="J46" s="1568">
        <f t="shared" si="13"/>
        <v>43556</v>
      </c>
      <c r="K46" s="1568">
        <f t="shared" si="13"/>
        <v>43525</v>
      </c>
      <c r="L46" s="1568">
        <f t="shared" si="13"/>
        <v>43497</v>
      </c>
      <c r="M46" s="1568">
        <f t="shared" si="13"/>
        <v>43466</v>
      </c>
      <c r="N46" s="1568">
        <f t="shared" si="13"/>
        <v>43435</v>
      </c>
      <c r="O46" s="1568">
        <f t="shared" si="13"/>
        <v>43405</v>
      </c>
      <c r="P46" s="504"/>
    </row>
    <row r="47" spans="1:29" s="116" customFormat="1" ht="15">
      <c r="A47" s="506"/>
      <c r="B47" s="507"/>
      <c r="C47" s="1566">
        <v>100</v>
      </c>
      <c r="D47" s="509"/>
      <c r="E47" s="509"/>
      <c r="F47" s="509"/>
      <c r="G47" s="509"/>
      <c r="H47" s="509"/>
      <c r="I47" s="509"/>
      <c r="J47" s="509"/>
      <c r="K47" s="509"/>
      <c r="L47" s="509"/>
      <c r="M47" s="510"/>
      <c r="N47" s="509"/>
      <c r="O47" s="511"/>
      <c r="P47" s="501"/>
    </row>
    <row r="48" spans="1:29" s="116" customFormat="1" ht="15.75" thickBot="1">
      <c r="A48" s="512" t="s">
        <v>2574</v>
      </c>
      <c r="B48" s="513"/>
      <c r="C48" s="514"/>
      <c r="D48" s="515"/>
      <c r="E48" s="515"/>
      <c r="F48" s="515"/>
      <c r="G48" s="515"/>
      <c r="H48" s="515"/>
      <c r="I48" s="515"/>
      <c r="J48" s="515"/>
      <c r="K48" s="515"/>
      <c r="L48" s="515"/>
      <c r="M48" s="516"/>
      <c r="N48" s="515"/>
      <c r="O48" s="517"/>
      <c r="P48" s="501"/>
      <c r="Q48" s="501"/>
    </row>
    <row r="49" spans="1:17" s="116" customFormat="1" ht="15">
      <c r="A49" s="518" t="s">
        <v>2539</v>
      </c>
      <c r="B49" s="507"/>
      <c r="C49" s="519" t="s">
        <v>2641</v>
      </c>
      <c r="D49" s="520"/>
      <c r="E49" s="520"/>
      <c r="F49" s="520"/>
      <c r="G49" s="520"/>
      <c r="H49" s="520"/>
      <c r="I49" s="520"/>
      <c r="J49" s="520"/>
      <c r="K49" s="520"/>
      <c r="L49" s="521"/>
      <c r="M49" s="522"/>
      <c r="N49" s="1145"/>
      <c r="O49" s="1145"/>
      <c r="P49" s="523"/>
      <c r="Q49" s="501"/>
    </row>
    <row r="50" spans="1:17" s="116" customFormat="1" ht="15.75" thickBot="1">
      <c r="A50" s="518"/>
      <c r="B50" s="507"/>
      <c r="C50" s="636">
        <v>100</v>
      </c>
      <c r="D50" s="509"/>
      <c r="E50" s="509"/>
      <c r="F50" s="509"/>
      <c r="G50" s="509"/>
      <c r="H50" s="509"/>
      <c r="I50" s="509"/>
      <c r="J50" s="509"/>
      <c r="K50" s="509"/>
      <c r="L50" s="509"/>
      <c r="M50" s="511"/>
      <c r="N50" s="1145"/>
      <c r="O50" s="1145"/>
      <c r="P50" s="501"/>
      <c r="Q50" s="501"/>
    </row>
    <row r="51" spans="1:17">
      <c r="A51" s="524" t="s">
        <v>2577</v>
      </c>
      <c r="B51" s="525" t="s">
        <v>2543</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2546</v>
      </c>
      <c r="C53" s="536" t="s">
        <v>2578</v>
      </c>
      <c r="D53" s="536" t="s">
        <v>2579</v>
      </c>
      <c r="E53" s="536" t="s">
        <v>2580</v>
      </c>
      <c r="F53" s="536" t="s">
        <v>2581</v>
      </c>
      <c r="G53" s="536" t="s">
        <v>2582</v>
      </c>
      <c r="H53" s="536" t="s">
        <v>2583</v>
      </c>
      <c r="I53" s="536" t="s">
        <v>2584</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7">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2548</v>
      </c>
      <c r="B61" s="525" t="s">
        <v>2591</v>
      </c>
      <c r="C61" s="570" t="s">
        <v>2586</v>
      </c>
      <c r="D61" s="570" t="s">
        <v>2587</v>
      </c>
      <c r="E61" s="570" t="s">
        <v>2588</v>
      </c>
      <c r="F61" s="570" t="s">
        <v>2589</v>
      </c>
      <c r="G61" s="570" t="s">
        <v>2590</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2729</v>
      </c>
      <c r="C63" s="575" t="s">
        <v>2586</v>
      </c>
      <c r="D63" s="575" t="s">
        <v>2587</v>
      </c>
      <c r="E63" s="575" t="s">
        <v>2588</v>
      </c>
      <c r="F63" s="575" t="s">
        <v>2589</v>
      </c>
      <c r="G63" s="575" t="s">
        <v>2590</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2678</v>
      </c>
      <c r="C65" s="657" t="s">
        <v>2664</v>
      </c>
      <c r="D65" s="657" t="s">
        <v>2665</v>
      </c>
      <c r="E65" s="657" t="s">
        <v>2666</v>
      </c>
      <c r="F65" s="657" t="s">
        <v>2667</v>
      </c>
      <c r="G65" s="657" t="s">
        <v>2668</v>
      </c>
      <c r="H65" s="536"/>
      <c r="I65" s="536"/>
      <c r="J65" s="536"/>
      <c r="K65" s="536"/>
      <c r="L65" s="536"/>
      <c r="M65" s="1376"/>
      <c r="N65" s="1147"/>
      <c r="O65" s="1147"/>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7"/>
      <c r="O66" s="1147"/>
      <c r="P66" s="45"/>
      <c r="Q66" s="501"/>
    </row>
    <row r="67" spans="1:17" ht="15.75" thickTop="1">
      <c r="A67" s="531"/>
      <c r="B67" s="535" t="s">
        <v>2598</v>
      </c>
      <c r="C67" s="575" t="s">
        <v>2586</v>
      </c>
      <c r="D67" s="575" t="s">
        <v>2587</v>
      </c>
      <c r="E67" s="575" t="s">
        <v>2588</v>
      </c>
      <c r="F67" s="575" t="s">
        <v>2589</v>
      </c>
      <c r="G67" s="575" t="s">
        <v>2590</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2718</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6" customFormat="1" ht="15.75" thickTop="1">
      <c r="A71" s="576"/>
      <c r="B71" s="535">
        <f>B23</f>
        <v>111</v>
      </c>
      <c r="C71" s="546"/>
      <c r="D71" s="546"/>
      <c r="E71" s="546"/>
      <c r="F71" s="546"/>
      <c r="G71" s="551"/>
      <c r="H71" s="551"/>
      <c r="I71" s="551"/>
      <c r="J71" s="551"/>
      <c r="K71" s="551"/>
      <c r="L71" s="577"/>
      <c r="M71" s="578"/>
      <c r="N71" s="1145"/>
      <c r="O71" s="1145"/>
      <c r="P71" s="45"/>
      <c r="Q71" s="501"/>
    </row>
    <row r="72" spans="1:17" s="116" customFormat="1" ht="15.75" thickBot="1">
      <c r="A72" s="576"/>
      <c r="B72" s="540"/>
      <c r="C72" s="557"/>
      <c r="D72" s="533"/>
      <c r="E72" s="533"/>
      <c r="F72" s="533"/>
      <c r="G72" s="533"/>
      <c r="H72" s="533"/>
      <c r="I72" s="533"/>
      <c r="J72" s="533"/>
      <c r="K72" s="533"/>
      <c r="L72" s="533"/>
      <c r="M72" s="534"/>
      <c r="N72" s="1147"/>
      <c r="O72" s="1147"/>
      <c r="P72" s="45"/>
      <c r="Q72" s="501"/>
    </row>
    <row r="73" spans="1:17" s="116" customFormat="1" ht="15.75" thickTop="1">
      <c r="A73" s="576"/>
      <c r="B73" s="535">
        <f>B24</f>
        <v>111</v>
      </c>
      <c r="C73" s="546"/>
      <c r="D73" s="546"/>
      <c r="E73" s="546"/>
      <c r="F73" s="546"/>
      <c r="G73" s="551"/>
      <c r="H73" s="551"/>
      <c r="I73" s="551"/>
      <c r="J73" s="551"/>
      <c r="K73" s="551"/>
      <c r="L73" s="551"/>
      <c r="M73" s="578"/>
      <c r="N73" s="1145"/>
      <c r="O73" s="1145"/>
      <c r="P73" s="45"/>
      <c r="Q73" s="501"/>
    </row>
    <row r="74" spans="1:17" s="116"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2552</v>
      </c>
      <c r="B77" s="525" t="s">
        <v>2605</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4">C78-$K26</f>
        <v>100</v>
      </c>
      <c r="E78" s="541">
        <f t="shared" si="14"/>
        <v>100</v>
      </c>
      <c r="F78" s="541">
        <f t="shared" si="14"/>
        <v>100</v>
      </c>
      <c r="G78" s="541">
        <f t="shared" si="14"/>
        <v>100</v>
      </c>
      <c r="H78" s="541">
        <f t="shared" si="14"/>
        <v>100</v>
      </c>
      <c r="I78" s="541">
        <f t="shared" si="14"/>
        <v>100</v>
      </c>
      <c r="J78" s="541">
        <f t="shared" si="14"/>
        <v>100</v>
      </c>
      <c r="K78" s="541">
        <f t="shared" si="14"/>
        <v>100</v>
      </c>
      <c r="L78" s="541">
        <f t="shared" si="14"/>
        <v>100</v>
      </c>
      <c r="M78" s="542">
        <f t="shared" si="14"/>
        <v>100</v>
      </c>
      <c r="N78" s="1147"/>
      <c r="O78" s="1147"/>
      <c r="P78" s="45"/>
      <c r="Q78" s="501"/>
    </row>
    <row r="79" spans="1:17" ht="15.75" thickTop="1">
      <c r="A79" s="531"/>
      <c r="B79" s="535" t="s">
        <v>2721</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7"/>
      <c r="J80" s="657"/>
      <c r="K80" s="665"/>
      <c r="L80" s="666"/>
      <c r="M80" s="667"/>
      <c r="N80" s="1145"/>
      <c r="O80" s="1145"/>
      <c r="P80" s="45"/>
      <c r="Q80" s="501"/>
    </row>
    <row r="81" spans="1:17" s="468" customFormat="1" ht="15.75" thickBot="1">
      <c r="A81" s="550"/>
      <c r="B81" s="540"/>
      <c r="C81" s="579">
        <v>100</v>
      </c>
      <c r="D81" s="541">
        <f t="shared" ref="D81:M81" si="15">C81+$K27</f>
        <v>100</v>
      </c>
      <c r="E81" s="541">
        <f t="shared" si="15"/>
        <v>100</v>
      </c>
      <c r="F81" s="541">
        <f t="shared" si="15"/>
        <v>100</v>
      </c>
      <c r="G81" s="541">
        <f t="shared" si="15"/>
        <v>100</v>
      </c>
      <c r="H81" s="541">
        <f t="shared" si="15"/>
        <v>100</v>
      </c>
      <c r="I81" s="541">
        <f t="shared" si="15"/>
        <v>100</v>
      </c>
      <c r="J81" s="541">
        <f t="shared" si="15"/>
        <v>100</v>
      </c>
      <c r="K81" s="541">
        <f t="shared" si="15"/>
        <v>100</v>
      </c>
      <c r="L81" s="541">
        <f t="shared" si="15"/>
        <v>100</v>
      </c>
      <c r="M81" s="541">
        <f t="shared" si="15"/>
        <v>100</v>
      </c>
      <c r="N81" s="1147"/>
      <c r="O81" s="1147"/>
      <c r="P81" s="555"/>
      <c r="Q81" s="556"/>
    </row>
    <row r="82" spans="1:17" ht="15" thickTop="1">
      <c r="A82" s="596"/>
      <c r="B82" s="543" t="s">
        <v>2722</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6">C83-$K28</f>
        <v>100</v>
      </c>
      <c r="E83" s="541">
        <f t="shared" si="16"/>
        <v>100</v>
      </c>
      <c r="F83" s="541">
        <f t="shared" si="16"/>
        <v>100</v>
      </c>
      <c r="G83" s="541">
        <f t="shared" si="16"/>
        <v>100</v>
      </c>
      <c r="H83" s="541">
        <f t="shared" si="16"/>
        <v>100</v>
      </c>
      <c r="I83" s="541">
        <f t="shared" si="16"/>
        <v>100</v>
      </c>
      <c r="J83" s="541">
        <f t="shared" si="16"/>
        <v>100</v>
      </c>
      <c r="K83" s="541">
        <f t="shared" si="16"/>
        <v>100</v>
      </c>
      <c r="L83" s="541">
        <f t="shared" si="16"/>
        <v>100</v>
      </c>
      <c r="M83" s="542">
        <f t="shared" si="16"/>
        <v>100</v>
      </c>
      <c r="N83" s="1147"/>
      <c r="O83" s="1147"/>
      <c r="P83" s="45"/>
      <c r="Q83" s="501"/>
    </row>
    <row r="84" spans="1:17" ht="15" thickTop="1">
      <c r="A84" s="596"/>
      <c r="B84" s="535" t="s">
        <v>2730</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17">C85+$K29</f>
        <v>100</v>
      </c>
      <c r="E85" s="541">
        <f t="shared" si="17"/>
        <v>100</v>
      </c>
      <c r="F85" s="541">
        <f t="shared" si="17"/>
        <v>100</v>
      </c>
      <c r="G85" s="541">
        <f t="shared" si="17"/>
        <v>100</v>
      </c>
      <c r="H85" s="541">
        <f t="shared" si="17"/>
        <v>100</v>
      </c>
      <c r="I85" s="541">
        <f t="shared" si="17"/>
        <v>100</v>
      </c>
      <c r="J85" s="541">
        <f t="shared" si="17"/>
        <v>100</v>
      </c>
      <c r="K85" s="541">
        <f t="shared" si="17"/>
        <v>100</v>
      </c>
      <c r="L85" s="541">
        <f t="shared" si="17"/>
        <v>100</v>
      </c>
      <c r="M85" s="541">
        <f t="shared" si="17"/>
        <v>100</v>
      </c>
      <c r="N85" s="1147"/>
      <c r="O85" s="1147"/>
      <c r="P85" s="45"/>
      <c r="Q85" s="501"/>
    </row>
    <row r="86" spans="1:17" ht="15" thickTop="1">
      <c r="A86" s="596"/>
      <c r="B86" s="543" t="s">
        <v>2731</v>
      </c>
      <c r="C86" s="575" t="str">
        <f t="shared" ref="C86:L86" si="18">C87&amp;"(含)"&amp;"-"&amp;D87</f>
        <v>(含)-</v>
      </c>
      <c r="D86" s="575" t="str">
        <f t="shared" si="18"/>
        <v>(含)-</v>
      </c>
      <c r="E86" s="575" t="str">
        <f t="shared" si="18"/>
        <v>(含)-</v>
      </c>
      <c r="F86" s="575" t="str">
        <f t="shared" si="18"/>
        <v>(含)-</v>
      </c>
      <c r="G86" s="575" t="str">
        <f t="shared" si="18"/>
        <v>(含)-</v>
      </c>
      <c r="H86" s="575" t="str">
        <f t="shared" si="18"/>
        <v>(含)-</v>
      </c>
      <c r="I86" s="575" t="str">
        <f t="shared" si="18"/>
        <v>(含)-</v>
      </c>
      <c r="J86" s="575" t="str">
        <f t="shared" si="18"/>
        <v>(含)-</v>
      </c>
      <c r="K86" s="575" t="str">
        <f t="shared" si="18"/>
        <v>(含)-</v>
      </c>
      <c r="L86" s="575" t="str">
        <f t="shared" si="18"/>
        <v>(含)-</v>
      </c>
      <c r="M86" s="619"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2732</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3">
        <f>B34</f>
        <v>111</v>
      </c>
      <c r="C95" s="546"/>
      <c r="D95" s="546"/>
      <c r="E95" s="546"/>
      <c r="F95" s="546"/>
      <c r="G95" s="551"/>
      <c r="H95" s="552"/>
      <c r="I95" s="552"/>
      <c r="J95" s="552"/>
      <c r="K95" s="552"/>
      <c r="L95" s="553"/>
      <c r="M95" s="554"/>
      <c r="N95" s="1147"/>
      <c r="O95" s="1147"/>
      <c r="P95" s="634"/>
      <c r="Q95" s="635"/>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395" customFormat="1" ht="28.5" customHeight="1">
      <c r="A1" s="391" t="s">
        <v>2733</v>
      </c>
      <c r="B1" s="392"/>
      <c r="C1" s="393" t="s">
        <v>2785</v>
      </c>
      <c r="D1" s="751"/>
      <c r="E1" s="751"/>
      <c r="F1" s="750" t="s">
        <v>2632</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2319</v>
      </c>
      <c r="B2" s="668" t="e">
        <f>F61</f>
        <v>#DIV/0!</v>
      </c>
      <c r="C2" s="1119"/>
      <c r="D2" s="1119"/>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2321</v>
      </c>
      <c r="B3" s="606" t="e">
        <f>ROUND(IF(D3="",B2*10000/'数据-汇总表'!E3,B2*10000/D3),0)</f>
        <v>#DIV/0!</v>
      </c>
      <c r="C3" s="244" t="s">
        <v>2735</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2634</v>
      </c>
      <c r="B4" s="399"/>
      <c r="C4" s="3264" t="s">
        <v>2635</v>
      </c>
      <c r="D4" s="3277"/>
      <c r="E4" s="3278" t="s">
        <v>2636</v>
      </c>
      <c r="F4" s="3279"/>
      <c r="G4" s="3264" t="s">
        <v>2637</v>
      </c>
      <c r="H4" s="3277"/>
      <c r="I4" s="3264" t="s">
        <v>2638</v>
      </c>
      <c r="J4" s="3277"/>
      <c r="K4" s="607" t="s">
        <v>2639</v>
      </c>
      <c r="L4" s="1124"/>
      <c r="M4" s="1125"/>
      <c r="N4" s="1125"/>
      <c r="O4" s="1125"/>
      <c r="P4" s="3280" t="s">
        <v>2640</v>
      </c>
      <c r="Q4" s="3281"/>
      <c r="R4" s="3286" t="s">
        <v>2636</v>
      </c>
      <c r="S4" s="3287"/>
      <c r="T4" s="3286" t="s">
        <v>2637</v>
      </c>
      <c r="U4" s="3287"/>
      <c r="V4" s="3273" t="s">
        <v>2638</v>
      </c>
      <c r="W4" s="3273"/>
      <c r="X4" s="1806"/>
      <c r="Y4" s="3286" t="s">
        <v>2640</v>
      </c>
      <c r="Z4" s="3287"/>
      <c r="AA4" s="3274" t="s">
        <v>2636</v>
      </c>
      <c r="AB4" s="3275" t="s">
        <v>2637</v>
      </c>
      <c r="AC4" s="3274" t="s">
        <v>2638</v>
      </c>
    </row>
    <row r="5" spans="1:29" ht="15">
      <c r="A5" s="401"/>
      <c r="B5" s="402"/>
      <c r="C5" s="3294" t="s">
        <v>2531</v>
      </c>
      <c r="D5" s="3295"/>
      <c r="E5" s="3301" t="s">
        <v>2532</v>
      </c>
      <c r="F5" s="3302"/>
      <c r="G5" s="3294" t="s">
        <v>2533</v>
      </c>
      <c r="H5" s="3295"/>
      <c r="I5" s="3294" t="s">
        <v>2534</v>
      </c>
      <c r="J5" s="3295"/>
      <c r="K5" s="607"/>
      <c r="L5" s="1124"/>
      <c r="M5" s="1125"/>
      <c r="N5" s="1125"/>
      <c r="O5" s="1125"/>
      <c r="P5" s="3282"/>
      <c r="Q5" s="3283"/>
      <c r="R5" s="3288"/>
      <c r="S5" s="3289"/>
      <c r="T5" s="3288"/>
      <c r="U5" s="3289"/>
      <c r="V5" s="3273"/>
      <c r="W5" s="3273"/>
      <c r="X5" s="1806"/>
      <c r="Y5" s="3288"/>
      <c r="Z5" s="3289"/>
      <c r="AA5" s="3275"/>
      <c r="AB5" s="3275"/>
      <c r="AC5" s="3275"/>
    </row>
    <row r="6" spans="1:29" ht="15.75" thickBot="1">
      <c r="A6" s="403"/>
      <c r="B6" s="404"/>
      <c r="C6" s="3355" t="s">
        <v>2786</v>
      </c>
      <c r="D6" s="3356"/>
      <c r="E6" s="3357" t="s">
        <v>2786</v>
      </c>
      <c r="F6" s="3358"/>
      <c r="G6" s="3355" t="s">
        <v>2786</v>
      </c>
      <c r="H6" s="3356"/>
      <c r="I6" s="3355" t="s">
        <v>2786</v>
      </c>
      <c r="J6" s="3356"/>
      <c r="K6" s="607" t="s">
        <v>2536</v>
      </c>
      <c r="L6" s="1124"/>
      <c r="M6" s="1125"/>
      <c r="N6" s="1125"/>
      <c r="O6" s="1125"/>
      <c r="P6" s="3284"/>
      <c r="Q6" s="3285"/>
      <c r="R6" s="3288"/>
      <c r="S6" s="3289"/>
      <c r="T6" s="3290"/>
      <c r="U6" s="3291"/>
      <c r="V6" s="3273"/>
      <c r="W6" s="3273"/>
      <c r="X6" s="1806"/>
      <c r="Y6" s="3290"/>
      <c r="Z6" s="3291"/>
      <c r="AA6" s="3276"/>
      <c r="AB6" s="3276"/>
      <c r="AC6" s="3276"/>
    </row>
    <row r="7" spans="1:29" s="116" customFormat="1" ht="15.75" thickBot="1">
      <c r="A7" s="405" t="s">
        <v>2537</v>
      </c>
      <c r="B7" s="406"/>
      <c r="C7" s="407">
        <f>'数据-取费表'!B2</f>
        <v>43782</v>
      </c>
      <c r="D7" s="408">
        <v>100</v>
      </c>
      <c r="E7" s="409"/>
      <c r="F7" s="410">
        <f>SUMIF(65:65,YEAR(E7)&amp;"-"&amp;INT((MONTH(E7)+2)/3),66:66)</f>
        <v>0</v>
      </c>
      <c r="G7" s="2686"/>
      <c r="H7" s="408">
        <f>SUMIF(65:65,YEAR(G7)&amp;"-"&amp;INT((MONTH(G7)+2)/3),66:66)</f>
        <v>0</v>
      </c>
      <c r="I7" s="2686"/>
      <c r="J7" s="408">
        <f>SUMIF(65:65,YEAR(I7)&amp;"-"&amp;INT((MONTH(I7)+2)/3),66:66)</f>
        <v>0</v>
      </c>
      <c r="K7" s="608"/>
      <c r="L7" s="1126"/>
      <c r="M7" s="1127"/>
      <c r="N7" s="1127"/>
      <c r="O7" s="1127"/>
      <c r="P7" s="3296" t="s">
        <v>2538</v>
      </c>
      <c r="Q7" s="3298"/>
      <c r="R7" s="766" t="s">
        <v>17</v>
      </c>
      <c r="S7" s="767">
        <f t="shared" ref="S7:S15" si="0">F7</f>
        <v>0</v>
      </c>
      <c r="T7" s="766" t="s">
        <v>17</v>
      </c>
      <c r="U7" s="767">
        <f t="shared" ref="U7:U15" si="1">H7</f>
        <v>0</v>
      </c>
      <c r="V7" s="766" t="s">
        <v>17</v>
      </c>
      <c r="W7" s="767">
        <f t="shared" ref="W7:W15" si="2">J7</f>
        <v>0</v>
      </c>
      <c r="X7" s="768"/>
      <c r="Y7" s="3296" t="s">
        <v>2538</v>
      </c>
      <c r="Z7" s="3297"/>
      <c r="AA7" s="769" t="e">
        <f>D7/F7</f>
        <v>#DIV/0!</v>
      </c>
      <c r="AB7" s="769" t="e">
        <f>D7/H7</f>
        <v>#DIV/0!</v>
      </c>
      <c r="AC7" s="769" t="e">
        <f>D7/J7</f>
        <v>#DIV/0!</v>
      </c>
    </row>
    <row r="8" spans="1:29" s="116" customFormat="1" ht="15.75" thickBot="1">
      <c r="A8" s="405" t="s">
        <v>2539</v>
      </c>
      <c r="B8" s="406"/>
      <c r="C8" s="411" t="s">
        <v>2540</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296" t="s">
        <v>2541</v>
      </c>
      <c r="Q8" s="3297"/>
      <c r="R8" s="766" t="s">
        <v>17</v>
      </c>
      <c r="S8" s="767">
        <f t="shared" si="0"/>
        <v>0</v>
      </c>
      <c r="T8" s="766" t="s">
        <v>17</v>
      </c>
      <c r="U8" s="767">
        <f t="shared" si="1"/>
        <v>0</v>
      </c>
      <c r="V8" s="766" t="s">
        <v>17</v>
      </c>
      <c r="W8" s="767">
        <f t="shared" si="2"/>
        <v>0</v>
      </c>
      <c r="X8" s="768"/>
      <c r="Y8" s="3296" t="s">
        <v>2541</v>
      </c>
      <c r="Z8" s="3297"/>
      <c r="AA8" s="769" t="e">
        <f t="shared" ref="AA8:AA40" si="3">D8/F8</f>
        <v>#DIV/0!</v>
      </c>
      <c r="AB8" s="769" t="e">
        <f t="shared" ref="AB8:AB40" si="4">D8/H8</f>
        <v>#DIV/0!</v>
      </c>
      <c r="AC8" s="769" t="e">
        <f t="shared" ref="AC8:AC40" si="5">D8/J8</f>
        <v>#DIV/0!</v>
      </c>
    </row>
    <row r="9" spans="1:29" s="116" customFormat="1">
      <c r="A9" s="412" t="s">
        <v>2542</v>
      </c>
      <c r="B9" s="71" t="s">
        <v>2543</v>
      </c>
      <c r="C9" s="2689"/>
      <c r="D9" s="132">
        <v>100</v>
      </c>
      <c r="E9" s="2689"/>
      <c r="F9" s="132">
        <f>SUMIF(70:70,E9,71:71)-SUMIF(70:70,C9,71:71)+100</f>
        <v>100</v>
      </c>
      <c r="G9" s="2689"/>
      <c r="H9" s="132">
        <f>SUMIF(70:70,G9,71:71)-SUMIF(70:70,C9,71:71)+100</f>
        <v>100</v>
      </c>
      <c r="I9" s="2689"/>
      <c r="J9" s="132">
        <f>SUMIF(70:70,I9,71:71)-SUMIF(70:70,C9,71:71)+100</f>
        <v>100</v>
      </c>
      <c r="K9" s="608"/>
      <c r="L9" s="1126"/>
      <c r="M9" s="1127"/>
      <c r="N9" s="1127"/>
      <c r="O9" s="1128"/>
      <c r="P9" s="3267" t="s">
        <v>2544</v>
      </c>
      <c r="Q9" s="1788" t="str">
        <f t="shared" ref="Q9:Q15" si="6">B9</f>
        <v>用途</v>
      </c>
      <c r="R9" s="766" t="s">
        <v>17</v>
      </c>
      <c r="S9" s="767">
        <f t="shared" si="0"/>
        <v>100</v>
      </c>
      <c r="T9" s="766" t="s">
        <v>17</v>
      </c>
      <c r="U9" s="767">
        <f t="shared" si="1"/>
        <v>100</v>
      </c>
      <c r="V9" s="766" t="s">
        <v>17</v>
      </c>
      <c r="W9" s="767">
        <f t="shared" si="2"/>
        <v>100</v>
      </c>
      <c r="X9" s="768"/>
      <c r="Y9" s="3087" t="s">
        <v>2545</v>
      </c>
      <c r="Z9" s="55" t="str">
        <f t="shared" ref="Z9:Z15" si="7">Q9</f>
        <v>用途</v>
      </c>
      <c r="AA9" s="769">
        <f t="shared" si="3"/>
        <v>1</v>
      </c>
      <c r="AB9" s="769">
        <f t="shared" si="4"/>
        <v>1</v>
      </c>
      <c r="AC9" s="769">
        <f t="shared" si="5"/>
        <v>1</v>
      </c>
    </row>
    <row r="10" spans="1:29" s="424" customFormat="1" ht="27">
      <c r="A10" s="418"/>
      <c r="B10" s="419" t="s">
        <v>2546</v>
      </c>
      <c r="C10" s="429"/>
      <c r="D10" s="133">
        <v>100</v>
      </c>
      <c r="E10" s="429"/>
      <c r="F10" s="133">
        <f>ROUND(100/'数据-取费表'!G16,0)</f>
        <v>104</v>
      </c>
      <c r="G10" s="429"/>
      <c r="H10" s="133">
        <f>ROUND(100/'数据-取费表'!G16,0)</f>
        <v>104</v>
      </c>
      <c r="I10" s="429"/>
      <c r="J10" s="133">
        <f>ROUND(100/'数据-取费表'!G16,0)</f>
        <v>104</v>
      </c>
      <c r="K10" s="669"/>
      <c r="L10" s="1129"/>
      <c r="M10" s="1130"/>
      <c r="N10" s="1130"/>
      <c r="O10" s="1131"/>
      <c r="P10" s="3267"/>
      <c r="Q10" s="1788" t="str">
        <f t="shared" si="6"/>
        <v>土地使用年限（年）</v>
      </c>
      <c r="R10" s="766" t="s">
        <v>17</v>
      </c>
      <c r="S10" s="767">
        <f t="shared" si="0"/>
        <v>104</v>
      </c>
      <c r="T10" s="766" t="s">
        <v>17</v>
      </c>
      <c r="U10" s="767">
        <f t="shared" si="1"/>
        <v>104</v>
      </c>
      <c r="V10" s="766" t="s">
        <v>17</v>
      </c>
      <c r="W10" s="767">
        <f t="shared" si="2"/>
        <v>104</v>
      </c>
      <c r="X10" s="768"/>
      <c r="Y10" s="3087"/>
      <c r="Z10" s="55" t="str">
        <f t="shared" si="7"/>
        <v>土地使用年限（年）</v>
      </c>
      <c r="AA10" s="769">
        <f t="shared" si="3"/>
        <v>0.96153846153846156</v>
      </c>
      <c r="AB10" s="769">
        <f t="shared" si="4"/>
        <v>0.96153846153846156</v>
      </c>
      <c r="AC10" s="769">
        <f t="shared" si="5"/>
        <v>0.96153846153846156</v>
      </c>
    </row>
    <row r="11" spans="1:29" ht="15">
      <c r="A11" s="425"/>
      <c r="B11" s="419" t="s">
        <v>2547</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2"/>
      <c r="M11" s="1125"/>
      <c r="N11" s="1125"/>
      <c r="O11" s="1133"/>
      <c r="P11" s="3267"/>
      <c r="Q11" s="1788" t="str">
        <f t="shared" si="6"/>
        <v>容积率</v>
      </c>
      <c r="R11" s="766" t="s">
        <v>17</v>
      </c>
      <c r="S11" s="767" t="e">
        <f t="shared" si="0"/>
        <v>#N/A</v>
      </c>
      <c r="T11" s="766" t="s">
        <v>17</v>
      </c>
      <c r="U11" s="767" t="e">
        <f t="shared" si="1"/>
        <v>#N/A</v>
      </c>
      <c r="V11" s="766" t="s">
        <v>17</v>
      </c>
      <c r="W11" s="767" t="e">
        <f t="shared" si="2"/>
        <v>#N/A</v>
      </c>
      <c r="X11" s="768"/>
      <c r="Y11" s="3087"/>
      <c r="Z11" s="55" t="str">
        <f t="shared" si="7"/>
        <v>容积率</v>
      </c>
      <c r="AA11" s="769" t="e">
        <f t="shared" si="3"/>
        <v>#N/A</v>
      </c>
      <c r="AB11" s="769" t="e">
        <f t="shared" si="4"/>
        <v>#N/A</v>
      </c>
      <c r="AC11" s="769" t="e">
        <f t="shared" si="5"/>
        <v>#N/A</v>
      </c>
    </row>
    <row r="12" spans="1:29" s="116" customFormat="1" ht="15">
      <c r="A12" s="428"/>
      <c r="B12" s="2592">
        <v>111</v>
      </c>
      <c r="C12" s="429"/>
      <c r="D12" s="430">
        <v>100</v>
      </c>
      <c r="E12" s="546"/>
      <c r="F12" s="133">
        <f>SUMIF(77:77,E12,78:78)-SUMIF(77:77,C12,78:78)+100</f>
        <v>100</v>
      </c>
      <c r="G12" s="671"/>
      <c r="H12" s="133">
        <f>SUMIF(77:77,G12,78:78)-SUMIF(77:77,C12,78:78)+100</f>
        <v>100</v>
      </c>
      <c r="I12" s="546"/>
      <c r="J12" s="133">
        <f>SUMIF(77:77,I12,78:78)-SUMIF(77:77,C12,78:78)+100</f>
        <v>100</v>
      </c>
      <c r="K12" s="669"/>
      <c r="L12" s="1126"/>
      <c r="M12" s="1127"/>
      <c r="N12" s="1127"/>
      <c r="O12" s="1128"/>
      <c r="P12" s="3267"/>
      <c r="Q12" s="1788">
        <f t="shared" si="6"/>
        <v>111</v>
      </c>
      <c r="R12" s="766" t="s">
        <v>17</v>
      </c>
      <c r="S12" s="767">
        <f t="shared" si="0"/>
        <v>100</v>
      </c>
      <c r="T12" s="766" t="s">
        <v>17</v>
      </c>
      <c r="U12" s="767">
        <f t="shared" si="1"/>
        <v>100</v>
      </c>
      <c r="V12" s="766" t="s">
        <v>17</v>
      </c>
      <c r="W12" s="767">
        <f t="shared" si="2"/>
        <v>100</v>
      </c>
      <c r="X12" s="768"/>
      <c r="Y12" s="3087"/>
      <c r="Z12" s="55">
        <f t="shared" si="7"/>
        <v>111</v>
      </c>
      <c r="AA12" s="769">
        <f>D12/F12</f>
        <v>1</v>
      </c>
      <c r="AB12" s="769">
        <f>D12/H12</f>
        <v>1</v>
      </c>
      <c r="AC12" s="769">
        <f>D12/J12</f>
        <v>1</v>
      </c>
    </row>
    <row r="13" spans="1:29" ht="15">
      <c r="A13" s="425"/>
      <c r="B13" s="2592">
        <v>111</v>
      </c>
      <c r="C13" s="431"/>
      <c r="D13" s="432">
        <v>100</v>
      </c>
      <c r="E13" s="546"/>
      <c r="F13" s="133">
        <f>SUMIF(79:79,E13,80:80)-SUMIF(79:79,C13,80:80)+100</f>
        <v>100</v>
      </c>
      <c r="G13" s="671"/>
      <c r="H13" s="432">
        <f>SUMIF(79:79,G13,80:80)-SUMIF(79:79,C13,80:80)+100</f>
        <v>100</v>
      </c>
      <c r="I13" s="546"/>
      <c r="J13" s="432">
        <f>SUMIF(79:79,I13,80:80)-SUMIF(79:79,C13,80:80)+100</f>
        <v>100</v>
      </c>
      <c r="K13" s="669"/>
      <c r="L13" s="1134"/>
      <c r="M13" s="1125"/>
      <c r="N13" s="1125"/>
      <c r="O13" s="1133"/>
      <c r="P13" s="3267"/>
      <c r="Q13" s="1788">
        <f t="shared" si="6"/>
        <v>111</v>
      </c>
      <c r="R13" s="766" t="s">
        <v>17</v>
      </c>
      <c r="S13" s="767">
        <f t="shared" si="0"/>
        <v>100</v>
      </c>
      <c r="T13" s="766" t="s">
        <v>17</v>
      </c>
      <c r="U13" s="767">
        <f t="shared" si="1"/>
        <v>100</v>
      </c>
      <c r="V13" s="766" t="s">
        <v>17</v>
      </c>
      <c r="W13" s="767">
        <f t="shared" si="2"/>
        <v>100</v>
      </c>
      <c r="X13" s="768"/>
      <c r="Y13" s="3087"/>
      <c r="Z13" s="55">
        <f t="shared" si="7"/>
        <v>111</v>
      </c>
      <c r="AA13" s="769">
        <f t="shared" si="3"/>
        <v>1</v>
      </c>
      <c r="AB13" s="769">
        <f t="shared" si="4"/>
        <v>1</v>
      </c>
      <c r="AC13" s="769">
        <f t="shared" si="5"/>
        <v>1</v>
      </c>
    </row>
    <row r="14" spans="1:29" ht="15.75" thickBot="1">
      <c r="A14" s="433"/>
      <c r="B14" s="2594">
        <v>111</v>
      </c>
      <c r="C14" s="434"/>
      <c r="D14" s="435">
        <v>100</v>
      </c>
      <c r="E14" s="546"/>
      <c r="F14" s="435">
        <f>SUMIF(81:81,E14,82:82)-SUMIF(81:81,C14,82:82)+100</f>
        <v>100</v>
      </c>
      <c r="G14" s="671"/>
      <c r="H14" s="435">
        <f>SUMIF(81:81,G14,82:82)-SUMIF(81:81,C14,82:82)+100</f>
        <v>100</v>
      </c>
      <c r="I14" s="546"/>
      <c r="J14" s="435">
        <f>SUMIF(81:81,I14,82:82)-SUMIF(81:81,C14,82:82)+100</f>
        <v>100</v>
      </c>
      <c r="K14" s="669"/>
      <c r="L14" s="1134"/>
      <c r="M14" s="1125"/>
      <c r="N14" s="1125"/>
      <c r="O14" s="1133"/>
      <c r="P14" s="3267"/>
      <c r="Q14" s="1788">
        <f t="shared" si="6"/>
        <v>111</v>
      </c>
      <c r="R14" s="766" t="s">
        <v>17</v>
      </c>
      <c r="S14" s="767">
        <f t="shared" si="0"/>
        <v>100</v>
      </c>
      <c r="T14" s="766" t="s">
        <v>17</v>
      </c>
      <c r="U14" s="767">
        <f t="shared" si="1"/>
        <v>100</v>
      </c>
      <c r="V14" s="766" t="s">
        <v>17</v>
      </c>
      <c r="W14" s="767">
        <f t="shared" si="2"/>
        <v>100</v>
      </c>
      <c r="X14" s="768"/>
      <c r="Y14" s="3087"/>
      <c r="Z14" s="55">
        <f t="shared" si="7"/>
        <v>111</v>
      </c>
      <c r="AA14" s="769">
        <f t="shared" si="3"/>
        <v>1</v>
      </c>
      <c r="AB14" s="769">
        <f t="shared" si="4"/>
        <v>1</v>
      </c>
      <c r="AC14" s="769">
        <f t="shared" si="5"/>
        <v>1</v>
      </c>
    </row>
    <row r="15" spans="1:29" ht="57">
      <c r="A15" s="437" t="s">
        <v>2548</v>
      </c>
      <c r="B15" s="626" t="s">
        <v>2787</v>
      </c>
      <c r="C15" s="2683"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4"/>
      <c r="M15" s="1125"/>
      <c r="N15" s="1125"/>
      <c r="O15" s="1133"/>
      <c r="P15" s="3269" t="s">
        <v>2549</v>
      </c>
      <c r="Q15" s="1803" t="str">
        <f t="shared" si="6"/>
        <v>产业集聚程度</v>
      </c>
      <c r="R15" s="770" t="s">
        <v>17</v>
      </c>
      <c r="S15" s="771">
        <f t="shared" si="0"/>
        <v>100</v>
      </c>
      <c r="T15" s="770" t="s">
        <v>17</v>
      </c>
      <c r="U15" s="771">
        <f t="shared" si="1"/>
        <v>100</v>
      </c>
      <c r="V15" s="770" t="s">
        <v>17</v>
      </c>
      <c r="W15" s="771">
        <f t="shared" si="2"/>
        <v>100</v>
      </c>
      <c r="X15" s="1806"/>
      <c r="Y15" s="3269" t="s">
        <v>2549</v>
      </c>
      <c r="Z15" s="1807" t="str">
        <f t="shared" si="7"/>
        <v>产业集聚程度</v>
      </c>
      <c r="AA15" s="1804">
        <f t="shared" si="3"/>
        <v>1</v>
      </c>
      <c r="AB15" s="1804">
        <f t="shared" si="4"/>
        <v>1</v>
      </c>
      <c r="AC15" s="1804">
        <f t="shared" si="5"/>
        <v>1</v>
      </c>
    </row>
    <row r="16" spans="1:29" ht="15">
      <c r="A16" s="425"/>
      <c r="B16" s="627"/>
      <c r="C16" s="444"/>
      <c r="D16" s="445"/>
      <c r="E16" s="2603"/>
      <c r="F16" s="445"/>
      <c r="G16" s="2603"/>
      <c r="H16" s="447"/>
      <c r="I16" s="2603"/>
      <c r="J16" s="445"/>
      <c r="K16" s="669"/>
      <c r="L16" s="1134"/>
      <c r="M16" s="1125"/>
      <c r="N16" s="1125"/>
      <c r="O16" s="1133"/>
      <c r="P16" s="3270"/>
      <c r="Q16" s="1803"/>
      <c r="R16" s="770"/>
      <c r="S16" s="771"/>
      <c r="T16" s="770"/>
      <c r="U16" s="771"/>
      <c r="V16" s="770"/>
      <c r="W16" s="771"/>
      <c r="X16" s="1806"/>
      <c r="Y16" s="3270"/>
      <c r="Z16" s="1807"/>
      <c r="AA16" s="1804">
        <v>1</v>
      </c>
      <c r="AB16" s="1804">
        <v>1</v>
      </c>
      <c r="AC16" s="1804">
        <v>1</v>
      </c>
    </row>
    <row r="17" spans="1:29" ht="85.5">
      <c r="A17" s="425"/>
      <c r="B17" s="628" t="s">
        <v>2698</v>
      </c>
      <c r="C17" s="2599"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4"/>
      <c r="M17" s="1125"/>
      <c r="N17" s="1125"/>
      <c r="O17" s="1133"/>
      <c r="P17" s="3270"/>
      <c r="Q17" s="1803" t="str">
        <f>B17</f>
        <v>交通便捷度</v>
      </c>
      <c r="R17" s="770" t="s">
        <v>17</v>
      </c>
      <c r="S17" s="771">
        <f>F17</f>
        <v>100</v>
      </c>
      <c r="T17" s="770" t="s">
        <v>17</v>
      </c>
      <c r="U17" s="771">
        <f>H17</f>
        <v>100</v>
      </c>
      <c r="V17" s="770" t="s">
        <v>17</v>
      </c>
      <c r="W17" s="771">
        <f>J17</f>
        <v>100</v>
      </c>
      <c r="X17" s="1806"/>
      <c r="Y17" s="3270"/>
      <c r="Z17" s="1807" t="str">
        <f>Q17</f>
        <v>交通便捷度</v>
      </c>
      <c r="AA17" s="1804">
        <f t="shared" si="3"/>
        <v>1</v>
      </c>
      <c r="AB17" s="1804">
        <f t="shared" si="4"/>
        <v>1</v>
      </c>
      <c r="AC17" s="1804">
        <f t="shared" si="5"/>
        <v>1</v>
      </c>
    </row>
    <row r="18" spans="1:29" ht="15">
      <c r="A18" s="425"/>
      <c r="B18" s="629"/>
      <c r="C18" s="444"/>
      <c r="D18" s="445"/>
      <c r="E18" s="2597"/>
      <c r="F18" s="445"/>
      <c r="G18" s="2597"/>
      <c r="H18" s="445"/>
      <c r="I18" s="2596"/>
      <c r="J18" s="445"/>
      <c r="K18" s="669"/>
      <c r="L18" s="1134"/>
      <c r="M18" s="1125"/>
      <c r="N18" s="1125"/>
      <c r="O18" s="1133"/>
      <c r="P18" s="3270"/>
      <c r="Q18" s="1803"/>
      <c r="R18" s="770"/>
      <c r="S18" s="771"/>
      <c r="T18" s="770"/>
      <c r="U18" s="771"/>
      <c r="V18" s="770"/>
      <c r="W18" s="771"/>
      <c r="X18" s="1806"/>
      <c r="Y18" s="3270"/>
      <c r="Z18" s="1807"/>
      <c r="AA18" s="1804">
        <v>1</v>
      </c>
      <c r="AB18" s="1804">
        <v>1</v>
      </c>
      <c r="AC18" s="1804">
        <v>1</v>
      </c>
    </row>
    <row r="19" spans="1:29" ht="15">
      <c r="A19" s="425"/>
      <c r="B19" s="628" t="s">
        <v>2737</v>
      </c>
      <c r="C19" s="2599">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4"/>
      <c r="M19" s="1125"/>
      <c r="N19" s="1125"/>
      <c r="O19" s="1133"/>
      <c r="P19" s="3270"/>
      <c r="Q19" s="1803" t="str">
        <f t="shared" ref="Q19:Q33" si="8">B19</f>
        <v>区域土地利用方向</v>
      </c>
      <c r="R19" s="770" t="s">
        <v>17</v>
      </c>
      <c r="S19" s="771">
        <f>F19</f>
        <v>100</v>
      </c>
      <c r="T19" s="770" t="s">
        <v>17</v>
      </c>
      <c r="U19" s="771">
        <f>H19</f>
        <v>100</v>
      </c>
      <c r="V19" s="770" t="s">
        <v>17</v>
      </c>
      <c r="W19" s="771">
        <f>J19</f>
        <v>100</v>
      </c>
      <c r="X19" s="1806"/>
      <c r="Y19" s="3270"/>
      <c r="Z19" s="1807" t="str">
        <f>Q19</f>
        <v>区域土地利用方向</v>
      </c>
      <c r="AA19" s="1804">
        <f t="shared" si="3"/>
        <v>1</v>
      </c>
      <c r="AB19" s="1804">
        <f t="shared" si="4"/>
        <v>1</v>
      </c>
      <c r="AC19" s="1804">
        <f t="shared" si="5"/>
        <v>1</v>
      </c>
    </row>
    <row r="20" spans="1:29" ht="15">
      <c r="A20" s="401"/>
      <c r="B20" s="629"/>
      <c r="C20" s="444"/>
      <c r="D20" s="445"/>
      <c r="E20" s="2597"/>
      <c r="F20" s="445"/>
      <c r="G20" s="2597"/>
      <c r="H20" s="445"/>
      <c r="I20" s="2597"/>
      <c r="J20" s="445"/>
      <c r="K20" s="807"/>
      <c r="L20" s="1134"/>
      <c r="M20" s="1125"/>
      <c r="N20" s="1125"/>
      <c r="O20" s="1133"/>
      <c r="P20" s="3270"/>
      <c r="Q20" s="1803"/>
      <c r="R20" s="770"/>
      <c r="S20" s="771"/>
      <c r="T20" s="770"/>
      <c r="U20" s="771"/>
      <c r="V20" s="770"/>
      <c r="W20" s="771"/>
      <c r="X20" s="1806"/>
      <c r="Y20" s="3270"/>
      <c r="Z20" s="1807"/>
      <c r="AA20" s="1804"/>
      <c r="AB20" s="1804"/>
      <c r="AC20" s="1804"/>
    </row>
    <row r="21" spans="1:29" ht="71.25">
      <c r="A21" s="401"/>
      <c r="B21" s="628" t="s">
        <v>2788</v>
      </c>
      <c r="C21" s="2599"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4"/>
      <c r="M21" s="1125"/>
      <c r="N21" s="1125"/>
      <c r="O21" s="1133"/>
      <c r="P21" s="3270"/>
      <c r="Q21" s="1803" t="str">
        <f t="shared" si="8"/>
        <v>环境状况</v>
      </c>
      <c r="R21" s="770" t="s">
        <v>17</v>
      </c>
      <c r="S21" s="771">
        <f>F21</f>
        <v>100</v>
      </c>
      <c r="T21" s="770" t="s">
        <v>17</v>
      </c>
      <c r="U21" s="771">
        <f>H21</f>
        <v>100</v>
      </c>
      <c r="V21" s="770" t="s">
        <v>17</v>
      </c>
      <c r="W21" s="771">
        <f>J21</f>
        <v>100</v>
      </c>
      <c r="X21" s="1806"/>
      <c r="Y21" s="3270"/>
      <c r="Z21" s="1807" t="str">
        <f>Q21</f>
        <v>环境状况</v>
      </c>
      <c r="AA21" s="1804">
        <f t="shared" si="3"/>
        <v>1</v>
      </c>
      <c r="AB21" s="1804">
        <f t="shared" si="4"/>
        <v>1</v>
      </c>
      <c r="AC21" s="1804">
        <f t="shared" si="5"/>
        <v>1</v>
      </c>
    </row>
    <row r="22" spans="1:29" ht="15">
      <c r="A22" s="401"/>
      <c r="B22" s="629"/>
      <c r="C22" s="444"/>
      <c r="D22" s="445"/>
      <c r="E22" s="2603"/>
      <c r="F22" s="445"/>
      <c r="G22" s="2603"/>
      <c r="H22" s="445"/>
      <c r="I22" s="444"/>
      <c r="J22" s="445"/>
      <c r="K22" s="669"/>
      <c r="L22" s="1134"/>
      <c r="M22" s="1125"/>
      <c r="N22" s="1125"/>
      <c r="O22" s="1133"/>
      <c r="P22" s="3270"/>
      <c r="Q22" s="1803"/>
      <c r="R22" s="770"/>
      <c r="S22" s="771"/>
      <c r="T22" s="770"/>
      <c r="U22" s="771"/>
      <c r="V22" s="770"/>
      <c r="W22" s="771"/>
      <c r="X22" s="1806"/>
      <c r="Y22" s="3270"/>
      <c r="Z22" s="1807"/>
      <c r="AA22" s="1804">
        <v>1</v>
      </c>
      <c r="AB22" s="1804">
        <v>1</v>
      </c>
      <c r="AC22" s="1804">
        <v>1</v>
      </c>
    </row>
    <row r="23" spans="1:29" s="116" customFormat="1" ht="42.75">
      <c r="A23" s="646"/>
      <c r="B23" s="630" t="s">
        <v>2643</v>
      </c>
      <c r="C23" s="2599"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6"/>
      <c r="M23" s="1127"/>
      <c r="N23" s="1127"/>
      <c r="O23" s="1128"/>
      <c r="P23" s="3270"/>
      <c r="Q23" s="1788" t="str">
        <f t="shared" si="8"/>
        <v>公共配套设施</v>
      </c>
      <c r="R23" s="766" t="s">
        <v>17</v>
      </c>
      <c r="S23" s="767">
        <f>F23</f>
        <v>100</v>
      </c>
      <c r="T23" s="766" t="s">
        <v>17</v>
      </c>
      <c r="U23" s="767">
        <f>H23</f>
        <v>100</v>
      </c>
      <c r="V23" s="766" t="s">
        <v>17</v>
      </c>
      <c r="W23" s="767">
        <f>J23</f>
        <v>100</v>
      </c>
      <c r="X23" s="768"/>
      <c r="Y23" s="3270"/>
      <c r="Z23" s="55" t="str">
        <f>Q23</f>
        <v>公共配套设施</v>
      </c>
      <c r="AA23" s="1804">
        <f>D23/F23</f>
        <v>1</v>
      </c>
      <c r="AB23" s="1804">
        <f>D23/H23</f>
        <v>1</v>
      </c>
      <c r="AC23" s="1804">
        <f>D23/J23</f>
        <v>1</v>
      </c>
    </row>
    <row r="24" spans="1:29" s="116" customFormat="1" ht="15">
      <c r="A24" s="646"/>
      <c r="B24" s="629"/>
      <c r="C24" s="2690"/>
      <c r="D24" s="445"/>
      <c r="E24" s="2603"/>
      <c r="F24" s="445"/>
      <c r="G24" s="2603"/>
      <c r="H24" s="445"/>
      <c r="I24" s="444"/>
      <c r="J24" s="445"/>
      <c r="K24" s="669"/>
      <c r="L24" s="1126"/>
      <c r="M24" s="1127"/>
      <c r="N24" s="1127"/>
      <c r="O24" s="1128"/>
      <c r="P24" s="3270"/>
      <c r="Q24" s="1788"/>
      <c r="R24" s="766"/>
      <c r="S24" s="767"/>
      <c r="T24" s="766"/>
      <c r="U24" s="767"/>
      <c r="V24" s="766"/>
      <c r="W24" s="767"/>
      <c r="X24" s="768"/>
      <c r="Y24" s="3270"/>
      <c r="Z24" s="55"/>
      <c r="AA24" s="769">
        <v>1</v>
      </c>
      <c r="AB24" s="769">
        <v>1</v>
      </c>
      <c r="AC24" s="769">
        <v>1</v>
      </c>
    </row>
    <row r="25" spans="1:29" s="116" customFormat="1" ht="28.5">
      <c r="A25" s="646"/>
      <c r="B25" s="630" t="s">
        <v>2644</v>
      </c>
      <c r="C25" s="2599"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6"/>
      <c r="M25" s="1127"/>
      <c r="N25" s="1127"/>
      <c r="O25" s="1128"/>
      <c r="P25" s="3270"/>
      <c r="Q25" s="1788" t="str">
        <f>B25</f>
        <v>基础设施水平</v>
      </c>
      <c r="R25" s="766" t="s">
        <v>17</v>
      </c>
      <c r="S25" s="767">
        <f>F25</f>
        <v>100</v>
      </c>
      <c r="T25" s="766" t="s">
        <v>17</v>
      </c>
      <c r="U25" s="767">
        <f>H25</f>
        <v>100</v>
      </c>
      <c r="V25" s="766" t="s">
        <v>17</v>
      </c>
      <c r="W25" s="767">
        <f>J25</f>
        <v>100</v>
      </c>
      <c r="X25" s="768"/>
      <c r="Y25" s="3270"/>
      <c r="Z25" s="55" t="str">
        <f>Q25</f>
        <v>基础设施水平</v>
      </c>
      <c r="AA25" s="1804">
        <f>D25/F25</f>
        <v>1</v>
      </c>
      <c r="AB25" s="1804">
        <f>D25/H25</f>
        <v>1</v>
      </c>
      <c r="AC25" s="1804">
        <f>D25/J25</f>
        <v>1</v>
      </c>
    </row>
    <row r="26" spans="1:29" s="116" customFormat="1" ht="15">
      <c r="A26" s="646"/>
      <c r="B26" s="629"/>
      <c r="C26" s="2690"/>
      <c r="D26" s="445"/>
      <c r="E26" s="2691"/>
      <c r="F26" s="445"/>
      <c r="G26" s="2691"/>
      <c r="H26" s="445"/>
      <c r="I26" s="2691"/>
      <c r="J26" s="445"/>
      <c r="K26" s="669"/>
      <c r="L26" s="1126"/>
      <c r="M26" s="1127"/>
      <c r="N26" s="1127"/>
      <c r="O26" s="1128"/>
      <c r="P26" s="3270"/>
      <c r="Q26" s="1788"/>
      <c r="R26" s="766"/>
      <c r="S26" s="767"/>
      <c r="T26" s="766"/>
      <c r="U26" s="767"/>
      <c r="V26" s="766"/>
      <c r="W26" s="767"/>
      <c r="X26" s="768"/>
      <c r="Y26" s="3270"/>
      <c r="Z26" s="55"/>
      <c r="AA26" s="769">
        <v>1</v>
      </c>
      <c r="AB26" s="769">
        <v>1</v>
      </c>
      <c r="AC26" s="769">
        <v>1</v>
      </c>
    </row>
    <row r="27" spans="1:29" ht="15">
      <c r="A27" s="425"/>
      <c r="B27" s="629" t="s">
        <v>2645</v>
      </c>
      <c r="C27" s="613"/>
      <c r="D27" s="432">
        <v>100</v>
      </c>
      <c r="E27" s="631"/>
      <c r="F27" s="432">
        <f>SUMIF(95:95,E27,96:96)-SUMIF(95:95,C27,96:96)+100</f>
        <v>100</v>
      </c>
      <c r="G27" s="631"/>
      <c r="H27" s="432">
        <f>SUMIF(95:95,G27,96:96)-SUMIF(95:95,C27,96:96)+100</f>
        <v>100</v>
      </c>
      <c r="I27" s="631"/>
      <c r="J27" s="432">
        <f>SUMIF(95:95,I27,96:96)-SUMIF(95:95,C27,96:96)+100</f>
        <v>100</v>
      </c>
      <c r="K27" s="670"/>
      <c r="L27" s="1134"/>
      <c r="M27" s="1125"/>
      <c r="N27" s="1125"/>
      <c r="O27" s="1133"/>
      <c r="P27" s="3270"/>
      <c r="Q27" s="1803" t="str">
        <f t="shared" si="8"/>
        <v>临街状况</v>
      </c>
      <c r="R27" s="770" t="s">
        <v>17</v>
      </c>
      <c r="S27" s="771">
        <f t="shared" ref="S27:S40" si="9">F27</f>
        <v>100</v>
      </c>
      <c r="T27" s="770" t="s">
        <v>17</v>
      </c>
      <c r="U27" s="771">
        <f t="shared" ref="U27:U40" si="10">H27</f>
        <v>100</v>
      </c>
      <c r="V27" s="770" t="s">
        <v>17</v>
      </c>
      <c r="W27" s="771">
        <f t="shared" ref="W27:W40" si="11">J27</f>
        <v>100</v>
      </c>
      <c r="X27" s="1806"/>
      <c r="Y27" s="3270"/>
      <c r="Z27" s="1807" t="str">
        <f t="shared" ref="Z27:Z40" si="12">Q27</f>
        <v>临街状况</v>
      </c>
      <c r="AA27" s="1804">
        <f t="shared" si="3"/>
        <v>1</v>
      </c>
      <c r="AB27" s="1804">
        <f t="shared" si="4"/>
        <v>1</v>
      </c>
      <c r="AC27" s="1804">
        <f t="shared" si="5"/>
        <v>1</v>
      </c>
    </row>
    <row r="28" spans="1:29" ht="27">
      <c r="A28" s="425"/>
      <c r="B28" s="630" t="s">
        <v>2680</v>
      </c>
      <c r="C28" s="2703">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4"/>
      <c r="M28" s="1125"/>
      <c r="N28" s="1125"/>
      <c r="O28" s="1133"/>
      <c r="P28" s="3270"/>
      <c r="Q28" s="1803" t="str">
        <f t="shared" si="8"/>
        <v>毗邻道路的类型与等级</v>
      </c>
      <c r="R28" s="770" t="s">
        <v>17</v>
      </c>
      <c r="S28" s="771">
        <f t="shared" si="9"/>
        <v>100</v>
      </c>
      <c r="T28" s="770" t="s">
        <v>17</v>
      </c>
      <c r="U28" s="771">
        <f t="shared" si="10"/>
        <v>100</v>
      </c>
      <c r="V28" s="770" t="s">
        <v>17</v>
      </c>
      <c r="W28" s="771">
        <f t="shared" si="11"/>
        <v>100</v>
      </c>
      <c r="X28" s="1806"/>
      <c r="Y28" s="3270"/>
      <c r="Z28" s="1807" t="str">
        <f t="shared" si="12"/>
        <v>毗邻道路的类型与等级</v>
      </c>
      <c r="AA28" s="1804">
        <f t="shared" si="3"/>
        <v>1</v>
      </c>
      <c r="AB28" s="1804">
        <f t="shared" si="4"/>
        <v>1</v>
      </c>
      <c r="AC28" s="1804">
        <f t="shared" si="5"/>
        <v>1</v>
      </c>
    </row>
    <row r="29" spans="1:29" ht="15">
      <c r="A29" s="425"/>
      <c r="B29" s="629"/>
      <c r="C29" s="444"/>
      <c r="D29" s="445"/>
      <c r="E29" s="2603"/>
      <c r="F29" s="445"/>
      <c r="G29" s="2603"/>
      <c r="H29" s="445"/>
      <c r="I29" s="2603"/>
      <c r="J29" s="445"/>
      <c r="K29" s="610"/>
      <c r="L29" s="1134"/>
      <c r="M29" s="1125"/>
      <c r="N29" s="1125"/>
      <c r="O29" s="1133"/>
      <c r="P29" s="3270"/>
      <c r="Q29" s="1803"/>
      <c r="R29" s="770"/>
      <c r="S29" s="771"/>
      <c r="T29" s="770"/>
      <c r="U29" s="771"/>
      <c r="V29" s="770"/>
      <c r="W29" s="771"/>
      <c r="X29" s="1806"/>
      <c r="Y29" s="3270"/>
      <c r="Z29" s="1807"/>
      <c r="AA29" s="1804">
        <v>1</v>
      </c>
      <c r="AB29" s="1804">
        <v>1</v>
      </c>
      <c r="AC29" s="1804">
        <v>1</v>
      </c>
    </row>
    <row r="30" spans="1:29" ht="15">
      <c r="A30" s="425"/>
      <c r="B30" s="651" t="s">
        <v>2739</v>
      </c>
      <c r="C30" s="1383">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4"/>
      <c r="M30" s="1125"/>
      <c r="N30" s="1125"/>
      <c r="O30" s="1133"/>
      <c r="P30" s="3270"/>
      <c r="Q30" s="1803" t="str">
        <f t="shared" si="8"/>
        <v>土地级别</v>
      </c>
      <c r="R30" s="770" t="s">
        <v>17</v>
      </c>
      <c r="S30" s="771">
        <f t="shared" si="9"/>
        <v>100</v>
      </c>
      <c r="T30" s="770" t="s">
        <v>17</v>
      </c>
      <c r="U30" s="771">
        <f t="shared" si="10"/>
        <v>100</v>
      </c>
      <c r="V30" s="770" t="s">
        <v>17</v>
      </c>
      <c r="W30" s="771">
        <f t="shared" si="11"/>
        <v>100</v>
      </c>
      <c r="X30" s="1806"/>
      <c r="Y30" s="3270"/>
      <c r="Z30" s="1807" t="str">
        <f t="shared" si="12"/>
        <v>土地级别</v>
      </c>
      <c r="AA30" s="1804">
        <f t="shared" si="3"/>
        <v>1</v>
      </c>
      <c r="AB30" s="1804">
        <f t="shared" si="4"/>
        <v>1</v>
      </c>
      <c r="AC30" s="1804">
        <f t="shared" si="5"/>
        <v>1</v>
      </c>
    </row>
    <row r="31" spans="1:29" ht="15">
      <c r="A31" s="401"/>
      <c r="B31" s="2668">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70"/>
      <c r="Q31" s="1803">
        <f t="shared" si="8"/>
        <v>111</v>
      </c>
      <c r="R31" s="770" t="s">
        <v>17</v>
      </c>
      <c r="S31" s="771">
        <f t="shared" si="9"/>
        <v>100</v>
      </c>
      <c r="T31" s="770" t="s">
        <v>17</v>
      </c>
      <c r="U31" s="771">
        <f t="shared" si="10"/>
        <v>100</v>
      </c>
      <c r="V31" s="770" t="s">
        <v>17</v>
      </c>
      <c r="W31" s="771">
        <f t="shared" si="11"/>
        <v>100</v>
      </c>
      <c r="X31" s="1806"/>
      <c r="Y31" s="3270"/>
      <c r="Z31" s="1807">
        <f t="shared" si="12"/>
        <v>111</v>
      </c>
      <c r="AA31" s="1804">
        <f t="shared" si="3"/>
        <v>1</v>
      </c>
      <c r="AB31" s="1804">
        <f t="shared" si="4"/>
        <v>1</v>
      </c>
      <c r="AC31" s="1804">
        <f t="shared" si="5"/>
        <v>1</v>
      </c>
    </row>
    <row r="32" spans="1:29" ht="15">
      <c r="A32" s="672"/>
      <c r="B32" s="2704">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4"/>
      <c r="M32" s="1125"/>
      <c r="N32" s="1125"/>
      <c r="O32" s="1133"/>
      <c r="P32" s="3271" t="s">
        <v>2554</v>
      </c>
      <c r="Q32" s="1803">
        <f t="shared" si="8"/>
        <v>111</v>
      </c>
      <c r="R32" s="770" t="s">
        <v>17</v>
      </c>
      <c r="S32" s="771">
        <f t="shared" si="9"/>
        <v>100</v>
      </c>
      <c r="T32" s="770" t="s">
        <v>17</v>
      </c>
      <c r="U32" s="771">
        <f t="shared" si="10"/>
        <v>100</v>
      </c>
      <c r="V32" s="770" t="s">
        <v>17</v>
      </c>
      <c r="W32" s="771">
        <f t="shared" si="11"/>
        <v>100</v>
      </c>
      <c r="X32" s="1806"/>
      <c r="Y32" s="3272" t="s">
        <v>2554</v>
      </c>
      <c r="Z32" s="1807">
        <f t="shared" si="12"/>
        <v>111</v>
      </c>
      <c r="AA32" s="1804">
        <f t="shared" si="3"/>
        <v>1</v>
      </c>
      <c r="AB32" s="1804">
        <f t="shared" si="4"/>
        <v>1</v>
      </c>
      <c r="AC32" s="1804">
        <f t="shared" si="5"/>
        <v>1</v>
      </c>
    </row>
    <row r="33" spans="1:29" s="468" customFormat="1" ht="15.75" thickBot="1">
      <c r="A33" s="673"/>
      <c r="B33" s="2705">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2"/>
      <c r="M33" s="1135"/>
      <c r="N33" s="1135"/>
      <c r="O33" s="1136"/>
      <c r="P33" s="3272"/>
      <c r="Q33" s="1803">
        <f t="shared" si="8"/>
        <v>111</v>
      </c>
      <c r="R33" s="773" t="s">
        <v>17</v>
      </c>
      <c r="S33" s="774">
        <f t="shared" si="9"/>
        <v>100</v>
      </c>
      <c r="T33" s="773" t="s">
        <v>17</v>
      </c>
      <c r="U33" s="774">
        <f t="shared" si="10"/>
        <v>100</v>
      </c>
      <c r="V33" s="773" t="s">
        <v>17</v>
      </c>
      <c r="W33" s="774">
        <f t="shared" si="11"/>
        <v>100</v>
      </c>
      <c r="X33" s="775"/>
      <c r="Y33" s="3272"/>
      <c r="Z33" s="776">
        <f t="shared" si="12"/>
        <v>111</v>
      </c>
      <c r="AA33" s="1804">
        <f t="shared" si="3"/>
        <v>1</v>
      </c>
      <c r="AB33" s="1804">
        <f t="shared" si="4"/>
        <v>1</v>
      </c>
      <c r="AC33" s="1804">
        <f t="shared" si="5"/>
        <v>1</v>
      </c>
    </row>
    <row r="34" spans="1:29" ht="15">
      <c r="A34" s="437" t="s">
        <v>2552</v>
      </c>
      <c r="B34" s="453" t="s">
        <v>2740</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4"/>
      <c r="M34" s="1125"/>
      <c r="N34" s="1125"/>
      <c r="O34" s="1133"/>
      <c r="P34" s="3272"/>
      <c r="Q34" s="1803" t="str">
        <f>B34</f>
        <v>宗地面积</v>
      </c>
      <c r="R34" s="770" t="s">
        <v>17</v>
      </c>
      <c r="S34" s="771" t="e">
        <f t="shared" si="9"/>
        <v>#N/A</v>
      </c>
      <c r="T34" s="770" t="s">
        <v>17</v>
      </c>
      <c r="U34" s="771" t="e">
        <f t="shared" si="10"/>
        <v>#N/A</v>
      </c>
      <c r="V34" s="770" t="s">
        <v>17</v>
      </c>
      <c r="W34" s="771" t="e">
        <f t="shared" si="11"/>
        <v>#N/A</v>
      </c>
      <c r="X34" s="1806"/>
      <c r="Y34" s="3272"/>
      <c r="Z34" s="1807" t="str">
        <f t="shared" si="12"/>
        <v>宗地面积</v>
      </c>
      <c r="AA34" s="1804" t="e">
        <f t="shared" si="3"/>
        <v>#N/A</v>
      </c>
      <c r="AB34" s="1804" t="e">
        <f t="shared" si="4"/>
        <v>#N/A</v>
      </c>
      <c r="AC34" s="1804" t="e">
        <f t="shared" si="5"/>
        <v>#N/A</v>
      </c>
    </row>
    <row r="35" spans="1:29" ht="15">
      <c r="A35" s="469"/>
      <c r="B35" s="419" t="s">
        <v>2741</v>
      </c>
      <c r="C35" s="2605"/>
      <c r="D35" s="432">
        <v>100</v>
      </c>
      <c r="E35" s="2605"/>
      <c r="F35" s="432">
        <f>SUMIF(110:110,E35,111:111)-SUMIF(110:110,C35,111:111)+100</f>
        <v>100</v>
      </c>
      <c r="G35" s="2605"/>
      <c r="H35" s="432">
        <f>SUMIF(110:110,G35,111:111)-SUMIF(110:110,C35,111:111)+100</f>
        <v>100</v>
      </c>
      <c r="I35" s="2605"/>
      <c r="J35" s="432">
        <f>SUMIF(110:110,I35,111:111)-SUMIF(110:110,C35,111:111)+100</f>
        <v>100</v>
      </c>
      <c r="K35" s="609"/>
      <c r="L35" s="1134"/>
      <c r="M35" s="1125"/>
      <c r="N35" s="1125"/>
      <c r="O35" s="1133"/>
      <c r="P35" s="3272"/>
      <c r="Q35" s="1803" t="str">
        <f t="shared" ref="Q35:Q40" si="13">B35</f>
        <v>宗地形状</v>
      </c>
      <c r="R35" s="770" t="s">
        <v>17</v>
      </c>
      <c r="S35" s="771">
        <f t="shared" si="9"/>
        <v>100</v>
      </c>
      <c r="T35" s="770" t="s">
        <v>17</v>
      </c>
      <c r="U35" s="771">
        <f t="shared" si="10"/>
        <v>100</v>
      </c>
      <c r="V35" s="770" t="s">
        <v>17</v>
      </c>
      <c r="W35" s="771">
        <f t="shared" si="11"/>
        <v>100</v>
      </c>
      <c r="X35" s="1806"/>
      <c r="Y35" s="3272"/>
      <c r="Z35" s="1807" t="str">
        <f t="shared" si="12"/>
        <v>宗地形状</v>
      </c>
      <c r="AA35" s="1804">
        <f t="shared" si="3"/>
        <v>1</v>
      </c>
      <c r="AB35" s="1804">
        <f t="shared" si="4"/>
        <v>1</v>
      </c>
      <c r="AC35" s="1804">
        <f t="shared" si="5"/>
        <v>1</v>
      </c>
    </row>
    <row r="36" spans="1:29" s="116" customFormat="1" ht="15">
      <c r="A36" s="470"/>
      <c r="B36" s="419" t="s">
        <v>2743</v>
      </c>
      <c r="C36" s="2692"/>
      <c r="D36" s="133">
        <v>100</v>
      </c>
      <c r="E36" s="2692"/>
      <c r="F36" s="432">
        <f>SUMIF(112:112,E36,113:113)-SUMIF(112:112,C36,113:113)+100</f>
        <v>100</v>
      </c>
      <c r="G36" s="2692"/>
      <c r="H36" s="432">
        <f>SUMIF(112:112,G36,113:113)-SUMIF(112:112,C36,113:113)+100</f>
        <v>100</v>
      </c>
      <c r="I36" s="2692"/>
      <c r="J36" s="432">
        <f>SUMIF(112:112,I36,113:113)-SUMIF(112:112,C36,113:113)+100</f>
        <v>100</v>
      </c>
      <c r="K36" s="609"/>
      <c r="L36" s="1126"/>
      <c r="M36" s="1127"/>
      <c r="N36" s="1127"/>
      <c r="O36" s="1128"/>
      <c r="P36" s="3272"/>
      <c r="Q36" s="1803" t="str">
        <f t="shared" si="13"/>
        <v>宗地开发程度</v>
      </c>
      <c r="R36" s="766" t="s">
        <v>17</v>
      </c>
      <c r="S36" s="767">
        <f t="shared" si="9"/>
        <v>100</v>
      </c>
      <c r="T36" s="766" t="s">
        <v>17</v>
      </c>
      <c r="U36" s="767">
        <f t="shared" si="10"/>
        <v>100</v>
      </c>
      <c r="V36" s="766" t="s">
        <v>17</v>
      </c>
      <c r="W36" s="767">
        <f t="shared" si="11"/>
        <v>100</v>
      </c>
      <c r="X36" s="768"/>
      <c r="Y36" s="3272"/>
      <c r="Z36" s="55" t="str">
        <f t="shared" si="12"/>
        <v>宗地开发程度</v>
      </c>
      <c r="AA36" s="769">
        <f t="shared" si="3"/>
        <v>1</v>
      </c>
      <c r="AB36" s="769">
        <f t="shared" si="4"/>
        <v>1</v>
      </c>
      <c r="AC36" s="769">
        <f t="shared" si="5"/>
        <v>1</v>
      </c>
    </row>
    <row r="37" spans="1:29" ht="15">
      <c r="A37" s="469"/>
      <c r="B37" s="419" t="s">
        <v>2744</v>
      </c>
      <c r="C37" s="2605"/>
      <c r="D37" s="432">
        <v>100</v>
      </c>
      <c r="E37" s="2605"/>
      <c r="F37" s="432">
        <f>SUMIF(114:114,E37,115:115)-SUMIF(114:114,C37,115:115)+100</f>
        <v>100</v>
      </c>
      <c r="G37" s="2605"/>
      <c r="H37" s="432">
        <f>SUMIF(114:114,G37,115:115)-SUMIF(114:114,C37,115:115)+100</f>
        <v>100</v>
      </c>
      <c r="I37" s="2605"/>
      <c r="J37" s="432">
        <f>SUMIF(114:114,I37,115:115)-SUMIF(114:114,C37,115:115)+100</f>
        <v>100</v>
      </c>
      <c r="K37" s="609"/>
      <c r="L37" s="1134"/>
      <c r="M37" s="1125"/>
      <c r="N37" s="1125"/>
      <c r="O37" s="1133"/>
      <c r="P37" s="3272" t="s">
        <v>2554</v>
      </c>
      <c r="Q37" s="1803" t="str">
        <f t="shared" si="13"/>
        <v>工程地质条件</v>
      </c>
      <c r="R37" s="770" t="s">
        <v>17</v>
      </c>
      <c r="S37" s="771">
        <f t="shared" si="9"/>
        <v>100</v>
      </c>
      <c r="T37" s="770" t="s">
        <v>17</v>
      </c>
      <c r="U37" s="771">
        <f t="shared" si="10"/>
        <v>100</v>
      </c>
      <c r="V37" s="770" t="s">
        <v>17</v>
      </c>
      <c r="W37" s="771">
        <f t="shared" si="11"/>
        <v>100</v>
      </c>
      <c r="X37" s="1806"/>
      <c r="Y37" s="3272" t="s">
        <v>2554</v>
      </c>
      <c r="Z37" s="1807" t="str">
        <f t="shared" si="12"/>
        <v>工程地质条件</v>
      </c>
      <c r="AA37" s="1804">
        <f t="shared" si="3"/>
        <v>1</v>
      </c>
      <c r="AB37" s="1804">
        <f t="shared" si="4"/>
        <v>1</v>
      </c>
      <c r="AC37" s="1804">
        <f t="shared" si="5"/>
        <v>1</v>
      </c>
    </row>
    <row r="38" spans="1:29" ht="15">
      <c r="A38" s="469"/>
      <c r="B38" s="1381">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4"/>
      <c r="M38" s="1125"/>
      <c r="N38" s="1125"/>
      <c r="O38" s="1133"/>
      <c r="P38" s="3272"/>
      <c r="Q38" s="1803">
        <f t="shared" si="13"/>
        <v>111</v>
      </c>
      <c r="R38" s="770" t="s">
        <v>17</v>
      </c>
      <c r="S38" s="771">
        <f t="shared" si="9"/>
        <v>100</v>
      </c>
      <c r="T38" s="770" t="s">
        <v>17</v>
      </c>
      <c r="U38" s="771">
        <f t="shared" si="10"/>
        <v>100</v>
      </c>
      <c r="V38" s="770" t="s">
        <v>17</v>
      </c>
      <c r="W38" s="771">
        <f t="shared" si="11"/>
        <v>100</v>
      </c>
      <c r="X38" s="1806"/>
      <c r="Y38" s="3272"/>
      <c r="Z38" s="1807">
        <f t="shared" si="12"/>
        <v>111</v>
      </c>
      <c r="AA38" s="1804">
        <f t="shared" si="3"/>
        <v>1</v>
      </c>
      <c r="AB38" s="1804">
        <f t="shared" si="4"/>
        <v>1</v>
      </c>
      <c r="AC38" s="1804">
        <f t="shared" si="5"/>
        <v>1</v>
      </c>
    </row>
    <row r="39" spans="1:29" ht="15">
      <c r="A39" s="469"/>
      <c r="B39" s="1381">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4"/>
      <c r="M39" s="1125"/>
      <c r="N39" s="1125"/>
      <c r="O39" s="1133"/>
      <c r="P39" s="3272"/>
      <c r="Q39" s="1803">
        <f t="shared" si="13"/>
        <v>111</v>
      </c>
      <c r="R39" s="770" t="s">
        <v>17</v>
      </c>
      <c r="S39" s="771">
        <f t="shared" si="9"/>
        <v>100</v>
      </c>
      <c r="T39" s="770" t="s">
        <v>17</v>
      </c>
      <c r="U39" s="771">
        <f t="shared" si="10"/>
        <v>100</v>
      </c>
      <c r="V39" s="770" t="s">
        <v>17</v>
      </c>
      <c r="W39" s="771">
        <f t="shared" si="11"/>
        <v>100</v>
      </c>
      <c r="X39" s="1806"/>
      <c r="Y39" s="3272"/>
      <c r="Z39" s="1807">
        <f t="shared" si="12"/>
        <v>111</v>
      </c>
      <c r="AA39" s="1804">
        <f t="shared" si="3"/>
        <v>1</v>
      </c>
      <c r="AB39" s="1804">
        <f t="shared" si="4"/>
        <v>1</v>
      </c>
      <c r="AC39" s="1804">
        <f t="shared" si="5"/>
        <v>1</v>
      </c>
    </row>
    <row r="40" spans="1:29" s="468" customFormat="1" ht="15.75" thickBot="1">
      <c r="A40" s="465"/>
      <c r="B40" s="1381">
        <v>111</v>
      </c>
      <c r="C40" s="2693"/>
      <c r="D40" s="134">
        <v>100</v>
      </c>
      <c r="E40" s="671"/>
      <c r="F40" s="435">
        <f>SUMIF(120:120,E40,121:121)-SUMIF(120:120,C40,121:121)+100</f>
        <v>100</v>
      </c>
      <c r="G40" s="671"/>
      <c r="H40" s="435">
        <f>SUMIF(120:120,G40,121:121)-SUMIF(120:120,C40,121:121)+100</f>
        <v>100</v>
      </c>
      <c r="I40" s="546"/>
      <c r="J40" s="435">
        <f>SUMIF(120:120,I40,121:121)-SUMIF(120:120,C40,121:121)+100</f>
        <v>100</v>
      </c>
      <c r="K40" s="678"/>
      <c r="L40" s="1132"/>
      <c r="M40" s="1135"/>
      <c r="N40" s="1135"/>
      <c r="O40" s="1136"/>
      <c r="P40" s="3272"/>
      <c r="Q40" s="1803">
        <f t="shared" si="13"/>
        <v>111</v>
      </c>
      <c r="R40" s="773" t="s">
        <v>17</v>
      </c>
      <c r="S40" s="774">
        <f t="shared" si="9"/>
        <v>100</v>
      </c>
      <c r="T40" s="773" t="s">
        <v>17</v>
      </c>
      <c r="U40" s="774">
        <f t="shared" si="10"/>
        <v>100</v>
      </c>
      <c r="V40" s="773" t="s">
        <v>17</v>
      </c>
      <c r="W40" s="774">
        <f t="shared" si="11"/>
        <v>100</v>
      </c>
      <c r="X40" s="775"/>
      <c r="Y40" s="3272"/>
      <c r="Z40" s="776">
        <f t="shared" si="12"/>
        <v>111</v>
      </c>
      <c r="AA40" s="1804">
        <f t="shared" si="3"/>
        <v>1</v>
      </c>
      <c r="AB40" s="1804">
        <f t="shared" si="4"/>
        <v>1</v>
      </c>
      <c r="AC40" s="1804">
        <f t="shared" si="5"/>
        <v>1</v>
      </c>
    </row>
    <row r="41" spans="1:29" ht="15">
      <c r="A41" s="476" t="s">
        <v>2709</v>
      </c>
      <c r="B41" s="2694" t="s">
        <v>2789</v>
      </c>
      <c r="C41" s="679" t="s">
        <v>1</v>
      </c>
      <c r="D41" s="478"/>
      <c r="E41" s="479"/>
      <c r="F41" s="480"/>
      <c r="G41" s="481"/>
      <c r="H41" s="482"/>
      <c r="I41" s="479"/>
      <c r="J41" s="482"/>
      <c r="K41" s="779"/>
      <c r="L41" s="1137"/>
      <c r="M41" s="1125"/>
      <c r="N41" s="1125"/>
      <c r="O41" s="1138"/>
      <c r="P41" s="3267" t="str">
        <f>A41</f>
        <v>成交单价</v>
      </c>
      <c r="Q41" s="3267"/>
      <c r="R41" s="3273">
        <f>E41</f>
        <v>0</v>
      </c>
      <c r="S41" s="3273"/>
      <c r="T41" s="3273">
        <f>G41</f>
        <v>0</v>
      </c>
      <c r="U41" s="3273"/>
      <c r="V41" s="3273">
        <f>I41</f>
        <v>0</v>
      </c>
      <c r="W41" s="3273"/>
      <c r="X41" s="755"/>
      <c r="Y41" s="777"/>
      <c r="Z41" s="755"/>
      <c r="AA41" s="755"/>
      <c r="AB41" s="755"/>
      <c r="AC41" s="755"/>
    </row>
    <row r="42" spans="1:29" ht="15.75" thickBot="1">
      <c r="A42" s="483" t="s">
        <v>2658</v>
      </c>
      <c r="B42" s="680"/>
      <c r="C42" s="487" t="e">
        <f>R43</f>
        <v>#DIV/0!</v>
      </c>
      <c r="D42" s="486"/>
      <c r="E42" s="487" t="e">
        <f>R42</f>
        <v>#DIV/0!</v>
      </c>
      <c r="F42" s="488"/>
      <c r="G42" s="485" t="e">
        <f>T42</f>
        <v>#DIV/0!</v>
      </c>
      <c r="H42" s="486"/>
      <c r="I42" s="487" t="e">
        <f>V42</f>
        <v>#DIV/0!</v>
      </c>
      <c r="J42" s="486"/>
      <c r="K42" s="780"/>
      <c r="L42" s="1137"/>
      <c r="M42" s="1125"/>
      <c r="N42" s="1125"/>
      <c r="O42" s="1138"/>
      <c r="P42" s="3267" t="str">
        <f>A42</f>
        <v>比较价值（元/平方米）</v>
      </c>
      <c r="Q42" s="3267"/>
      <c r="R42" s="3260" t="e">
        <f>ROUND(PRODUCT(R41,AA7:AA40),0)</f>
        <v>#DIV/0!</v>
      </c>
      <c r="S42" s="3260"/>
      <c r="T42" s="3260" t="e">
        <f>ROUND(PRODUCT(T41,AB7:AB40),0)</f>
        <v>#DIV/0!</v>
      </c>
      <c r="U42" s="3260"/>
      <c r="V42" s="3260" t="e">
        <f>ROUND(PRODUCT(V41,AC7:AC40),0)</f>
        <v>#DIV/0!</v>
      </c>
      <c r="W42" s="3260"/>
      <c r="X42" s="755"/>
      <c r="Y42" s="755"/>
      <c r="Z42" s="755"/>
      <c r="AA42" s="755"/>
      <c r="AB42" s="755"/>
      <c r="AC42" s="755"/>
    </row>
    <row r="43" spans="1:29" ht="15.75" thickBot="1">
      <c r="A43" s="489" t="s">
        <v>2659</v>
      </c>
      <c r="B43" s="490"/>
      <c r="C43" s="491" t="e">
        <f>R43</f>
        <v>#DIV/0!</v>
      </c>
      <c r="D43" s="491"/>
      <c r="E43" s="491"/>
      <c r="F43" s="491"/>
      <c r="G43" s="491"/>
      <c r="H43" s="491"/>
      <c r="I43" s="491"/>
      <c r="J43" s="491"/>
      <c r="K43" s="781"/>
      <c r="L43" s="1137"/>
      <c r="M43" s="1125"/>
      <c r="N43" s="1125"/>
      <c r="O43" s="1138"/>
      <c r="P43" s="3261" t="str">
        <f>A43</f>
        <v>估价对象XX用房的比较价值（楼面单价，元/平方米）</v>
      </c>
      <c r="Q43" s="3262"/>
      <c r="R43" s="3263" t="e">
        <f>ROUND(AVERAGE(R42:V42),0)</f>
        <v>#DIV/0!</v>
      </c>
      <c r="S43" s="3263"/>
      <c r="T43" s="3263"/>
      <c r="U43" s="3263"/>
      <c r="V43" s="3263"/>
      <c r="W43" s="3263"/>
      <c r="X43" s="755"/>
      <c r="Y43" s="755"/>
      <c r="Z43" s="755"/>
      <c r="AA43" s="755"/>
      <c r="AB43" s="755"/>
      <c r="AC43" s="755"/>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2660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2661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2662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8"/>
      <c r="D49" s="756"/>
      <c r="E49" s="756"/>
      <c r="F49" s="756"/>
      <c r="G49" s="756"/>
      <c r="H49" s="756"/>
      <c r="I49" s="756"/>
      <c r="J49" s="756"/>
      <c r="K49" s="1142"/>
      <c r="L49" s="1143"/>
      <c r="M49" s="1139"/>
      <c r="N49" s="1139"/>
      <c r="O49" s="1139"/>
    </row>
    <row r="50" spans="1:17" ht="27">
      <c r="A50" s="681" t="s">
        <v>2747</v>
      </c>
      <c r="B50" s="682" t="s">
        <v>2748</v>
      </c>
      <c r="C50" s="2695" t="s">
        <v>2749</v>
      </c>
      <c r="D50" s="2696" t="s">
        <v>2750</v>
      </c>
      <c r="E50" s="683" t="s">
        <v>2751</v>
      </c>
      <c r="F50" s="684" t="s">
        <v>2752</v>
      </c>
      <c r="G50" s="3264" t="s">
        <v>2753</v>
      </c>
      <c r="H50" s="3265"/>
      <c r="I50" s="1807" t="s">
        <v>2790</v>
      </c>
      <c r="J50" s="1807" t="str">
        <f>项目基本情况!F35</f>
        <v>浙江省杭州市萧山区</v>
      </c>
      <c r="K50" s="2698" t="s">
        <v>2755</v>
      </c>
      <c r="L50" s="1100"/>
      <c r="M50" s="1138"/>
      <c r="N50" s="1138"/>
      <c r="O50" s="1138"/>
    </row>
    <row r="51" spans="1:17" s="689" customFormat="1">
      <c r="A51" s="685" t="s">
        <v>2756</v>
      </c>
      <c r="B51" s="686" t="e">
        <f>C43</f>
        <v>#DIV/0!</v>
      </c>
      <c r="C51" s="687">
        <v>1</v>
      </c>
      <c r="D51" s="1157">
        <v>1</v>
      </c>
      <c r="E51" s="687">
        <f>'数据-汇总表'!E8+'数据-汇总表'!E9</f>
        <v>611930.4</v>
      </c>
      <c r="F51" s="688" t="e">
        <f t="shared" ref="F51:F60" si="14">ROUND(B51*E51/10000,0)</f>
        <v>#DIV/0!</v>
      </c>
      <c r="G51" s="3266"/>
      <c r="H51" s="3267"/>
      <c r="I51" s="937">
        <v>1</v>
      </c>
      <c r="J51" s="937">
        <v>1</v>
      </c>
      <c r="K51" s="1139"/>
      <c r="L51" s="936"/>
      <c r="M51" s="936"/>
      <c r="N51" s="936"/>
      <c r="O51" s="936"/>
    </row>
    <row r="52" spans="1:17" s="689" customFormat="1">
      <c r="A52" s="690" t="s">
        <v>2757</v>
      </c>
      <c r="B52" s="259" t="e">
        <f>ROUND($C$43*C52*D52,0)</f>
        <v>#DIV/0!</v>
      </c>
      <c r="C52" s="197">
        <f t="shared" ref="C52:C60" si="15">IF($C$50="北京市系数",I52,J52)</f>
        <v>0</v>
      </c>
      <c r="D52" s="1158">
        <v>0.25</v>
      </c>
      <c r="E52" s="691"/>
      <c r="F52" s="688" t="e">
        <f t="shared" si="14"/>
        <v>#DIV/0!</v>
      </c>
      <c r="G52" s="3268" t="s">
        <v>2758</v>
      </c>
      <c r="H52" s="1098">
        <f>项目基本情况!B37</f>
        <v>0</v>
      </c>
      <c r="I52" s="937">
        <f>SUMIF(修正!A45:A56,H52,修正!B45:B56)</f>
        <v>0</v>
      </c>
      <c r="J52" s="938"/>
      <c r="K52" s="1138"/>
      <c r="L52" s="936"/>
      <c r="M52" s="936"/>
      <c r="N52" s="936"/>
      <c r="O52" s="936"/>
    </row>
    <row r="53" spans="1:17" s="689" customFormat="1">
      <c r="A53" s="690" t="s">
        <v>2759</v>
      </c>
      <c r="B53" s="259" t="e">
        <f t="shared" ref="B53:B60" si="16">ROUND($C$43*C53*D53,0)</f>
        <v>#DIV/0!</v>
      </c>
      <c r="C53" s="197">
        <f t="shared" si="15"/>
        <v>0</v>
      </c>
      <c r="D53" s="1158">
        <v>0.25</v>
      </c>
      <c r="E53" s="691"/>
      <c r="F53" s="688" t="e">
        <f t="shared" si="14"/>
        <v>#DIV/0!</v>
      </c>
      <c r="G53" s="3268"/>
      <c r="H53" s="1098">
        <f>项目基本情况!B37</f>
        <v>0</v>
      </c>
      <c r="I53" s="937">
        <f>SUMIF(修正!A45:A56,H53,修正!C45:C56)</f>
        <v>0</v>
      </c>
      <c r="J53" s="938"/>
      <c r="K53" s="1139"/>
      <c r="L53" s="936"/>
      <c r="M53" s="936"/>
      <c r="N53" s="936"/>
      <c r="O53" s="936"/>
    </row>
    <row r="54" spans="1:17" s="689" customFormat="1">
      <c r="A54" s="690" t="s">
        <v>2760</v>
      </c>
      <c r="B54" s="259" t="e">
        <f t="shared" si="16"/>
        <v>#DIV/0!</v>
      </c>
      <c r="C54" s="197">
        <f t="shared" si="15"/>
        <v>0</v>
      </c>
      <c r="D54" s="1158">
        <v>0.25</v>
      </c>
      <c r="E54" s="691"/>
      <c r="F54" s="688" t="e">
        <f t="shared" si="14"/>
        <v>#DIV/0!</v>
      </c>
      <c r="G54" s="3268"/>
      <c r="H54" s="1098">
        <f>项目基本情况!B37</f>
        <v>0</v>
      </c>
      <c r="I54" s="937">
        <f>SUMIF(修正!A45:A56,H54,修正!D45:D56)</f>
        <v>0</v>
      </c>
      <c r="J54" s="938"/>
      <c r="K54" s="1138"/>
      <c r="L54" s="936"/>
      <c r="M54" s="936"/>
      <c r="N54" s="936"/>
      <c r="O54" s="936"/>
    </row>
    <row r="55" spans="1:17" s="689" customFormat="1">
      <c r="A55" s="690" t="s">
        <v>2761</v>
      </c>
      <c r="B55" s="259" t="e">
        <f t="shared" si="16"/>
        <v>#DIV/0!</v>
      </c>
      <c r="C55" s="197">
        <f t="shared" si="15"/>
        <v>0</v>
      </c>
      <c r="D55" s="1158">
        <v>0.25</v>
      </c>
      <c r="E55" s="691"/>
      <c r="F55" s="688" t="e">
        <f t="shared" si="14"/>
        <v>#DIV/0!</v>
      </c>
      <c r="G55" s="3268"/>
      <c r="H55" s="1098">
        <f>项目基本情况!B37</f>
        <v>0</v>
      </c>
      <c r="I55" s="937">
        <f>SUMIF(修正!A45:A56,H55,修正!E45:E56)</f>
        <v>0</v>
      </c>
      <c r="J55" s="938"/>
      <c r="K55" s="1139"/>
      <c r="L55" s="936"/>
      <c r="M55" s="936"/>
      <c r="N55" s="936"/>
      <c r="O55" s="936"/>
    </row>
    <row r="56" spans="1:17" s="689" customFormat="1">
      <c r="A56" s="690" t="s">
        <v>2762</v>
      </c>
      <c r="B56" s="259" t="e">
        <f t="shared" si="16"/>
        <v>#DIV/0!</v>
      </c>
      <c r="C56" s="197">
        <f t="shared" si="15"/>
        <v>0</v>
      </c>
      <c r="D56" s="1158">
        <v>0.25</v>
      </c>
      <c r="E56" s="258">
        <f>'数据-汇总表'!E11</f>
        <v>0</v>
      </c>
      <c r="F56" s="688" t="e">
        <f t="shared" si="14"/>
        <v>#DIV/0!</v>
      </c>
      <c r="G56" s="2699" t="s">
        <v>2763</v>
      </c>
      <c r="H56" s="1098">
        <f>项目基本情况!C37</f>
        <v>0</v>
      </c>
      <c r="I56" s="937">
        <f>SUMIF(修正!A45:A56,H56,修正!F45:F56)</f>
        <v>0</v>
      </c>
      <c r="J56" s="938"/>
      <c r="K56" s="1138"/>
      <c r="L56" s="936"/>
      <c r="M56" s="936"/>
      <c r="N56" s="936"/>
      <c r="O56" s="936"/>
    </row>
    <row r="57" spans="1:17" s="689" customFormat="1">
      <c r="A57" s="690" t="s">
        <v>2764</v>
      </c>
      <c r="B57" s="259" t="e">
        <f t="shared" si="16"/>
        <v>#DIV/0!</v>
      </c>
      <c r="C57" s="197">
        <f t="shared" si="15"/>
        <v>0</v>
      </c>
      <c r="D57" s="1158">
        <v>0.25</v>
      </c>
      <c r="E57" s="258">
        <f>'数据-汇总表'!E12</f>
        <v>0</v>
      </c>
      <c r="F57" s="688" t="e">
        <f t="shared" si="14"/>
        <v>#DIV/0!</v>
      </c>
      <c r="G57" s="1103" t="s">
        <v>2765</v>
      </c>
      <c r="H57" s="1098">
        <f>IF(G57="商业",项目基本情况!B37,IF(G57="办公",项目基本情况!C37,IF(G57="住宅",项目基本情况!D37,项目基本情况!E37)))</f>
        <v>0</v>
      </c>
      <c r="I57" s="937">
        <f>SUMIF(修正!A45:A56,H57,修正!G45:G56)</f>
        <v>0</v>
      </c>
      <c r="J57" s="938"/>
      <c r="K57" s="1139"/>
      <c r="L57" s="936"/>
      <c r="M57" s="936"/>
      <c r="N57" s="936"/>
      <c r="O57" s="936"/>
    </row>
    <row r="58" spans="1:17" s="689" customFormat="1">
      <c r="A58" s="690" t="s">
        <v>2766</v>
      </c>
      <c r="B58" s="259" t="e">
        <f t="shared" si="16"/>
        <v>#DIV/0!</v>
      </c>
      <c r="C58" s="197">
        <f t="shared" si="15"/>
        <v>0</v>
      </c>
      <c r="D58" s="1158">
        <v>0.25</v>
      </c>
      <c r="E58" s="258">
        <f>'数据-汇总表'!E13</f>
        <v>0</v>
      </c>
      <c r="F58" s="688" t="e">
        <f t="shared" si="14"/>
        <v>#DIV/0!</v>
      </c>
      <c r="G58" s="1103" t="s">
        <v>2767</v>
      </c>
      <c r="H58" s="1098">
        <f>IF(G58="商业",项目基本情况!B37,IF(G58="办公",项目基本情况!C37,IF(G58="住宅",项目基本情况!D37,项目基本情况!E37)))</f>
        <v>0</v>
      </c>
      <c r="I58" s="937">
        <f>SUMIF(修正!A45:A56,H58,修正!H45:H56)</f>
        <v>0</v>
      </c>
      <c r="J58" s="938"/>
      <c r="K58" s="1138"/>
      <c r="L58" s="936"/>
      <c r="M58" s="936"/>
      <c r="N58" s="936"/>
      <c r="O58" s="936"/>
    </row>
    <row r="59" spans="1:17" s="689" customFormat="1">
      <c r="A59" s="690" t="s">
        <v>2768</v>
      </c>
      <c r="B59" s="259" t="e">
        <f t="shared" si="16"/>
        <v>#DIV/0!</v>
      </c>
      <c r="C59" s="197">
        <f t="shared" si="15"/>
        <v>0</v>
      </c>
      <c r="D59" s="1158">
        <v>0.25</v>
      </c>
      <c r="E59" s="258">
        <f>'数据-汇总表'!E14</f>
        <v>0</v>
      </c>
      <c r="F59" s="688" t="e">
        <f t="shared" si="14"/>
        <v>#DIV/0!</v>
      </c>
      <c r="G59" s="2699" t="s">
        <v>2758</v>
      </c>
      <c r="H59" s="1098">
        <f>项目基本情况!B37</f>
        <v>0</v>
      </c>
      <c r="I59" s="937">
        <f>SUMIF(修正!A45:A56,H59,修正!H45:H56)</f>
        <v>0</v>
      </c>
      <c r="J59" s="938"/>
      <c r="K59" s="1139"/>
      <c r="L59" s="936"/>
      <c r="M59" s="936"/>
      <c r="N59" s="936"/>
      <c r="O59" s="936"/>
    </row>
    <row r="60" spans="1:17" s="689" customFormat="1" ht="15" thickBot="1">
      <c r="A60" s="690" t="s">
        <v>2769</v>
      </c>
      <c r="B60" s="259" t="e">
        <f t="shared" si="16"/>
        <v>#DIV/0!</v>
      </c>
      <c r="C60" s="197">
        <f t="shared" si="15"/>
        <v>0</v>
      </c>
      <c r="D60" s="1158">
        <v>0.25</v>
      </c>
      <c r="E60" s="258">
        <f>'数据-汇总表'!E15</f>
        <v>0</v>
      </c>
      <c r="F60" s="688" t="e">
        <f t="shared" si="14"/>
        <v>#DIV/0!</v>
      </c>
      <c r="G60" s="2700" t="s">
        <v>2763</v>
      </c>
      <c r="H60" s="1108">
        <f>项目基本情况!C37</f>
        <v>0</v>
      </c>
      <c r="I60" s="937">
        <f>SUMIF(修正!A45:A56,H60,修正!H45:H56)</f>
        <v>0</v>
      </c>
      <c r="J60" s="938"/>
      <c r="K60" s="1138"/>
      <c r="L60" s="936"/>
      <c r="M60" s="936"/>
      <c r="N60" s="936"/>
      <c r="O60" s="936"/>
    </row>
    <row r="61" spans="1:17" s="689" customFormat="1" ht="15" thickBot="1">
      <c r="A61" s="692" t="s">
        <v>2770</v>
      </c>
      <c r="B61" s="693" t="s">
        <v>28</v>
      </c>
      <c r="C61" s="693" t="s">
        <v>29</v>
      </c>
      <c r="D61" s="693" t="s">
        <v>1026</v>
      </c>
      <c r="E61" s="693">
        <f>IF(B41="楼面地价",SUM(E51:E60),'数据-汇总表'!D3)</f>
        <v>358537</v>
      </c>
      <c r="F61" s="694" t="e">
        <f>IF(B41="楼面地价",SUM(F51:F60),ROUND(C43*E61/10000,0))</f>
        <v>#DIV/0!</v>
      </c>
      <c r="G61" s="1152"/>
      <c r="H61" s="1152"/>
      <c r="I61" s="1152"/>
      <c r="J61" s="1152"/>
      <c r="K61" s="1099"/>
      <c r="L61" s="936"/>
      <c r="M61" s="936"/>
      <c r="N61" s="936"/>
      <c r="O61" s="936"/>
    </row>
    <row r="62" spans="1:17">
      <c r="A62" s="1138"/>
      <c r="B62" s="1140"/>
      <c r="C62" s="1144"/>
      <c r="D62" s="1138"/>
      <c r="E62" s="1138"/>
      <c r="F62" s="1138"/>
      <c r="G62" s="1138"/>
      <c r="H62" s="1138"/>
      <c r="I62" s="1138"/>
      <c r="J62" s="1138"/>
      <c r="K62" s="1099"/>
      <c r="L62" s="1100"/>
      <c r="M62" s="1138"/>
      <c r="N62" s="1138"/>
      <c r="O62" s="1138"/>
    </row>
    <row r="63" spans="1:17">
      <c r="A63" s="1138"/>
      <c r="B63" s="1140"/>
      <c r="C63" s="757" t="str">
        <f>YEAR(C7)&amp;"-"&amp;MONTH(C7)&amp;"-1"</f>
        <v>2019-11-1</v>
      </c>
      <c r="D63" s="757">
        <f>EDATE(C63,-3)</f>
        <v>43678</v>
      </c>
      <c r="E63" s="757">
        <f>EDATE(D63,-3)</f>
        <v>43586</v>
      </c>
      <c r="F63" s="757">
        <f t="shared" ref="F63:O63" si="17">EDATE(E63,-3)</f>
        <v>43497</v>
      </c>
      <c r="G63" s="757">
        <f t="shared" si="17"/>
        <v>43405</v>
      </c>
      <c r="H63" s="757">
        <f t="shared" si="17"/>
        <v>43313</v>
      </c>
      <c r="I63" s="757">
        <f t="shared" si="17"/>
        <v>43221</v>
      </c>
      <c r="J63" s="757">
        <f t="shared" si="17"/>
        <v>43132</v>
      </c>
      <c r="K63" s="757">
        <f t="shared" si="17"/>
        <v>43040</v>
      </c>
      <c r="L63" s="757">
        <f t="shared" si="17"/>
        <v>42948</v>
      </c>
      <c r="M63" s="757">
        <f t="shared" si="17"/>
        <v>42856</v>
      </c>
      <c r="N63" s="757">
        <f t="shared" si="17"/>
        <v>42767</v>
      </c>
      <c r="O63" s="757">
        <f t="shared" si="17"/>
        <v>42675</v>
      </c>
    </row>
    <row r="64" spans="1:17" ht="21.75" thickBot="1">
      <c r="A64" s="759" t="s">
        <v>2663</v>
      </c>
      <c r="B64" s="755"/>
      <c r="C64" s="760"/>
      <c r="D64" s="760"/>
      <c r="E64" s="760"/>
      <c r="F64" s="761"/>
      <c r="G64" s="761"/>
      <c r="H64" s="760"/>
      <c r="I64" s="760"/>
      <c r="J64" s="760"/>
      <c r="K64" s="762"/>
      <c r="L64" s="763"/>
      <c r="M64" s="760"/>
      <c r="N64" s="760"/>
      <c r="O64" s="1153"/>
      <c r="P64" s="500"/>
      <c r="Q64" s="501"/>
    </row>
    <row r="65" spans="1:17" s="505" customFormat="1" ht="15">
      <c r="A65" s="2701" t="s">
        <v>2771</v>
      </c>
      <c r="B65" s="1353"/>
      <c r="C65" s="1565" t="str">
        <f>YEAR(C63)&amp;"-"&amp;ROUNDUP(MONTH(C63)/3,0)</f>
        <v>2019-4</v>
      </c>
      <c r="D65" s="1565" t="str">
        <f t="shared" ref="D65:O65" si="18">YEAR(D63)&amp;"-"&amp;ROUNDUP(MONTH(D63)/3,0)</f>
        <v>2019-3</v>
      </c>
      <c r="E65" s="1565" t="str">
        <f t="shared" si="18"/>
        <v>2019-2</v>
      </c>
      <c r="F65" s="1565" t="str">
        <f t="shared" si="18"/>
        <v>2019-1</v>
      </c>
      <c r="G65" s="1565" t="str">
        <f t="shared" si="18"/>
        <v>2018-4</v>
      </c>
      <c r="H65" s="1565" t="str">
        <f t="shared" si="18"/>
        <v>2018-3</v>
      </c>
      <c r="I65" s="1565" t="str">
        <f t="shared" si="18"/>
        <v>2018-2</v>
      </c>
      <c r="J65" s="1565" t="str">
        <f t="shared" si="18"/>
        <v>2018-1</v>
      </c>
      <c r="K65" s="1565" t="str">
        <f t="shared" si="18"/>
        <v>2017-4</v>
      </c>
      <c r="L65" s="1565" t="str">
        <f t="shared" si="18"/>
        <v>2017-3</v>
      </c>
      <c r="M65" s="1565" t="str">
        <f t="shared" si="18"/>
        <v>2017-2</v>
      </c>
      <c r="N65" s="1565" t="str">
        <f t="shared" si="18"/>
        <v>2017-1</v>
      </c>
      <c r="O65" s="1565" t="str">
        <f t="shared" si="18"/>
        <v>2016-4</v>
      </c>
      <c r="P65" s="504"/>
    </row>
    <row r="66" spans="1:17" s="116" customFormat="1" ht="30.75" customHeight="1">
      <c r="A66" s="2706" t="s">
        <v>2791</v>
      </c>
      <c r="B66" s="329" t="str">
        <f>"北京市平均增长率"&amp;TEXT(基准地价修正!P24,"0.00%")</f>
        <v>北京市平均增长率1.38%</v>
      </c>
      <c r="C66" s="600">
        <v>100</v>
      </c>
      <c r="D66" s="592"/>
      <c r="E66" s="592"/>
      <c r="F66" s="592"/>
      <c r="G66" s="592"/>
      <c r="H66" s="592"/>
      <c r="I66" s="592"/>
      <c r="J66" s="592"/>
      <c r="K66" s="592"/>
      <c r="L66" s="592"/>
      <c r="M66" s="1561"/>
      <c r="N66" s="1561"/>
      <c r="O66" s="1562"/>
      <c r="P66" s="501"/>
    </row>
    <row r="67" spans="1:17" s="116" customFormat="1" ht="15.75" thickBot="1">
      <c r="A67" s="512" t="s">
        <v>2574</v>
      </c>
      <c r="B67" s="513"/>
      <c r="C67" s="514"/>
      <c r="D67" s="515"/>
      <c r="E67" s="515"/>
      <c r="F67" s="515"/>
      <c r="G67" s="515"/>
      <c r="H67" s="515"/>
      <c r="I67" s="515"/>
      <c r="J67" s="515"/>
      <c r="K67" s="515"/>
      <c r="L67" s="515"/>
      <c r="M67" s="516"/>
      <c r="N67" s="516"/>
      <c r="O67" s="517"/>
      <c r="P67" s="501"/>
      <c r="Q67" s="501"/>
    </row>
    <row r="68" spans="1:17" s="116" customFormat="1" ht="15">
      <c r="A68" s="518" t="s">
        <v>2539</v>
      </c>
      <c r="B68" s="507"/>
      <c r="C68" s="519" t="s">
        <v>2641</v>
      </c>
      <c r="D68" s="520"/>
      <c r="E68" s="520"/>
      <c r="F68" s="520"/>
      <c r="G68" s="520"/>
      <c r="H68" s="520"/>
      <c r="I68" s="520"/>
      <c r="J68" s="520"/>
      <c r="K68" s="520"/>
      <c r="L68" s="521"/>
      <c r="M68" s="522"/>
      <c r="N68" s="1145"/>
      <c r="O68" s="1145"/>
      <c r="P68" s="523"/>
      <c r="Q68" s="501"/>
    </row>
    <row r="69" spans="1:17" s="116" customFormat="1" ht="15.75" thickBot="1">
      <c r="A69" s="518"/>
      <c r="B69" s="507"/>
      <c r="C69" s="636">
        <v>100</v>
      </c>
      <c r="D69" s="509"/>
      <c r="E69" s="509"/>
      <c r="F69" s="509"/>
      <c r="G69" s="509"/>
      <c r="H69" s="509"/>
      <c r="I69" s="509"/>
      <c r="J69" s="509"/>
      <c r="K69" s="509"/>
      <c r="L69" s="509"/>
      <c r="M69" s="511"/>
      <c r="N69" s="1145"/>
      <c r="O69" s="1145"/>
      <c r="P69" s="501"/>
      <c r="Q69" s="501"/>
    </row>
    <row r="70" spans="1:17">
      <c r="A70" s="524" t="s">
        <v>2577</v>
      </c>
      <c r="B70" s="525" t="s">
        <v>2543</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2546</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2547</v>
      </c>
      <c r="C74" s="544" t="str">
        <f>C75&amp;"（含）"&amp;"-"&amp;D75</f>
        <v>（含）-</v>
      </c>
      <c r="D74" s="544" t="str">
        <f t="shared" ref="D74:L74" si="19">D75&amp;"（含）"&amp;"-"&amp;E75</f>
        <v>（含）-</v>
      </c>
      <c r="E74" s="544" t="str">
        <f t="shared" si="19"/>
        <v>（含）-</v>
      </c>
      <c r="F74" s="544" t="str">
        <f t="shared" si="19"/>
        <v>（含）-</v>
      </c>
      <c r="G74" s="544" t="str">
        <f t="shared" si="19"/>
        <v>（含）-</v>
      </c>
      <c r="H74" s="544" t="str">
        <f t="shared" si="19"/>
        <v>（含）-</v>
      </c>
      <c r="I74" s="544" t="str">
        <f t="shared" si="19"/>
        <v>（含）-</v>
      </c>
      <c r="J74" s="544" t="str">
        <f t="shared" si="19"/>
        <v>（含）-</v>
      </c>
      <c r="K74" s="544" t="str">
        <f t="shared" si="19"/>
        <v>（含）-</v>
      </c>
      <c r="L74" s="544" t="str">
        <f t="shared" si="19"/>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0">IF($B$41="单位面积地价",D76+$K11,D76-$K11)</f>
        <v>100</v>
      </c>
      <c r="F76" s="541">
        <f t="shared" si="20"/>
        <v>100</v>
      </c>
      <c r="G76" s="541">
        <f t="shared" si="20"/>
        <v>100</v>
      </c>
      <c r="H76" s="541">
        <f t="shared" si="20"/>
        <v>100</v>
      </c>
      <c r="I76" s="541">
        <f t="shared" si="20"/>
        <v>100</v>
      </c>
      <c r="J76" s="541">
        <f t="shared" si="20"/>
        <v>100</v>
      </c>
      <c r="K76" s="541">
        <f t="shared" si="20"/>
        <v>100</v>
      </c>
      <c r="L76" s="541">
        <f t="shared" si="20"/>
        <v>100</v>
      </c>
      <c r="M76" s="541">
        <f t="shared" si="20"/>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2548</v>
      </c>
      <c r="B83" s="525" t="s">
        <v>2694</v>
      </c>
      <c r="C83" s="570" t="s">
        <v>2586</v>
      </c>
      <c r="D83" s="570" t="s">
        <v>2587</v>
      </c>
      <c r="E83" s="570" t="s">
        <v>2588</v>
      </c>
      <c r="F83" s="570" t="s">
        <v>2589</v>
      </c>
      <c r="G83" s="570" t="s">
        <v>2590</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2591</v>
      </c>
      <c r="C85" s="575" t="s">
        <v>2586</v>
      </c>
      <c r="D85" s="575" t="s">
        <v>2587</v>
      </c>
      <c r="E85" s="575" t="s">
        <v>2588</v>
      </c>
      <c r="F85" s="575" t="s">
        <v>2589</v>
      </c>
      <c r="G85" s="575" t="s">
        <v>2590</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6" customFormat="1" ht="15.75" thickTop="1">
      <c r="A87" s="576"/>
      <c r="B87" s="535" t="s">
        <v>2774</v>
      </c>
      <c r="C87" s="570" t="s">
        <v>2586</v>
      </c>
      <c r="D87" s="570" t="s">
        <v>2587</v>
      </c>
      <c r="E87" s="570" t="s">
        <v>2588</v>
      </c>
      <c r="F87" s="570" t="s">
        <v>2589</v>
      </c>
      <c r="G87" s="570" t="s">
        <v>2590</v>
      </c>
      <c r="H87" s="575"/>
      <c r="I87" s="575"/>
      <c r="J87" s="575"/>
      <c r="K87" s="575"/>
      <c r="L87" s="695"/>
      <c r="M87" s="619"/>
      <c r="N87" s="1145"/>
      <c r="O87" s="1145"/>
      <c r="P87" s="45"/>
      <c r="Q87" s="501"/>
    </row>
    <row r="88" spans="1:17" s="116"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6" customFormat="1" ht="27.75" thickTop="1">
      <c r="A89" s="576"/>
      <c r="B89" s="535" t="s">
        <v>2775</v>
      </c>
      <c r="C89" s="570" t="s">
        <v>2586</v>
      </c>
      <c r="D89" s="570" t="s">
        <v>2587</v>
      </c>
      <c r="E89" s="570" t="s">
        <v>2588</v>
      </c>
      <c r="F89" s="570" t="s">
        <v>2589</v>
      </c>
      <c r="G89" s="570" t="s">
        <v>2590</v>
      </c>
      <c r="H89" s="575"/>
      <c r="I89" s="575"/>
      <c r="J89" s="575"/>
      <c r="K89" s="575"/>
      <c r="L89" s="575"/>
      <c r="M89" s="619"/>
      <c r="N89" s="1145"/>
      <c r="O89" s="1145"/>
      <c r="P89" s="45"/>
      <c r="Q89" s="501"/>
    </row>
    <row r="90" spans="1:17" s="116"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2643</v>
      </c>
      <c r="C91" s="570" t="s">
        <v>2586</v>
      </c>
      <c r="D91" s="570" t="s">
        <v>2587</v>
      </c>
      <c r="E91" s="570" t="s">
        <v>2588</v>
      </c>
      <c r="F91" s="570" t="s">
        <v>2589</v>
      </c>
      <c r="G91" s="570" t="s">
        <v>2590</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2792</v>
      </c>
      <c r="C93" s="657" t="s">
        <v>2664</v>
      </c>
      <c r="D93" s="657" t="s">
        <v>2665</v>
      </c>
      <c r="E93" s="657" t="s">
        <v>2666</v>
      </c>
      <c r="F93" s="657" t="s">
        <v>2667</v>
      </c>
      <c r="G93" s="657" t="s">
        <v>2668</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9"/>
      <c r="N94" s="1148"/>
      <c r="O94" s="1148"/>
      <c r="P94" s="555"/>
      <c r="Q94" s="556"/>
    </row>
    <row r="95" spans="1:17" ht="15.75" thickTop="1">
      <c r="A95" s="531"/>
      <c r="B95" s="535" t="str">
        <f>B27</f>
        <v>临街状况</v>
      </c>
      <c r="C95" s="536" t="s">
        <v>2776</v>
      </c>
      <c r="D95" s="536" t="s">
        <v>2777</v>
      </c>
      <c r="E95" s="536" t="s">
        <v>2778</v>
      </c>
      <c r="F95" s="536" t="s">
        <v>2779</v>
      </c>
      <c r="G95" s="536"/>
      <c r="H95" s="536"/>
      <c r="I95" s="536"/>
      <c r="J95" s="536"/>
      <c r="K95" s="537"/>
      <c r="L95" s="538"/>
      <c r="M95" s="539"/>
      <c r="N95" s="1146"/>
      <c r="O95" s="1146"/>
      <c r="P95" s="45"/>
      <c r="Q95" s="501"/>
    </row>
    <row r="96" spans="1:17" ht="15.75" thickBot="1">
      <c r="A96" s="531"/>
      <c r="B96" s="540"/>
      <c r="C96" s="541">
        <v>100</v>
      </c>
      <c r="D96" s="541">
        <f t="shared" ref="D96:M96" si="21">C96-$K27</f>
        <v>100</v>
      </c>
      <c r="E96" s="541">
        <f t="shared" si="21"/>
        <v>100</v>
      </c>
      <c r="F96" s="541">
        <f t="shared" si="21"/>
        <v>100</v>
      </c>
      <c r="G96" s="541">
        <f t="shared" si="21"/>
        <v>100</v>
      </c>
      <c r="H96" s="541">
        <f t="shared" si="21"/>
        <v>100</v>
      </c>
      <c r="I96" s="541">
        <f t="shared" si="21"/>
        <v>100</v>
      </c>
      <c r="J96" s="541">
        <f t="shared" si="21"/>
        <v>100</v>
      </c>
      <c r="K96" s="541">
        <f t="shared" si="21"/>
        <v>100</v>
      </c>
      <c r="L96" s="541">
        <f t="shared" si="21"/>
        <v>100</v>
      </c>
      <c r="M96" s="541">
        <f t="shared" si="21"/>
        <v>100</v>
      </c>
      <c r="N96" s="1147"/>
      <c r="O96" s="1147"/>
      <c r="P96" s="45"/>
      <c r="Q96" s="501"/>
    </row>
    <row r="97" spans="1:17" ht="27.75" thickTop="1">
      <c r="A97" s="531"/>
      <c r="B97" s="535" t="s">
        <v>2680</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2">C98-$K28</f>
        <v>100</v>
      </c>
      <c r="E98" s="541">
        <f t="shared" si="22"/>
        <v>100</v>
      </c>
      <c r="F98" s="541">
        <f t="shared" si="22"/>
        <v>100</v>
      </c>
      <c r="G98" s="541">
        <f t="shared" si="22"/>
        <v>100</v>
      </c>
      <c r="H98" s="541">
        <f t="shared" si="22"/>
        <v>100</v>
      </c>
      <c r="I98" s="541">
        <f t="shared" si="22"/>
        <v>100</v>
      </c>
      <c r="J98" s="541">
        <f t="shared" si="22"/>
        <v>100</v>
      </c>
      <c r="K98" s="541">
        <f t="shared" si="22"/>
        <v>100</v>
      </c>
      <c r="L98" s="541">
        <f t="shared" si="22"/>
        <v>100</v>
      </c>
      <c r="M98" s="541">
        <f t="shared" si="22"/>
        <v>100</v>
      </c>
      <c r="N98" s="1147"/>
      <c r="O98" s="1147"/>
      <c r="P98" s="45"/>
      <c r="Q98" s="501"/>
    </row>
    <row r="99" spans="1:17" ht="15.75" thickTop="1">
      <c r="A99" s="531"/>
      <c r="B99" s="535" t="s">
        <v>2739</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3">C100-$K30</f>
        <v>100</v>
      </c>
      <c r="E100" s="541">
        <f t="shared" si="23"/>
        <v>100</v>
      </c>
      <c r="F100" s="541">
        <f t="shared" si="23"/>
        <v>100</v>
      </c>
      <c r="G100" s="541">
        <f t="shared" si="23"/>
        <v>100</v>
      </c>
      <c r="H100" s="541">
        <f t="shared" si="23"/>
        <v>100</v>
      </c>
      <c r="I100" s="541">
        <f t="shared" si="23"/>
        <v>100</v>
      </c>
      <c r="J100" s="541">
        <f t="shared" si="23"/>
        <v>100</v>
      </c>
      <c r="K100" s="541">
        <f t="shared" si="23"/>
        <v>100</v>
      </c>
      <c r="L100" s="541">
        <f t="shared" si="23"/>
        <v>100</v>
      </c>
      <c r="M100" s="541">
        <f t="shared" si="23"/>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2"/>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4"/>
      <c r="H106" s="674"/>
      <c r="I106" s="674"/>
      <c r="J106" s="674"/>
      <c r="K106" s="674"/>
      <c r="L106" s="674"/>
      <c r="M106" s="696"/>
      <c r="N106" s="1147"/>
      <c r="O106" s="1147"/>
      <c r="P106" s="555"/>
      <c r="Q106" s="556"/>
    </row>
    <row r="107" spans="1:17">
      <c r="A107" s="524" t="s">
        <v>2552</v>
      </c>
      <c r="B107" s="525" t="s">
        <v>2780</v>
      </c>
      <c r="C107" s="526" t="str">
        <f t="shared" ref="C107:L107" si="24">C108&amp;"(含)"&amp;"-"&amp;D108</f>
        <v>(含)-</v>
      </c>
      <c r="D107" s="526" t="str">
        <f t="shared" si="24"/>
        <v>(含)-</v>
      </c>
      <c r="E107" s="526" t="str">
        <f t="shared" si="24"/>
        <v>(含)-</v>
      </c>
      <c r="F107" s="526" t="str">
        <f t="shared" si="24"/>
        <v>(含)-</v>
      </c>
      <c r="G107" s="526" t="str">
        <f t="shared" si="24"/>
        <v>(含)-</v>
      </c>
      <c r="H107" s="526" t="str">
        <f t="shared" si="24"/>
        <v>(含)-</v>
      </c>
      <c r="I107" s="526" t="str">
        <f t="shared" si="24"/>
        <v>(含)-</v>
      </c>
      <c r="J107" s="526" t="str">
        <f t="shared" si="24"/>
        <v>(含)-</v>
      </c>
      <c r="K107" s="1759" t="str">
        <f t="shared" si="24"/>
        <v>(含)-</v>
      </c>
      <c r="L107" s="1759" t="str">
        <f t="shared" si="24"/>
        <v>(含)-</v>
      </c>
      <c r="M107" s="1760"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2781</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5">C111-$K35</f>
        <v>100</v>
      </c>
      <c r="E111" s="541">
        <f t="shared" si="25"/>
        <v>100</v>
      </c>
      <c r="F111" s="541">
        <f t="shared" si="25"/>
        <v>100</v>
      </c>
      <c r="G111" s="541">
        <f t="shared" si="25"/>
        <v>100</v>
      </c>
      <c r="H111" s="541">
        <f t="shared" si="25"/>
        <v>100</v>
      </c>
      <c r="I111" s="541">
        <f t="shared" si="25"/>
        <v>100</v>
      </c>
      <c r="J111" s="541">
        <f t="shared" si="25"/>
        <v>100</v>
      </c>
      <c r="K111" s="541">
        <f t="shared" si="25"/>
        <v>100</v>
      </c>
      <c r="L111" s="541">
        <f t="shared" si="25"/>
        <v>100</v>
      </c>
      <c r="M111" s="542">
        <f t="shared" si="25"/>
        <v>100</v>
      </c>
      <c r="N111" s="1147"/>
      <c r="O111" s="1147"/>
      <c r="P111" s="45"/>
      <c r="Q111" s="501"/>
    </row>
    <row r="112" spans="1:17" s="468" customFormat="1" ht="15" thickTop="1">
      <c r="A112" s="590"/>
      <c r="B112" s="535" t="s">
        <v>2783</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6">C113-$K36</f>
        <v>100</v>
      </c>
      <c r="E113" s="541">
        <f t="shared" si="26"/>
        <v>100</v>
      </c>
      <c r="F113" s="541">
        <f t="shared" si="26"/>
        <v>100</v>
      </c>
      <c r="G113" s="541">
        <f t="shared" si="26"/>
        <v>100</v>
      </c>
      <c r="H113" s="541">
        <f t="shared" si="26"/>
        <v>100</v>
      </c>
      <c r="I113" s="541">
        <f t="shared" si="26"/>
        <v>100</v>
      </c>
      <c r="J113" s="541">
        <f t="shared" si="26"/>
        <v>100</v>
      </c>
      <c r="K113" s="541">
        <f t="shared" si="26"/>
        <v>100</v>
      </c>
      <c r="L113" s="541">
        <f t="shared" si="26"/>
        <v>100</v>
      </c>
      <c r="M113" s="542">
        <f t="shared" si="26"/>
        <v>100</v>
      </c>
      <c r="N113" s="1148"/>
      <c r="O113" s="1148"/>
      <c r="P113" s="555"/>
      <c r="Q113" s="556"/>
    </row>
    <row r="114" spans="1:17" ht="15" thickTop="1">
      <c r="A114" s="596"/>
      <c r="B114" s="535" t="s">
        <v>2784</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7">C115-$K37</f>
        <v>100</v>
      </c>
      <c r="E115" s="541">
        <f t="shared" si="27"/>
        <v>100</v>
      </c>
      <c r="F115" s="541">
        <f t="shared" si="27"/>
        <v>100</v>
      </c>
      <c r="G115" s="541">
        <f t="shared" si="27"/>
        <v>100</v>
      </c>
      <c r="H115" s="541">
        <f t="shared" si="27"/>
        <v>100</v>
      </c>
      <c r="I115" s="541">
        <f t="shared" si="27"/>
        <v>100</v>
      </c>
      <c r="J115" s="541">
        <f t="shared" si="27"/>
        <v>100</v>
      </c>
      <c r="K115" s="541">
        <f t="shared" si="27"/>
        <v>100</v>
      </c>
      <c r="L115" s="541">
        <f t="shared" si="27"/>
        <v>100</v>
      </c>
      <c r="M115" s="542">
        <f t="shared" si="27"/>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7"/>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2" customWidth="1"/>
    <col min="2" max="2" width="37.125" style="1952" customWidth="1"/>
    <col min="3" max="3" width="11.375" style="1952" customWidth="1"/>
    <col min="4" max="4" width="31.625" style="1952" customWidth="1"/>
    <col min="5" max="5" width="0.5" style="1952" customWidth="1"/>
    <col min="6" max="7" width="13" style="1952" customWidth="1"/>
    <col min="8" max="16384" width="9" style="1952"/>
  </cols>
  <sheetData>
    <row r="1" spans="1:5" ht="18.75">
      <c r="A1" s="1950" t="s">
        <v>1616</v>
      </c>
      <c r="B1" s="1951"/>
      <c r="C1" s="1951"/>
      <c r="D1" s="1951"/>
      <c r="E1" s="1951"/>
    </row>
    <row r="2" spans="1:5" ht="78" customHeight="1">
      <c r="A2" s="30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8"/>
      <c r="C2" s="3048"/>
      <c r="D2" s="3048"/>
      <c r="E2" s="3048"/>
    </row>
    <row r="3" spans="1:5" ht="18">
      <c r="A3" s="3049" t="str">
        <f>IF(项目基本情况!B9="房地产市场价值","估价结果一览表（市场价值不需“结果表-1”）","估价结果一览表")</f>
        <v>估价结果一览表</v>
      </c>
      <c r="B3" s="3049"/>
      <c r="C3" s="3049"/>
      <c r="D3" s="3049"/>
      <c r="E3" s="3049"/>
    </row>
    <row r="4" spans="1:5" ht="19.5" thickBot="1">
      <c r="A4" s="1953"/>
      <c r="B4" s="3047" t="s">
        <v>1625</v>
      </c>
      <c r="C4" s="3047"/>
      <c r="D4" s="3047"/>
      <c r="E4" s="1953"/>
    </row>
    <row r="5" spans="1:5" ht="16.5" thickTop="1">
      <c r="A5" s="1951"/>
      <c r="B5" s="3045" t="s">
        <v>1617</v>
      </c>
      <c r="C5" s="1954" t="s">
        <v>1618</v>
      </c>
      <c r="D5" s="1034">
        <f ca="1">结果表!H101</f>
        <v>378244</v>
      </c>
      <c r="E5" s="1951"/>
    </row>
    <row r="6" spans="1:5" ht="15.75">
      <c r="A6" s="1951"/>
      <c r="B6" s="3045"/>
      <c r="C6" s="1954" t="s">
        <v>1619</v>
      </c>
      <c r="D6" s="1034" t="str">
        <f ca="1">NUMBERSTRING(INT(D5*10000),2)&amp;"元整"</f>
        <v>叁拾柒亿捌仟贰佰肆拾肆万元整</v>
      </c>
      <c r="E6" s="1951"/>
    </row>
    <row r="7" spans="1:5" ht="15.75">
      <c r="A7" s="1951"/>
      <c r="B7" s="3050"/>
      <c r="C7" s="1955" t="s">
        <v>1620</v>
      </c>
      <c r="D7" s="1035">
        <f ca="1">结果表!H102</f>
        <v>4201</v>
      </c>
      <c r="E7" s="1951"/>
    </row>
    <row r="8" spans="1:5" ht="15.75">
      <c r="A8" s="1951"/>
      <c r="B8" s="3051" t="str">
        <f>结果表!E103</f>
        <v>2.估价师知悉的法定优先受偿款</v>
      </c>
      <c r="C8" s="1956" t="s">
        <v>1621</v>
      </c>
      <c r="D8" s="1035">
        <f ca="1">结果表!H103</f>
        <v>2697</v>
      </c>
      <c r="E8" s="1951"/>
    </row>
    <row r="9" spans="1:5" ht="15.75">
      <c r="A9" s="1951"/>
      <c r="B9" s="3053"/>
      <c r="C9" s="1954" t="s">
        <v>1619</v>
      </c>
      <c r="D9" s="1034" t="str">
        <f ca="1">NUMBERSTRING(INT(D8*10000),2)&amp;"元整"</f>
        <v>贰仟陆佰玖拾柒万元整</v>
      </c>
      <c r="E9" s="1951"/>
    </row>
    <row r="10" spans="1:5" ht="15">
      <c r="A10" s="1951"/>
      <c r="B10" s="1957" t="s">
        <v>1624</v>
      </c>
      <c r="C10" s="1958" t="s">
        <v>1622</v>
      </c>
      <c r="D10" s="1036">
        <f>结果表!H104</f>
        <v>0</v>
      </c>
      <c r="E10" s="1951"/>
    </row>
    <row r="11" spans="1:5" ht="15">
      <c r="A11" s="1951"/>
      <c r="B11" s="1957" t="s">
        <v>1626</v>
      </c>
      <c r="C11" s="1958" t="s">
        <v>1627</v>
      </c>
      <c r="D11" s="1036">
        <f>结果表!H105</f>
        <v>0</v>
      </c>
      <c r="E11" s="1951"/>
    </row>
    <row r="12" spans="1:5" ht="15">
      <c r="A12" s="1951"/>
      <c r="B12" s="1957" t="s">
        <v>1628</v>
      </c>
      <c r="C12" s="1958" t="s">
        <v>1627</v>
      </c>
      <c r="D12" s="1036">
        <f ca="1">结果表!H106</f>
        <v>2697</v>
      </c>
      <c r="E12" s="1951"/>
    </row>
    <row r="13" spans="1:5" ht="15.75">
      <c r="A13" s="1951"/>
      <c r="B13" s="3044" t="str">
        <f>结果表!E107</f>
        <v>3.房地产抵押价值</v>
      </c>
      <c r="C13" s="1959" t="s">
        <v>1618</v>
      </c>
      <c r="D13" s="1037">
        <f ca="1">结果表!H107</f>
        <v>375547</v>
      </c>
      <c r="E13" s="1951"/>
    </row>
    <row r="14" spans="1:5" ht="15.75">
      <c r="A14" s="1951"/>
      <c r="B14" s="3045"/>
      <c r="C14" s="1954" t="s">
        <v>1619</v>
      </c>
      <c r="D14" s="1034" t="str">
        <f ca="1">NUMBERSTRING(INT(D13*10000),2)&amp;"元整"</f>
        <v>叁拾柒亿伍仟伍佰肆拾柒万元整</v>
      </c>
      <c r="E14" s="1951"/>
    </row>
    <row r="15" spans="1:5" ht="15">
      <c r="A15" s="1951"/>
      <c r="B15" s="3050"/>
      <c r="C15" s="1955" t="s">
        <v>1629</v>
      </c>
      <c r="D15" s="1046">
        <f ca="1">结果表!H108</f>
        <v>4171</v>
      </c>
      <c r="E15" s="1951"/>
    </row>
    <row r="16" spans="1:5" ht="15">
      <c r="A16" s="1951"/>
      <c r="B16" s="3051" t="str">
        <f>结果表!E109</f>
        <v>——</v>
      </c>
      <c r="C16" s="1959" t="s">
        <v>1630</v>
      </c>
      <c r="D16" s="1960" t="str">
        <f>结果表!H109</f>
        <v>——</v>
      </c>
      <c r="E16" s="1951"/>
    </row>
    <row r="17" spans="1:5" ht="15.75">
      <c r="A17" s="1951"/>
      <c r="B17" s="3052"/>
      <c r="C17" s="1954" t="s">
        <v>1631</v>
      </c>
      <c r="D17" s="1034" t="e">
        <f>NUMBERSTRING(INT(D16*10000),2)&amp;"元整"</f>
        <v>#VALUE!</v>
      </c>
      <c r="E17" s="1951"/>
    </row>
    <row r="18" spans="1:5" ht="15">
      <c r="A18" s="1951"/>
      <c r="B18" s="3053"/>
      <c r="C18" s="1955" t="s">
        <v>1620</v>
      </c>
      <c r="D18" s="1046" t="str">
        <f>结果表!H110</f>
        <v>——</v>
      </c>
      <c r="E18" s="1951"/>
    </row>
    <row r="19" spans="1:5" ht="15.75">
      <c r="A19" s="1951"/>
      <c r="B19" s="3044" t="str">
        <f>结果表!E111</f>
        <v>4.抵押净值</v>
      </c>
      <c r="C19" s="1959" t="s">
        <v>1618</v>
      </c>
      <c r="D19" s="1035">
        <f ca="1">结果表!H111</f>
        <v>352713</v>
      </c>
      <c r="E19" s="1951"/>
    </row>
    <row r="20" spans="1:5" ht="15.75">
      <c r="A20" s="1951"/>
      <c r="B20" s="3045"/>
      <c r="C20" s="1954" t="s">
        <v>1631</v>
      </c>
      <c r="D20" s="1034" t="str">
        <f ca="1">NUMBERSTRING(INT(D19*10000),2)&amp;"元整"</f>
        <v>叁拾伍亿贰仟柒佰壹拾叁万元整</v>
      </c>
      <c r="E20" s="1951"/>
    </row>
    <row r="21" spans="1:5" ht="15.75" thickBot="1">
      <c r="A21" s="1951"/>
      <c r="B21" s="3046"/>
      <c r="C21" s="1961" t="s">
        <v>1629</v>
      </c>
      <c r="D21" s="1047">
        <f ca="1">结果表!H112</f>
        <v>3917</v>
      </c>
      <c r="E21" s="1951"/>
    </row>
    <row r="22" spans="1:5" ht="15" thickTop="1">
      <c r="A22" s="1951"/>
      <c r="B22" s="1962" t="s">
        <v>1632</v>
      </c>
      <c r="C22" s="1951"/>
      <c r="D22" s="1951"/>
      <c r="E22" s="1951"/>
    </row>
    <row r="23" spans="1:5">
      <c r="A23" s="1951"/>
      <c r="B23" s="1951"/>
      <c r="C23" s="1951"/>
      <c r="D23" s="1951"/>
      <c r="E23" s="1951"/>
    </row>
    <row r="24" spans="1:5" ht="18.75">
      <c r="A24" s="1963"/>
      <c r="B24" s="1964" t="s">
        <v>1623</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625" style="2778" customWidth="1"/>
    <col min="2" max="2" width="19.125" style="2884" customWidth="1"/>
    <col min="3" max="4" width="12" style="2710"/>
    <col min="5" max="5" width="14.625" style="2710" customWidth="1"/>
    <col min="6" max="8" width="12" style="2710"/>
    <col min="9" max="9" width="12.125" style="2710" bestFit="1" customWidth="1"/>
    <col min="10" max="10" width="12" style="2710"/>
    <col min="11" max="11" width="8.125" style="2773" customWidth="1"/>
    <col min="12" max="12" width="12" style="2710"/>
    <col min="13" max="13" width="8.5" style="2710" customWidth="1"/>
    <col min="14" max="14" width="9.625" style="2710" customWidth="1"/>
    <col min="15" max="25" width="12" style="2710"/>
    <col min="26" max="26" width="9.375" style="2778" customWidth="1"/>
    <col min="27" max="32" width="9.375" style="1366" customWidth="1"/>
    <col min="33" max="36" width="9.375" style="2778" customWidth="1"/>
    <col min="37" max="38" width="9.375" style="2710" customWidth="1"/>
    <col min="39" max="16384" width="12" style="2710"/>
  </cols>
  <sheetData>
    <row r="1" spans="1:36" ht="28.5">
      <c r="A1" s="237" t="s">
        <v>2793</v>
      </c>
      <c r="B1" s="238"/>
      <c r="C1" s="242" t="s">
        <v>2794</v>
      </c>
      <c r="D1" s="385">
        <f>SUM(D29:D30,D33:D39)</f>
        <v>0</v>
      </c>
      <c r="E1" s="2707"/>
      <c r="F1" s="2707"/>
      <c r="G1" s="2707"/>
      <c r="H1" s="2707"/>
      <c r="I1" s="2707"/>
      <c r="J1" s="2707"/>
      <c r="K1" s="1364"/>
      <c r="L1" s="2708" t="s">
        <v>2795</v>
      </c>
      <c r="M1" s="1074">
        <f>SUMPRODUCT((区片价!B5:B9=I2)*(区片价!C3:F3=E2)*(区片价!C5:F9))</f>
        <v>0</v>
      </c>
      <c r="N1" s="1077">
        <f>SUMPRODUCT((因素修正幅度!B5:B9=I2)*(因素修正幅度!C3:F3=E2)*(因素修正幅度!C5:F9))</f>
        <v>0</v>
      </c>
      <c r="O1" s="2709"/>
      <c r="P1" s="2709"/>
      <c r="Q1" s="1364"/>
      <c r="R1" s="1595" t="s">
        <v>2796</v>
      </c>
      <c r="S1" s="1595" t="s">
        <v>2797</v>
      </c>
      <c r="T1" s="1595" t="s">
        <v>2798</v>
      </c>
      <c r="U1" s="1595" t="s">
        <v>2799</v>
      </c>
      <c r="V1" s="1595" t="s">
        <v>2800</v>
      </c>
      <c r="W1" s="1599"/>
      <c r="X1" s="1599"/>
      <c r="Y1" s="1599"/>
      <c r="Z1" s="1599"/>
      <c r="AA1" s="1599"/>
      <c r="AB1" s="1599"/>
      <c r="AC1" s="1600"/>
      <c r="AD1" s="1601"/>
      <c r="AE1" s="1601"/>
      <c r="AF1" s="1601"/>
      <c r="AG1" s="1601"/>
      <c r="AH1" s="1601"/>
      <c r="AI1" s="1601"/>
      <c r="AJ1" s="1602"/>
    </row>
    <row r="2" spans="1:36" ht="15.75">
      <c r="A2" s="242" t="s">
        <v>2801</v>
      </c>
      <c r="B2" s="245" t="e">
        <f>C26</f>
        <v>#DIV/0!</v>
      </c>
      <c r="C2" s="2711" t="s">
        <v>2802</v>
      </c>
      <c r="D2" s="2712" t="s">
        <v>2803</v>
      </c>
      <c r="E2" s="2713"/>
      <c r="F2" s="2712" t="s">
        <v>2804</v>
      </c>
      <c r="G2" s="2714">
        <f>IF(E2="商业",项目基本情况!B37,IF(E2="办公",项目基本情况!C37,IF(E2="住宅",项目基本情况!D37,项目基本情况!E37)))</f>
        <v>0</v>
      </c>
      <c r="H2" s="2712" t="s">
        <v>2805</v>
      </c>
      <c r="I2" s="2714">
        <f>IF(E2="商业",项目基本情况!B38,IF(E2="办公",项目基本情况!C38,IF(E2="住宅",项目基本情况!D38,项目基本情况!E38)))</f>
        <v>0</v>
      </c>
      <c r="J2" s="2715"/>
      <c r="K2" s="1364"/>
      <c r="L2" s="2716" t="s">
        <v>2806</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4" t="s">
        <v>2807</v>
      </c>
      <c r="B3" s="245" t="e">
        <f>ROUND(B2*10000/D1,0)</f>
        <v>#DIV/0!</v>
      </c>
      <c r="C3" s="2711" t="s">
        <v>2808</v>
      </c>
      <c r="D3" s="2712" t="s">
        <v>2809</v>
      </c>
      <c r="E3" s="2717"/>
      <c r="F3" s="2718" t="s">
        <v>2810</v>
      </c>
      <c r="G3" s="911">
        <f>IF(F3="宗地容积率",'数据-汇总表'!I4,IF(F3="估价对象容积率",'数据-汇总表'!I6,'数据-汇总表'!I7))</f>
        <v>1.78</v>
      </c>
      <c r="H3" s="195" t="s">
        <v>2811</v>
      </c>
      <c r="I3" s="939"/>
      <c r="J3" s="2715" t="s">
        <v>2812</v>
      </c>
      <c r="K3" s="1364"/>
      <c r="L3" s="2716" t="s">
        <v>2813</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62"/>
      <c r="B4" s="3363"/>
      <c r="C4" s="3363"/>
      <c r="D4" s="3364"/>
      <c r="E4" s="3364"/>
      <c r="F4" s="3364"/>
      <c r="G4" s="3364"/>
      <c r="H4" s="3364"/>
      <c r="I4" s="3364"/>
      <c r="J4" s="3365"/>
      <c r="K4" s="1364"/>
      <c r="L4" s="2716" t="s">
        <v>2814</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8" customFormat="1" ht="15.75" thickBot="1">
      <c r="A5" s="2719" t="s">
        <v>807</v>
      </c>
      <c r="B5" s="2720" t="s">
        <v>2815</v>
      </c>
      <c r="C5" s="912" t="e">
        <f>ROUND(IF(E2="商业",C6*C7+C16,(IF(E2="住宅",C6*C12+C16,C6+C16))),0)</f>
        <v>#DIV/0!</v>
      </c>
      <c r="D5" s="1780" t="e">
        <f>ROUND(C6+C16,0)</f>
        <v>#DIV/0!</v>
      </c>
      <c r="E5" s="1780"/>
      <c r="F5" s="2721"/>
      <c r="G5" s="2722"/>
      <c r="H5" s="2722"/>
      <c r="I5" s="2722"/>
      <c r="J5" s="2723"/>
      <c r="K5" s="2724"/>
      <c r="L5" s="2716" t="s">
        <v>2816</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5"/>
      <c r="AD5" s="2726"/>
      <c r="AE5" s="2726"/>
      <c r="AF5" s="2726"/>
      <c r="AG5" s="2726"/>
      <c r="AH5" s="2726"/>
      <c r="AI5" s="2726"/>
      <c r="AJ5" s="2727"/>
    </row>
    <row r="6" spans="1:36" ht="15.75" thickBot="1">
      <c r="A6" s="2729" t="s">
        <v>2817</v>
      </c>
      <c r="B6" s="2730" t="s">
        <v>2818</v>
      </c>
      <c r="C6" s="913">
        <f>SUMIF(L1:L12,G2,M1:M12)</f>
        <v>0</v>
      </c>
      <c r="D6" s="2731" t="s">
        <v>2819</v>
      </c>
      <c r="E6" s="2732"/>
      <c r="F6" s="2732"/>
      <c r="G6" s="2733"/>
      <c r="H6" s="2733"/>
      <c r="I6" s="2733"/>
      <c r="J6" s="2734"/>
      <c r="K6" s="1835"/>
      <c r="L6" s="2716" t="s">
        <v>2820</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5"/>
      <c r="AD6" s="2726"/>
      <c r="AE6" s="2726"/>
      <c r="AF6" s="2726"/>
      <c r="AG6" s="2726"/>
      <c r="AH6" s="2726"/>
      <c r="AI6" s="2726"/>
      <c r="AJ6" s="2727"/>
    </row>
    <row r="7" spans="1:36" ht="24">
      <c r="A7" s="3366" t="str">
        <f>IF(E2="商业",IF(C8="不临58条商业街","",2),"")</f>
        <v/>
      </c>
      <c r="B7" s="2735" t="s">
        <v>2821</v>
      </c>
      <c r="C7" s="914" t="e">
        <f>IF(C8="不临58条商业街",1,ROUND(1+(1.6*E8+1.2*E9+0.8*E10+0.4*E11)*C9,4))</f>
        <v>#DIV/0!</v>
      </c>
      <c r="D7" s="2736" t="s">
        <v>2822</v>
      </c>
      <c r="E7" s="940"/>
      <c r="F7" s="2737"/>
      <c r="G7" s="2738"/>
      <c r="H7" s="2738"/>
      <c r="I7" s="2738"/>
      <c r="J7" s="2739"/>
      <c r="K7" s="1835"/>
      <c r="L7" s="2716" t="s">
        <v>2823</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2824</v>
      </c>
      <c r="X7" s="1597">
        <f>G2</f>
        <v>0</v>
      </c>
      <c r="Y7" s="1597" t="s">
        <v>2825</v>
      </c>
      <c r="Z7" s="1598">
        <f>G3</f>
        <v>1.78</v>
      </c>
      <c r="AA7" s="1599"/>
      <c r="AB7" s="1599"/>
      <c r="AC7" s="1600"/>
      <c r="AD7" s="1601"/>
      <c r="AE7" s="1601"/>
      <c r="AF7" s="1601"/>
      <c r="AG7" s="1601"/>
      <c r="AH7" s="1601"/>
      <c r="AI7" s="1601"/>
      <c r="AJ7" s="1602"/>
    </row>
    <row r="8" spans="1:36" ht="15">
      <c r="A8" s="3367"/>
      <c r="B8" s="195" t="s">
        <v>2826</v>
      </c>
      <c r="C8" s="2740"/>
      <c r="D8" s="915" t="s">
        <v>139</v>
      </c>
      <c r="E8" s="916" t="e">
        <f>ROUND(C11/E7,4)</f>
        <v>#DIV/0!</v>
      </c>
      <c r="F8" s="2741" t="s">
        <v>2827</v>
      </c>
      <c r="G8" s="2742"/>
      <c r="H8" s="2742"/>
      <c r="I8" s="2742"/>
      <c r="J8" s="2743"/>
      <c r="K8" s="1364"/>
      <c r="L8" s="2716" t="s">
        <v>2828</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359" t="s">
        <v>2829</v>
      </c>
      <c r="X8" s="3360"/>
      <c r="Y8" s="1603" t="s">
        <v>2830</v>
      </c>
      <c r="Z8" s="1603" t="s">
        <v>2831</v>
      </c>
      <c r="AA8" s="1603" t="s">
        <v>2832</v>
      </c>
      <c r="AB8" s="1603" t="s">
        <v>2833</v>
      </c>
      <c r="AC8" s="1603" t="s">
        <v>2834</v>
      </c>
      <c r="AD8" s="1603" t="s">
        <v>2835</v>
      </c>
      <c r="AE8" s="1603" t="s">
        <v>2836</v>
      </c>
      <c r="AF8" s="1603" t="s">
        <v>2837</v>
      </c>
      <c r="AG8" s="1603" t="s">
        <v>2838</v>
      </c>
      <c r="AH8" s="1603" t="s">
        <v>2839</v>
      </c>
      <c r="AI8" s="1603" t="s">
        <v>2840</v>
      </c>
      <c r="AJ8" s="1603" t="s">
        <v>2841</v>
      </c>
    </row>
    <row r="9" spans="1:36" ht="15">
      <c r="A9" s="3367"/>
      <c r="B9" s="195" t="s">
        <v>2842</v>
      </c>
      <c r="C9" s="917">
        <f>SUMIF(修正!C59:C119,C8,修正!E59:E119)</f>
        <v>0</v>
      </c>
      <c r="D9" s="197" t="s">
        <v>140</v>
      </c>
      <c r="E9" s="197" t="e">
        <f>ROUND(C11/E7,4)</f>
        <v>#DIV/0!</v>
      </c>
      <c r="F9" s="2741" t="s">
        <v>2843</v>
      </c>
      <c r="G9" s="2742"/>
      <c r="H9" s="2742"/>
      <c r="I9" s="2742"/>
      <c r="J9" s="2743"/>
      <c r="K9" s="1364"/>
      <c r="L9" s="2716" t="s">
        <v>2844</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361" t="s">
        <v>2845</v>
      </c>
      <c r="X9" s="1604" t="s">
        <v>2846</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67"/>
      <c r="B10" s="195" t="s">
        <v>2847</v>
      </c>
      <c r="C10" s="197">
        <f>SUMIF(修正!C59:C119,C8,修正!F59:F119)</f>
        <v>0</v>
      </c>
      <c r="D10" s="197" t="s">
        <v>141</v>
      </c>
      <c r="E10" s="197" t="e">
        <f>ROUND(C11/E7,4)</f>
        <v>#DIV/0!</v>
      </c>
      <c r="F10" s="2741" t="s">
        <v>2848</v>
      </c>
      <c r="G10" s="2742"/>
      <c r="H10" s="2742"/>
      <c r="I10" s="2742"/>
      <c r="J10" s="2743"/>
      <c r="K10" s="1364"/>
      <c r="L10" s="2716" t="s">
        <v>2849</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361"/>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67"/>
      <c r="B11" s="2744" t="s">
        <v>2850</v>
      </c>
      <c r="C11" s="918">
        <f>C10/4</f>
        <v>0</v>
      </c>
      <c r="D11" s="918" t="s">
        <v>142</v>
      </c>
      <c r="E11" s="918" t="e">
        <f>ROUND(C11/E7,4)</f>
        <v>#DIV/0!</v>
      </c>
      <c r="F11" s="2745" t="s">
        <v>2851</v>
      </c>
      <c r="G11" s="2746"/>
      <c r="H11" s="2746"/>
      <c r="I11" s="2746"/>
      <c r="J11" s="2747"/>
      <c r="K11" s="1364"/>
      <c r="L11" s="2716" t="s">
        <v>2852</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361" t="s">
        <v>2853</v>
      </c>
      <c r="X11" s="1607" t="s">
        <v>2854</v>
      </c>
      <c r="Y11" s="1608">
        <f>$G$3</f>
        <v>1.78</v>
      </c>
      <c r="Z11" s="1608">
        <f t="shared" ref="Z11:AJ11" si="3">$G$3</f>
        <v>1.78</v>
      </c>
      <c r="AA11" s="1608">
        <f t="shared" si="3"/>
        <v>1.78</v>
      </c>
      <c r="AB11" s="1608">
        <f t="shared" si="3"/>
        <v>1.78</v>
      </c>
      <c r="AC11" s="1608">
        <f t="shared" si="3"/>
        <v>1.78</v>
      </c>
      <c r="AD11" s="1608">
        <f t="shared" si="3"/>
        <v>1.78</v>
      </c>
      <c r="AE11" s="1608">
        <f t="shared" si="3"/>
        <v>1.78</v>
      </c>
      <c r="AF11" s="1608">
        <f t="shared" si="3"/>
        <v>1.78</v>
      </c>
      <c r="AG11" s="1608">
        <f t="shared" si="3"/>
        <v>1.78</v>
      </c>
      <c r="AH11" s="1608">
        <f t="shared" si="3"/>
        <v>1.78</v>
      </c>
      <c r="AI11" s="1608">
        <f t="shared" si="3"/>
        <v>1.78</v>
      </c>
      <c r="AJ11" s="1608">
        <f t="shared" si="3"/>
        <v>1.78</v>
      </c>
    </row>
    <row r="12" spans="1:36" ht="25.5" thickBot="1">
      <c r="A12" s="3366" t="s">
        <v>2855</v>
      </c>
      <c r="B12" s="2748" t="s">
        <v>2856</v>
      </c>
      <c r="C12" s="914">
        <f>ROUND(C15*D15*E15*F15*G15*H15*I15*J15,4)</f>
        <v>1</v>
      </c>
      <c r="D12" s="2749" t="s">
        <v>2857</v>
      </c>
      <c r="E12" s="2750"/>
      <c r="F12" s="2750"/>
      <c r="G12" s="2751"/>
      <c r="H12" s="2751"/>
      <c r="I12" s="2751"/>
      <c r="J12" s="2752"/>
      <c r="K12" s="1364"/>
      <c r="L12" s="2753" t="s">
        <v>2858</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361"/>
      <c r="X12" s="1609" t="s">
        <v>2859</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68"/>
      <c r="B13" s="2754" t="s">
        <v>2860</v>
      </c>
      <c r="C13" s="2755" t="s">
        <v>2861</v>
      </c>
      <c r="D13" s="1801" t="s">
        <v>2862</v>
      </c>
      <c r="E13" s="1801" t="s">
        <v>2863</v>
      </c>
      <c r="F13" s="30" t="s">
        <v>2864</v>
      </c>
      <c r="G13" s="2756" t="s">
        <v>2865</v>
      </c>
      <c r="H13" s="2756" t="s">
        <v>2865</v>
      </c>
      <c r="I13" s="2756" t="s">
        <v>2865</v>
      </c>
      <c r="J13" s="2757" t="s">
        <v>2865</v>
      </c>
      <c r="K13" s="1364"/>
      <c r="L13" s="1364"/>
      <c r="M13" s="1364"/>
      <c r="N13" s="1364"/>
      <c r="O13" s="1364"/>
      <c r="P13" s="1364"/>
      <c r="Q13" s="1364"/>
      <c r="R13" s="1595">
        <v>12</v>
      </c>
      <c r="S13" s="1596"/>
      <c r="T13" s="1595" t="e">
        <f t="shared" si="0"/>
        <v>#DIV/0!</v>
      </c>
      <c r="U13" s="1596"/>
      <c r="V13" s="1595" t="e">
        <f t="shared" si="1"/>
        <v>#DIV/0!</v>
      </c>
      <c r="W13" s="3361"/>
      <c r="X13" s="1609"/>
      <c r="Y13" s="1606">
        <f>(-0.163*(Y12^2)-0.59*Y12+7617)*(10^(-4))/Y11</f>
        <v>0.42792134831460676</v>
      </c>
      <c r="Z13" s="1606">
        <f t="shared" ref="Z13:AJ13" si="5">(-0.163*(Z12^2)-0.59*Z12+7617)*(10^(-4))/Z11</f>
        <v>0.42792134831460676</v>
      </c>
      <c r="AA13" s="1606">
        <f t="shared" si="5"/>
        <v>0.42792134831460676</v>
      </c>
      <c r="AB13" s="1606">
        <f t="shared" si="5"/>
        <v>0.42792134831460676</v>
      </c>
      <c r="AC13" s="1606">
        <f t="shared" si="5"/>
        <v>0.42792134831460676</v>
      </c>
      <c r="AD13" s="1606">
        <f t="shared" si="5"/>
        <v>0.42792134831460676</v>
      </c>
      <c r="AE13" s="1606">
        <f t="shared" si="5"/>
        <v>0.42792134831460676</v>
      </c>
      <c r="AF13" s="1606">
        <f t="shared" si="5"/>
        <v>0.42792134831460676</v>
      </c>
      <c r="AG13" s="1606">
        <f t="shared" si="5"/>
        <v>0.42792134831460676</v>
      </c>
      <c r="AH13" s="1606">
        <f t="shared" si="5"/>
        <v>0.42792134831460676</v>
      </c>
      <c r="AI13" s="1606">
        <f t="shared" si="5"/>
        <v>0.42792134831460676</v>
      </c>
      <c r="AJ13" s="1606">
        <f t="shared" si="5"/>
        <v>0.42792134831460676</v>
      </c>
    </row>
    <row r="14" spans="1:36" ht="15">
      <c r="A14" s="3368"/>
      <c r="B14" s="2758"/>
      <c r="C14" s="2759"/>
      <c r="D14" s="2760"/>
      <c r="E14" s="2760"/>
      <c r="F14" s="2761"/>
      <c r="G14" s="2762" t="s">
        <v>2866</v>
      </c>
      <c r="H14" s="2763"/>
      <c r="I14" s="2764"/>
      <c r="J14" s="2765"/>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69"/>
      <c r="B15" s="2766" t="s">
        <v>2867</v>
      </c>
      <c r="C15" s="226">
        <f>IF(C14="有",1.1,1)</f>
        <v>1</v>
      </c>
      <c r="D15" s="226">
        <f>IF(D14="有",1.1,1)</f>
        <v>1</v>
      </c>
      <c r="E15" s="226">
        <f>IF(E14="有",1.1,1)</f>
        <v>1</v>
      </c>
      <c r="F15" s="226">
        <f>IF(F14="500米范围内",1.2,IF(F14="500-1000米",1.1,1))</f>
        <v>1</v>
      </c>
      <c r="G15" s="941">
        <v>1</v>
      </c>
      <c r="H15" s="941">
        <v>1</v>
      </c>
      <c r="I15" s="941">
        <v>1</v>
      </c>
      <c r="J15" s="942">
        <v>1</v>
      </c>
      <c r="K15" s="1364"/>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366" t="s">
        <v>2872</v>
      </c>
      <c r="B16" s="2735" t="s">
        <v>2873</v>
      </c>
      <c r="C16" s="2922" t="e">
        <f>ROUND(IF(F17="与级别开发程度一致",0,(G17-E17)/C17),0)</f>
        <v>#DIV/0!</v>
      </c>
      <c r="D16" s="3380" t="s">
        <v>2877</v>
      </c>
      <c r="E16" s="3381"/>
      <c r="F16" s="3380" t="s">
        <v>2874</v>
      </c>
      <c r="G16" s="3381"/>
      <c r="H16" s="2769"/>
      <c r="I16" s="2769"/>
      <c r="J16" s="2926"/>
      <c r="K16" s="2769"/>
      <c r="L16" s="2769"/>
      <c r="M16" s="2769"/>
      <c r="N16" s="2769"/>
      <c r="O16" s="2770"/>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70"/>
      <c r="B17" s="2933" t="s">
        <v>2876</v>
      </c>
      <c r="C17" s="2934">
        <f>SUMPRODUCT((修正!A2:A5=E2)*(修正!B1:M1=G2)*(修正!B2:M5))</f>
        <v>0</v>
      </c>
      <c r="D17" s="226" t="str">
        <f>IF(OR(G2="八级",G2="九级",G2="十级",G2="十一级",G2="十二级"),"五通一平","七通一平")</f>
        <v>七通一平</v>
      </c>
      <c r="E17" s="2923">
        <f>SUMPRODUCT((修正!B1:M1=G2)*(修正!B15:M15))</f>
        <v>0</v>
      </c>
      <c r="F17" s="2924"/>
      <c r="G17" s="2925">
        <f>SUM(H17:O17)</f>
        <v>0</v>
      </c>
      <c r="H17" s="2934">
        <f>SUMPRODUCT((七通一平=H16)*(修正!B1:M1=G2)*(修正!B6:M14))</f>
        <v>0</v>
      </c>
      <c r="I17" s="2934">
        <f>SUMPRODUCT((七通一平=I16)*(修正!B1:M1=G2)*(修正!B6:M14))</f>
        <v>0</v>
      </c>
      <c r="J17" s="2935">
        <f>SUMPRODUCT((七通一平=J16)*(修正!B1:M1=G2)*(修正!B6:M14))</f>
        <v>0</v>
      </c>
      <c r="K17" s="2934">
        <f>SUMPRODUCT((七通一平=K16)*(修正!B1:M1=G2)*(修正!B6:M14))</f>
        <v>0</v>
      </c>
      <c r="L17" s="2934">
        <f>SUMPRODUCT((七通一平=L16)*(修正!B1:M1=G2)*(修正!B6:M14))</f>
        <v>0</v>
      </c>
      <c r="M17" s="2934">
        <f>SUMPRODUCT((七通一平=M16)*(修正!B1:M1=G2)*(修正!B6:M14))</f>
        <v>0</v>
      </c>
      <c r="N17" s="2934">
        <f>SUMPRODUCT((七通一平=N16)*(修正!B1:M1=G2)*(修正!B6:M14))</f>
        <v>0</v>
      </c>
      <c r="O17" s="2936">
        <f>SUMPRODUCT((七通一平=O16)*(修正!B1:M1=G2)*(修正!B6:M14))</f>
        <v>0</v>
      </c>
      <c r="Q17" s="1364"/>
      <c r="R17" s="1364"/>
      <c r="S17" s="1364"/>
      <c r="T17" s="1364"/>
      <c r="U17" s="1364"/>
      <c r="V17" s="1364"/>
      <c r="W17" s="1364"/>
      <c r="X17" s="1364"/>
      <c r="Y17" s="1364"/>
      <c r="Z17" s="1365"/>
      <c r="AE17" s="2773"/>
      <c r="AF17" s="2773"/>
      <c r="AG17" s="2710"/>
      <c r="AH17" s="2710"/>
      <c r="AI17" s="2710"/>
      <c r="AJ17" s="2710"/>
    </row>
    <row r="18" spans="1:37" s="2728" customFormat="1" ht="15.75" thickBot="1">
      <c r="A18" s="2927" t="s">
        <v>808</v>
      </c>
      <c r="B18" s="2928" t="s">
        <v>2879</v>
      </c>
      <c r="C18" s="2929">
        <f>SUMIF(修正!C18:C39,E3,修正!E18:E39)</f>
        <v>0</v>
      </c>
      <c r="D18" s="2930"/>
      <c r="E18" s="2931"/>
      <c r="F18" s="2931"/>
      <c r="G18" s="2931"/>
      <c r="H18" s="2931"/>
      <c r="I18" s="2931"/>
      <c r="J18" s="2932"/>
      <c r="K18" s="1371"/>
      <c r="O18" s="1369"/>
      <c r="P18" s="1369"/>
      <c r="Q18" s="1370"/>
      <c r="R18" s="1370"/>
      <c r="S18" s="1370"/>
      <c r="T18" s="1365"/>
      <c r="U18" s="1365"/>
      <c r="V18" s="1365"/>
      <c r="W18" s="1364"/>
      <c r="X18" s="1364"/>
      <c r="Y18" s="1364"/>
      <c r="Z18" s="1371"/>
      <c r="AA18" s="1372"/>
      <c r="AB18" s="1372"/>
      <c r="AC18" s="1372"/>
      <c r="AD18" s="1372"/>
      <c r="AE18" s="1366"/>
      <c r="AF18" s="1366"/>
      <c r="AG18" s="2778"/>
      <c r="AH18" s="2778"/>
      <c r="AI18" s="2778"/>
    </row>
    <row r="19" spans="1:37" s="2728" customFormat="1" ht="27.75" thickBot="1">
      <c r="A19" s="2774" t="s">
        <v>809</v>
      </c>
      <c r="B19" s="2775" t="s">
        <v>2880</v>
      </c>
      <c r="C19" s="919" t="e">
        <f>ROUND(IF(H19="按公示增长率计算",SUMPRODUCT((地价!A3:A28=YEAR(G19)&amp;"-"&amp;ROUNDUP(MONTH(G19)/3,0))*(地价!X2:AB2=E2)*(地价!X3:AB28)),IF(H19="地价指数",M20/M19,(1+I19)^O19)),4)</f>
        <v>#VALUE!</v>
      </c>
      <c r="D19" s="2779" t="s">
        <v>2881</v>
      </c>
      <c r="E19" s="920">
        <v>41640</v>
      </c>
      <c r="F19" s="2779" t="s">
        <v>2882</v>
      </c>
      <c r="G19" s="921">
        <f>'数据-取费表'!B2</f>
        <v>43782</v>
      </c>
      <c r="H19" s="2780"/>
      <c r="I19" s="922" t="str">
        <f>IF(H19="季度增幅（自定义）",SUMIF(N21:N24,E2,O21:O24),"")</f>
        <v/>
      </c>
      <c r="J19" s="2777"/>
      <c r="K19" s="1371"/>
      <c r="L19" s="2781" t="s">
        <v>2883</v>
      </c>
      <c r="M19" s="1727">
        <f>ROUND(SUMIF(地价!B2:F2,E2,地价!B28:F28),0)</f>
        <v>0</v>
      </c>
      <c r="N19" s="2782" t="s">
        <v>2884</v>
      </c>
      <c r="O19" s="923">
        <f>ROUNDDOWN(DATEDIF(E19,G19,"M")/3,0)</f>
        <v>23</v>
      </c>
      <c r="P19" s="1368"/>
      <c r="Q19" s="1370"/>
      <c r="R19" s="1370"/>
      <c r="S19" s="1370"/>
      <c r="T19" s="1365"/>
      <c r="U19" s="1365"/>
      <c r="V19" s="1365"/>
      <c r="W19" s="1364"/>
      <c r="X19" s="1364"/>
      <c r="Y19" s="1364"/>
      <c r="Z19" s="1371"/>
      <c r="AA19" s="1372"/>
      <c r="AB19" s="1372"/>
      <c r="AC19" s="1372"/>
      <c r="AD19" s="1372"/>
      <c r="AE19" s="1372"/>
      <c r="AF19" s="2783"/>
      <c r="AG19" s="2784"/>
      <c r="AH19" s="2778"/>
      <c r="AI19" s="2785"/>
      <c r="AJ19" s="2785"/>
      <c r="AK19" s="2785"/>
    </row>
    <row r="20" spans="1:37" s="2728" customFormat="1" ht="27.75" thickBot="1">
      <c r="A20" s="2786" t="s">
        <v>810</v>
      </c>
      <c r="B20" s="2787" t="s">
        <v>2885</v>
      </c>
      <c r="C20" s="924" t="e">
        <f>ROUND(POWER(1+G20,J20-I20)*(POWER(1+G20,I20)-1)/(POWER(1+G20,J20)-1),4)</f>
        <v>#DIV/0!</v>
      </c>
      <c r="D20" s="2788" t="s">
        <v>2886</v>
      </c>
      <c r="E20" s="1761">
        <f ca="1">存贷款利率!D4/100</f>
        <v>4.3499999999999997E-2</v>
      </c>
      <c r="F20" s="2788" t="s">
        <v>2878</v>
      </c>
      <c r="G20" s="929">
        <f>SUMIF(M26:P26,E2,M28:P28)</f>
        <v>0</v>
      </c>
      <c r="H20" s="2788" t="s">
        <v>2887</v>
      </c>
      <c r="I20" s="930" t="e">
        <f>SUMIF('数据-取费表'!C6:C15,E2,'数据-取费表'!F6:F15)/COUNTIF('数据-取费表'!C6:C15,E2)</f>
        <v>#DIV/0!</v>
      </c>
      <c r="J20" s="931">
        <f>IF(E2="住宅",70,IF(E2="商业",40,50))</f>
        <v>50</v>
      </c>
      <c r="K20" s="1371"/>
      <c r="L20" s="2789" t="s">
        <v>2888</v>
      </c>
      <c r="M20" s="1728">
        <f>ROUND(SUMPRODUCT((地价!A4:A28=YEAR(G19)&amp;"-"&amp;ROUNDUP(MONTH(G19)/3,0))*(地价!B2:F2=E2)*(地价!B4:F28)),0)</f>
        <v>0</v>
      </c>
      <c r="N20" s="2790" t="s">
        <v>2889</v>
      </c>
      <c r="O20" s="2791" t="s">
        <v>2890</v>
      </c>
      <c r="P20" s="2792" t="s">
        <v>2891</v>
      </c>
      <c r="R20" s="1370"/>
      <c r="S20" s="1370"/>
      <c r="T20" s="1365"/>
      <c r="U20" s="1365"/>
      <c r="V20" s="1365"/>
      <c r="W20" s="1364"/>
      <c r="X20" s="1364"/>
      <c r="Y20" s="1364"/>
      <c r="Z20" s="1371"/>
      <c r="AA20" s="1372"/>
      <c r="AB20" s="1372"/>
      <c r="AC20" s="1372"/>
      <c r="AD20" s="1372"/>
      <c r="AE20" s="1372"/>
      <c r="AF20" s="1372"/>
    </row>
    <row r="21" spans="1:37" s="2728" customFormat="1" ht="15">
      <c r="A21" s="2793" t="s">
        <v>811</v>
      </c>
      <c r="B21" s="2794" t="s">
        <v>2892</v>
      </c>
      <c r="C21" s="932">
        <f>IF(B21="容积率修正",IF(G3&lt;=10,D22,J22),C23)</f>
        <v>0</v>
      </c>
      <c r="D21" s="2795"/>
      <c r="E21" s="2795"/>
      <c r="F21" s="2795"/>
      <c r="G21" s="2795"/>
      <c r="H21" s="2795"/>
      <c r="I21" s="2795"/>
      <c r="J21" s="2796"/>
      <c r="K21" s="1371"/>
      <c r="N21" s="2797" t="s">
        <v>2893</v>
      </c>
      <c r="O21" s="1555"/>
      <c r="P21" s="1556">
        <f>SUMPRODUCT((地价!A3:A28=YEAR(G19)&amp;"-"&amp;ROUNDUP(MONTH(G19)/3,0))*(地价!AD2:AH2=N21)*(地价!AD3:AH28))</f>
        <v>1.41E-2</v>
      </c>
      <c r="R21" s="1370"/>
      <c r="S21" s="1370"/>
      <c r="T21" s="1365"/>
      <c r="U21" s="1365"/>
      <c r="V21" s="1365"/>
      <c r="W21" s="1364"/>
      <c r="X21" s="1364"/>
      <c r="Y21" s="1364"/>
      <c r="Z21" s="1371"/>
      <c r="AA21" s="1372"/>
      <c r="AB21" s="1372"/>
      <c r="AC21" s="1372"/>
      <c r="AD21" s="1372"/>
      <c r="AE21" s="1372"/>
      <c r="AF21" s="1372"/>
    </row>
    <row r="22" spans="1:37" s="2728" customFormat="1" ht="14.25">
      <c r="A22" s="2654" t="s">
        <v>2894</v>
      </c>
      <c r="B22" s="2798" t="s">
        <v>2895</v>
      </c>
      <c r="C22" s="1803" t="s">
        <v>2896</v>
      </c>
      <c r="D22" s="1803">
        <f>IF(E22=G22,F22,IF(G3&lt;=10,ROUND(F22+(H22-F22)*(G3-E22)/(G22-E22),4),"——"))</f>
        <v>0</v>
      </c>
      <c r="E22" s="911">
        <f>ROUNDDOWN(G3,1)</f>
        <v>1.7</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1.8</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3" t="str">
        <f>IF(G3&gt;10,D113,"——")</f>
        <v>——</v>
      </c>
      <c r="K22" s="1371"/>
      <c r="N22" s="2797" t="s">
        <v>2897</v>
      </c>
      <c r="O22" s="1555"/>
      <c r="P22" s="1556">
        <f>SUMPRODUCT((地价!A3:A28=YEAR(G19)&amp;"-"&amp;ROUNDUP(MONTH(G19)/3,0))*(地价!AD2:AH2=N22)*(地价!AD3:AH28))</f>
        <v>1.41E-2</v>
      </c>
      <c r="R22" s="1370"/>
      <c r="S22" s="1370"/>
      <c r="T22" s="1365"/>
      <c r="U22" s="1365"/>
      <c r="V22" s="1365"/>
      <c r="W22" s="1364"/>
      <c r="X22" s="1364"/>
      <c r="Y22" s="1364"/>
      <c r="Z22" s="1371"/>
      <c r="AA22" s="1372"/>
      <c r="AB22" s="1372"/>
      <c r="AC22" s="1372"/>
      <c r="AD22" s="1372"/>
      <c r="AE22" s="1372"/>
      <c r="AF22" s="1372"/>
    </row>
    <row r="23" spans="1:37" ht="27.75" thickBot="1">
      <c r="A23" s="2654" t="s">
        <v>2898</v>
      </c>
      <c r="B23" s="2799" t="s">
        <v>2899</v>
      </c>
      <c r="C23" s="1007">
        <f>ROUND(IF(G3&gt;1,IF(I3&lt;7,SUMPRODUCT((B93:B98=I3)*(C92:N92=G2)*(C93:N98)),SUMIF(C92:N92,G2,C100:N100)),IF(I3&lt;7,SUMPRODUCT((B102:B107=I3)*(C92:N92=G2)*(C102:N107)),SUMIF(C92:N92,G2,C109:N109))),4)</f>
        <v>0</v>
      </c>
      <c r="D23" s="2763"/>
      <c r="E23" s="2763"/>
      <c r="F23" s="2800"/>
      <c r="G23" s="2801"/>
      <c r="H23" s="2802"/>
      <c r="I23" s="2803"/>
      <c r="J23" s="2804"/>
      <c r="K23" s="1364"/>
      <c r="N23" s="2797" t="s">
        <v>2900</v>
      </c>
      <c r="O23" s="1555"/>
      <c r="P23" s="1556">
        <f>SUMPRODUCT((地价!A3:A28=YEAR(G19)&amp;"-"&amp;ROUNDUP(MONTH(G19)/3,0))*(地价!AD2:AH2=N23)*(地价!AD3:AH28))</f>
        <v>2.1600000000000001E-2</v>
      </c>
      <c r="R23" s="1370"/>
      <c r="S23" s="1370"/>
      <c r="T23" s="1365"/>
      <c r="U23" s="1365"/>
      <c r="V23" s="1365"/>
      <c r="W23" s="1364"/>
      <c r="X23" s="1364"/>
      <c r="Y23" s="1364"/>
      <c r="Z23" s="1371"/>
      <c r="AA23" s="1372"/>
      <c r="AB23" s="1372"/>
      <c r="AC23" s="1372"/>
      <c r="AD23" s="1372"/>
      <c r="AK23" s="2778"/>
    </row>
    <row r="24" spans="1:37" s="2728" customFormat="1" ht="15.75" thickBot="1">
      <c r="A24" s="2786" t="s">
        <v>812</v>
      </c>
      <c r="B24" s="2775" t="s">
        <v>2901</v>
      </c>
      <c r="C24" s="919">
        <f>SUMIF(A45:A88,E2,B45:B88)</f>
        <v>0</v>
      </c>
      <c r="D24" s="2776"/>
      <c r="E24" s="2805"/>
      <c r="F24" s="2805"/>
      <c r="G24" s="2805"/>
      <c r="H24" s="2805"/>
      <c r="I24" s="2805"/>
      <c r="J24" s="2806"/>
      <c r="K24" s="1371"/>
      <c r="N24" s="2807" t="s">
        <v>2902</v>
      </c>
      <c r="O24" s="1557"/>
      <c r="P24" s="1558">
        <f>SUMPRODUCT((地价!A3:A28=YEAR(G19)&amp;"-"&amp;ROUNDUP(MONTH(G19)/3,0))*(地价!AD2:AH2=N24)*(地价!AD3:AH28))</f>
        <v>1.38E-2</v>
      </c>
      <c r="R24" s="1370"/>
      <c r="S24" s="1370"/>
      <c r="T24" s="1365"/>
      <c r="U24" s="1365"/>
      <c r="V24" s="1365"/>
      <c r="W24" s="1364"/>
      <c r="X24" s="1364"/>
      <c r="Y24" s="1364"/>
      <c r="Z24" s="1371"/>
      <c r="AA24" s="1372"/>
      <c r="AB24" s="1372"/>
      <c r="AC24" s="1372"/>
      <c r="AD24" s="1372"/>
      <c r="AE24" s="1372"/>
      <c r="AF24" s="1372"/>
    </row>
    <row r="25" spans="1:37" ht="15.75" thickBot="1">
      <c r="A25" s="2786" t="s">
        <v>813</v>
      </c>
      <c r="B25" s="2808" t="s">
        <v>2903</v>
      </c>
      <c r="C25" s="925"/>
      <c r="D25" s="2738"/>
      <c r="E25" s="2738"/>
      <c r="F25" s="2809"/>
      <c r="G25" s="2738"/>
      <c r="H25" s="2738"/>
      <c r="I25" s="2738"/>
      <c r="J25" s="2739"/>
      <c r="K25" s="1364"/>
      <c r="N25" s="2810" t="s">
        <v>2904</v>
      </c>
      <c r="O25" s="1559"/>
      <c r="P25" s="1558">
        <f>SUMPRODUCT((地价!A3:A28=YEAR(G19)&amp;"-"&amp;ROUNDUP(MONTH(G19)/3,0))*(地价!AD2:AH2=N25)*(地价!AD3:AH28))</f>
        <v>1.9800000000000002E-2</v>
      </c>
      <c r="R25" s="1370"/>
      <c r="S25" s="1370"/>
      <c r="T25" s="1365"/>
      <c r="U25" s="1365"/>
      <c r="V25" s="1365"/>
      <c r="W25" s="1364"/>
      <c r="X25" s="1364"/>
      <c r="Y25" s="1364"/>
      <c r="Z25" s="1371"/>
      <c r="AA25" s="1372"/>
      <c r="AB25" s="1372"/>
      <c r="AC25" s="1372"/>
      <c r="AD25" s="1372"/>
    </row>
    <row r="26" spans="1:37" ht="15">
      <c r="A26" s="2811"/>
      <c r="B26" s="2798" t="s">
        <v>2905</v>
      </c>
      <c r="C26" s="203" t="e">
        <f>E29+SUM(E33:E39)</f>
        <v>#DIV/0!</v>
      </c>
      <c r="D26" s="2812"/>
      <c r="E26" s="2763"/>
      <c r="F26" s="2813"/>
      <c r="G26" s="2763"/>
      <c r="H26" s="2763"/>
      <c r="I26" s="2763"/>
      <c r="J26" s="2814"/>
      <c r="K26" s="1364"/>
      <c r="L26" s="2767" t="s">
        <v>2803</v>
      </c>
      <c r="M26" s="915" t="s">
        <v>2868</v>
      </c>
      <c r="N26" s="915" t="s">
        <v>2869</v>
      </c>
      <c r="O26" s="915" t="s">
        <v>2870</v>
      </c>
      <c r="P26" s="2768" t="s">
        <v>2871</v>
      </c>
      <c r="R26" s="1370"/>
      <c r="S26" s="1370"/>
      <c r="T26" s="1365"/>
      <c r="U26" s="1365"/>
      <c r="V26" s="1365"/>
      <c r="W26" s="1364"/>
      <c r="X26" s="1364"/>
      <c r="Y26" s="1364"/>
      <c r="Z26" s="1371"/>
      <c r="AA26" s="1372"/>
      <c r="AB26" s="1372"/>
      <c r="AC26" s="1372"/>
      <c r="AD26" s="1372"/>
    </row>
    <row r="27" spans="1:37" ht="15.75" thickBot="1">
      <c r="A27" s="2811"/>
      <c r="B27" s="2815" t="s">
        <v>2906</v>
      </c>
      <c r="C27" s="926" t="e">
        <f>E30+SUM(I33:I39)</f>
        <v>#DIV/0!</v>
      </c>
      <c r="D27" s="2816"/>
      <c r="E27" s="2817"/>
      <c r="F27" s="2818"/>
      <c r="G27" s="2817"/>
      <c r="H27" s="2817"/>
      <c r="I27" s="2817"/>
      <c r="J27" s="2819"/>
      <c r="K27" s="1364"/>
      <c r="L27" s="2771" t="s">
        <v>2875</v>
      </c>
      <c r="M27" s="917">
        <v>0.25</v>
      </c>
      <c r="N27" s="917">
        <v>0.2</v>
      </c>
      <c r="O27" s="917">
        <v>0.15</v>
      </c>
      <c r="P27" s="1363">
        <v>0.1</v>
      </c>
      <c r="Q27" s="1370"/>
      <c r="R27" s="1370"/>
      <c r="S27" s="1370"/>
      <c r="T27" s="1365"/>
      <c r="U27" s="1365"/>
      <c r="V27" s="1365"/>
      <c r="W27" s="1364"/>
      <c r="X27" s="1364"/>
      <c r="Y27" s="1364"/>
      <c r="Z27" s="1371"/>
      <c r="AA27" s="1372"/>
      <c r="AB27" s="1372"/>
      <c r="AC27" s="1372"/>
      <c r="AD27" s="1372"/>
    </row>
    <row r="28" spans="1:37" ht="15.75" thickBot="1">
      <c r="A28" s="2820"/>
      <c r="B28" s="2821" t="s">
        <v>2907</v>
      </c>
      <c r="C28" s="2822" t="s">
        <v>2908</v>
      </c>
      <c r="D28" s="2822" t="s">
        <v>2909</v>
      </c>
      <c r="E28" s="2823" t="s">
        <v>2910</v>
      </c>
      <c r="F28" s="2824"/>
      <c r="G28" s="2751"/>
      <c r="H28" s="2751"/>
      <c r="I28" s="2751"/>
      <c r="J28" s="2752"/>
      <c r="K28" s="1364"/>
      <c r="L28" s="2772" t="s">
        <v>2878</v>
      </c>
      <c r="M28" s="208">
        <f ca="1">ROUND($E$20*(1+M27),3)</f>
        <v>5.3999999999999999E-2</v>
      </c>
      <c r="N28" s="208">
        <f ca="1">ROUND($E$20*(1+N27),3)</f>
        <v>5.1999999999999998E-2</v>
      </c>
      <c r="O28" s="208">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5"/>
      <c r="B29" s="2826" t="s">
        <v>2911</v>
      </c>
      <c r="C29" s="203" t="e">
        <f>ROUND(C5*C18*C19*C20*C21*C24,0)</f>
        <v>#DIV/0!</v>
      </c>
      <c r="D29" s="2827"/>
      <c r="E29" s="937" t="e">
        <f>ROUND(C29*D29/10000,0)</f>
        <v>#DIV/0!</v>
      </c>
      <c r="F29" s="2828" t="s">
        <v>2912</v>
      </c>
      <c r="G29" s="2829"/>
      <c r="H29" s="2829"/>
      <c r="I29" s="2829"/>
      <c r="J29" s="2830"/>
      <c r="K29" s="1364"/>
      <c r="L29" s="1364"/>
      <c r="M29" s="1364"/>
      <c r="N29" s="1364"/>
      <c r="O29" s="1369"/>
      <c r="P29" s="1369"/>
      <c r="Q29" s="1370"/>
      <c r="R29" s="1370"/>
      <c r="S29" s="1370"/>
      <c r="T29" s="1365"/>
      <c r="U29" s="1365"/>
      <c r="V29" s="1365"/>
      <c r="W29" s="1364"/>
      <c r="X29" s="1364"/>
      <c r="Y29" s="1364"/>
      <c r="Z29" s="1371"/>
      <c r="AA29" s="1372"/>
      <c r="AB29" s="1372"/>
      <c r="AC29" s="1372"/>
      <c r="AD29" s="1372"/>
      <c r="AE29" s="2773"/>
      <c r="AF29" s="2773"/>
      <c r="AG29" s="2710"/>
      <c r="AH29" s="2710"/>
      <c r="AI29" s="2710"/>
      <c r="AJ29" s="2710"/>
    </row>
    <row r="30" spans="1:37" ht="25.5" thickBot="1">
      <c r="A30" s="2831"/>
      <c r="B30" s="2832" t="s">
        <v>2913</v>
      </c>
      <c r="C30" s="226" t="e">
        <f>ROUND(IF(E2="工业",C29*M39,C29*M38),0)</f>
        <v>#DIV/0!</v>
      </c>
      <c r="D30" s="2833"/>
      <c r="E30" s="937" t="e">
        <f>ROUND(C30*D30/10000,0)</f>
        <v>#DIV/0!</v>
      </c>
      <c r="F30" s="2834" t="s">
        <v>2914</v>
      </c>
      <c r="G30" s="2835"/>
      <c r="H30" s="2835"/>
      <c r="I30" s="2835"/>
      <c r="J30" s="2836"/>
      <c r="K30" s="1364"/>
      <c r="L30" s="1364"/>
      <c r="M30" s="1364"/>
      <c r="N30" s="1364"/>
      <c r="O30" s="1369"/>
      <c r="P30" s="1369"/>
      <c r="Q30" s="1370"/>
      <c r="R30" s="1370"/>
      <c r="S30" s="1370"/>
      <c r="T30" s="1365"/>
      <c r="U30" s="1365"/>
      <c r="V30" s="1365"/>
      <c r="W30" s="1364"/>
      <c r="X30" s="1364"/>
      <c r="Y30" s="1364"/>
      <c r="Z30" s="1371"/>
      <c r="AA30" s="1372"/>
      <c r="AB30" s="1372"/>
      <c r="AC30" s="1372"/>
      <c r="AD30" s="1372"/>
      <c r="AE30" s="2773"/>
      <c r="AF30" s="2773"/>
      <c r="AG30" s="2710"/>
      <c r="AH30" s="2710"/>
      <c r="AI30" s="2710"/>
      <c r="AJ30" s="2710"/>
    </row>
    <row r="31" spans="1:37" ht="14.25">
      <c r="A31" s="2837"/>
      <c r="B31" s="2838" t="s">
        <v>2915</v>
      </c>
      <c r="C31" s="2839" t="s">
        <v>2916</v>
      </c>
      <c r="D31" s="2751"/>
      <c r="E31" s="2839"/>
      <c r="F31" s="2839"/>
      <c r="G31" s="2749" t="s">
        <v>2917</v>
      </c>
      <c r="H31" s="2751"/>
      <c r="I31" s="2840"/>
      <c r="J31" s="2752"/>
      <c r="K31" s="1364"/>
      <c r="L31" s="1364"/>
      <c r="M31" s="1364"/>
      <c r="N31" s="1364"/>
      <c r="O31" s="1369"/>
      <c r="P31" s="1369"/>
      <c r="Q31" s="1370"/>
      <c r="R31" s="1370"/>
      <c r="S31" s="1370"/>
      <c r="T31" s="1365"/>
      <c r="U31" s="1365"/>
      <c r="V31" s="1365"/>
      <c r="W31" s="1364"/>
      <c r="X31" s="1364"/>
      <c r="Y31" s="1364"/>
      <c r="Z31" s="1371"/>
      <c r="AA31" s="1372"/>
      <c r="AB31" s="1372"/>
      <c r="AC31" s="1372"/>
      <c r="AD31" s="1372"/>
      <c r="AE31" s="2773"/>
      <c r="AF31" s="2773"/>
      <c r="AG31" s="2710"/>
      <c r="AH31" s="2710"/>
      <c r="AI31" s="2710"/>
      <c r="AJ31" s="2710"/>
    </row>
    <row r="32" spans="1:37" ht="24">
      <c r="A32" s="2825"/>
      <c r="B32" s="2841"/>
      <c r="C32" s="498" t="s">
        <v>2908</v>
      </c>
      <c r="D32" s="495" t="s">
        <v>2909</v>
      </c>
      <c r="E32" s="495" t="s">
        <v>2910</v>
      </c>
      <c r="F32" s="385" t="s">
        <v>2918</v>
      </c>
      <c r="G32" s="2842" t="s">
        <v>2908</v>
      </c>
      <c r="H32" s="2842" t="s">
        <v>2909</v>
      </c>
      <c r="I32" s="2842" t="s">
        <v>2910</v>
      </c>
      <c r="J32" s="284"/>
      <c r="K32" s="1364"/>
      <c r="L32" s="1364"/>
      <c r="M32" s="1364"/>
      <c r="N32" s="1364"/>
      <c r="O32" s="1369"/>
      <c r="P32" s="1369"/>
      <c r="Q32" s="1370"/>
      <c r="R32" s="1370"/>
      <c r="S32" s="1370"/>
      <c r="T32" s="1365"/>
      <c r="U32" s="1365"/>
      <c r="V32" s="1365"/>
      <c r="W32" s="1364"/>
      <c r="X32" s="1364"/>
      <c r="Y32" s="1364"/>
      <c r="Z32" s="1371"/>
      <c r="AA32" s="1372"/>
      <c r="AB32" s="1372"/>
      <c r="AC32" s="1372"/>
      <c r="AD32" s="1372"/>
      <c r="AE32" s="2773"/>
      <c r="AF32" s="2773"/>
      <c r="AG32" s="2710"/>
      <c r="AH32" s="2710"/>
      <c r="AI32" s="2710"/>
      <c r="AJ32" s="2710"/>
    </row>
    <row r="33" spans="1:37" ht="36" customHeight="1">
      <c r="A33" s="3377" t="s">
        <v>2919</v>
      </c>
      <c r="B33" s="2843" t="s">
        <v>2920</v>
      </c>
      <c r="C33" s="203" t="e">
        <f>ROUND(D5*C19*C20*C24*F33,0)</f>
        <v>#DIV/0!</v>
      </c>
      <c r="D33" s="2827"/>
      <c r="E33" s="197" t="e">
        <f>ROUND(C33*D33/10000,0)</f>
        <v>#DIV/0!</v>
      </c>
      <c r="F33" s="197">
        <f>SUMIF(修正!A45:A56,G2,修正!B45:B56)</f>
        <v>0</v>
      </c>
      <c r="G33" s="197" t="e">
        <f>ROUND(IF(E2="工业",C33*$M$39,C33*$M$38),0)</f>
        <v>#DIV/0!</v>
      </c>
      <c r="H33" s="197">
        <f>D33</f>
        <v>0</v>
      </c>
      <c r="I33" s="197" t="e">
        <f>ROUND(G33*H33/10000,0)</f>
        <v>#DIV/0!</v>
      </c>
      <c r="J33" s="284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78"/>
      <c r="B34" s="2755" t="s">
        <v>2921</v>
      </c>
      <c r="C34" s="203" t="e">
        <f>ROUND(D5*C19*C20*C24*F34,0)</f>
        <v>#DIV/0!</v>
      </c>
      <c r="D34" s="2827"/>
      <c r="E34" s="197" t="e">
        <f t="shared" ref="E34:E39" si="6">ROUND(C34*D34/10000,0)</f>
        <v>#DIV/0!</v>
      </c>
      <c r="F34" s="197">
        <f>SUMIF(修正!A45:A56,G2,修正!C45:C56)</f>
        <v>0</v>
      </c>
      <c r="G34" s="197" t="e">
        <f>ROUND(IF(E2="工业",C34*$M$39,C34*$M$38),0)</f>
        <v>#DIV/0!</v>
      </c>
      <c r="H34" s="197">
        <f t="shared" ref="H34:H39" si="7">D34</f>
        <v>0</v>
      </c>
      <c r="I34" s="197" t="e">
        <f t="shared" ref="I34:I39" si="8">ROUND(G34*H34/10000,0)</f>
        <v>#DIV/0!</v>
      </c>
      <c r="J34" s="284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78"/>
      <c r="B35" s="2755" t="s">
        <v>2922</v>
      </c>
      <c r="C35" s="203" t="e">
        <f>ROUND(D5*C19*C20*C24*F35,0)</f>
        <v>#DIV/0!</v>
      </c>
      <c r="D35" s="2827"/>
      <c r="E35" s="197" t="e">
        <f t="shared" si="6"/>
        <v>#DIV/0!</v>
      </c>
      <c r="F35" s="197">
        <f>SUMIF(修正!A45:A56,G2,修正!D45:D56)</f>
        <v>0</v>
      </c>
      <c r="G35" s="197" t="e">
        <f>ROUND(IF(E2="工业",C35*$M$39,C35*$M$38),0)</f>
        <v>#DIV/0!</v>
      </c>
      <c r="H35" s="197">
        <f t="shared" si="7"/>
        <v>0</v>
      </c>
      <c r="I35" s="197" t="e">
        <f t="shared" si="8"/>
        <v>#DIV/0!</v>
      </c>
      <c r="J35" s="2844"/>
      <c r="K35" s="1364"/>
      <c r="L35" s="1364"/>
      <c r="M35" s="1364"/>
      <c r="N35" s="1364"/>
      <c r="O35" s="1364"/>
      <c r="P35" s="1364"/>
      <c r="Q35" s="1364"/>
      <c r="R35" s="1364"/>
      <c r="S35" s="1364"/>
      <c r="T35" s="1364"/>
      <c r="U35" s="1364"/>
      <c r="V35" s="1364"/>
      <c r="W35" s="1364"/>
      <c r="X35" s="1364"/>
      <c r="Y35" s="1364"/>
      <c r="Z35" s="1365"/>
    </row>
    <row r="36" spans="1:37" ht="13.5" thickBot="1">
      <c r="A36" s="3379"/>
      <c r="B36" s="2755" t="s">
        <v>2923</v>
      </c>
      <c r="C36" s="203" t="e">
        <f>ROUND(D5*C19*C20*C24*F36,0)</f>
        <v>#DIV/0!</v>
      </c>
      <c r="D36" s="2827"/>
      <c r="E36" s="197" t="e">
        <f t="shared" si="6"/>
        <v>#DIV/0!</v>
      </c>
      <c r="F36" s="197">
        <f>SUMIF(修正!A45:A56,G2,修正!E45:E56)</f>
        <v>0</v>
      </c>
      <c r="G36" s="197" t="e">
        <f>ROUND(IF(E2="工业",C36*$M$39,C36*$M$38),0)</f>
        <v>#DIV/0!</v>
      </c>
      <c r="H36" s="197">
        <f t="shared" si="7"/>
        <v>0</v>
      </c>
      <c r="I36" s="197" t="e">
        <f t="shared" si="8"/>
        <v>#DIV/0!</v>
      </c>
      <c r="J36" s="2844"/>
      <c r="K36" s="1364"/>
      <c r="L36" s="2709"/>
      <c r="M36" s="2709"/>
      <c r="N36" s="1364"/>
      <c r="O36" s="1364"/>
      <c r="P36" s="1364"/>
      <c r="Q36" s="1364"/>
      <c r="R36" s="1364"/>
      <c r="S36" s="1364"/>
      <c r="T36" s="1364"/>
      <c r="U36" s="1364"/>
      <c r="V36" s="1364"/>
      <c r="W36" s="1364"/>
      <c r="X36" s="1364"/>
      <c r="Y36" s="1364"/>
      <c r="Z36" s="1365"/>
    </row>
    <row r="37" spans="1:37">
      <c r="A37" s="2845"/>
      <c r="B37" s="2755" t="s">
        <v>2924</v>
      </c>
      <c r="C37" s="197" t="e">
        <f>ROUND(D5*C19*C20*C24*F37,0)</f>
        <v>#DIV/0!</v>
      </c>
      <c r="D37" s="2827"/>
      <c r="E37" s="197" t="e">
        <f t="shared" si="6"/>
        <v>#DIV/0!</v>
      </c>
      <c r="F37" s="203">
        <f>SUMIF(修正!A45:A56,G2,修正!F45:F56)</f>
        <v>0</v>
      </c>
      <c r="G37" s="197" t="e">
        <f>ROUND(IF(E2="工业",C37*$M$39,C37*$M$38),0)</f>
        <v>#DIV/0!</v>
      </c>
      <c r="H37" s="197">
        <f t="shared" si="7"/>
        <v>0</v>
      </c>
      <c r="I37" s="197" t="e">
        <f t="shared" si="8"/>
        <v>#DIV/0!</v>
      </c>
      <c r="J37" s="2844"/>
      <c r="K37" s="1364"/>
      <c r="L37" s="2846" t="s">
        <v>2925</v>
      </c>
      <c r="M37" s="2847"/>
      <c r="N37" s="1364"/>
      <c r="O37" s="1364"/>
      <c r="P37" s="1364"/>
      <c r="Q37" s="1364"/>
      <c r="R37" s="1364"/>
      <c r="S37" s="1364"/>
      <c r="T37" s="1364"/>
      <c r="U37" s="1364"/>
      <c r="V37" s="1364"/>
      <c r="W37" s="1364"/>
      <c r="X37" s="1364"/>
      <c r="Y37" s="1364"/>
      <c r="Z37" s="1365"/>
    </row>
    <row r="38" spans="1:37">
      <c r="A38" s="2845"/>
      <c r="B38" s="2755" t="s">
        <v>2926</v>
      </c>
      <c r="C38" s="197" t="e">
        <f>ROUND(D5*C19*C41*C24*F38,0)</f>
        <v>#DIV/0!</v>
      </c>
      <c r="D38" s="2827"/>
      <c r="E38" s="197" t="e">
        <f t="shared" si="6"/>
        <v>#DIV/0!</v>
      </c>
      <c r="F38" s="203">
        <f>SUMIF(修正!A45:A56,G2,修正!G45:G56)</f>
        <v>0</v>
      </c>
      <c r="G38" s="197" t="e">
        <f>ROUND(IF(E2="工业",C38*$M$39,C38*$M$38),0)</f>
        <v>#DIV/0!</v>
      </c>
      <c r="H38" s="197">
        <f t="shared" si="7"/>
        <v>0</v>
      </c>
      <c r="I38" s="197" t="e">
        <f t="shared" si="8"/>
        <v>#DIV/0!</v>
      </c>
      <c r="J38" s="2844"/>
      <c r="K38" s="1364"/>
      <c r="L38" s="1880" t="s">
        <v>2927</v>
      </c>
      <c r="M38" s="2848">
        <v>0.25</v>
      </c>
      <c r="N38" s="1364"/>
      <c r="O38" s="1364"/>
      <c r="P38" s="1364"/>
      <c r="Q38" s="1364"/>
      <c r="R38" s="1364"/>
      <c r="S38" s="1364"/>
      <c r="T38" s="1364"/>
      <c r="U38" s="1364"/>
      <c r="V38" s="1364"/>
      <c r="W38" s="1364"/>
      <c r="X38" s="1364"/>
      <c r="Y38" s="1364"/>
      <c r="Z38" s="1365"/>
    </row>
    <row r="39" spans="1:37" ht="13.5" thickBot="1">
      <c r="A39" s="2831"/>
      <c r="B39" s="2849" t="s">
        <v>2928</v>
      </c>
      <c r="C39" s="226" t="e">
        <f>ROUND(D5*C19*C41*C24*F39,0)</f>
        <v>#DIV/0!</v>
      </c>
      <c r="D39" s="2833"/>
      <c r="E39" s="226" t="e">
        <f t="shared" si="6"/>
        <v>#DIV/0!</v>
      </c>
      <c r="F39" s="927">
        <f>SUMIF(修正!A45:A56,G2,修正!H45:H56)</f>
        <v>0</v>
      </c>
      <c r="G39" s="226" t="e">
        <f>ROUND(IF(E2="工业",C39*$M$39,C39*$M$38),0)</f>
        <v>#DIV/0!</v>
      </c>
      <c r="H39" s="226">
        <f t="shared" si="7"/>
        <v>0</v>
      </c>
      <c r="I39" s="226" t="e">
        <f t="shared" si="8"/>
        <v>#DIV/0!</v>
      </c>
      <c r="J39" s="2850"/>
      <c r="K39" s="1364"/>
      <c r="L39" s="2851" t="s">
        <v>2871</v>
      </c>
      <c r="M39" s="285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0" t="s">
        <v>3039</v>
      </c>
      <c r="C41" s="385" t="e">
        <f>ROUND(POWER(1+E41,H41-G41)*(POWER(1+E41,G41)-1)/(POWER(1+E41,H41)-1),4)</f>
        <v>#DIV/0!</v>
      </c>
      <c r="D41" s="197" t="s">
        <v>2878</v>
      </c>
      <c r="E41" s="2919">
        <f>G20</f>
        <v>0</v>
      </c>
      <c r="F41" s="197" t="s">
        <v>2887</v>
      </c>
      <c r="G41" s="215"/>
      <c r="H41" s="197">
        <v>50</v>
      </c>
      <c r="Z41" s="1365"/>
      <c r="AA41" s="1365"/>
      <c r="AB41" s="1365"/>
      <c r="AC41" s="1365"/>
      <c r="AD41" s="1365"/>
      <c r="AE41" s="1365"/>
      <c r="AF41" s="1365"/>
      <c r="AG41" s="1365"/>
      <c r="AH41" s="1365"/>
      <c r="AI41" s="1365"/>
      <c r="AJ41" s="1365"/>
    </row>
    <row r="42" spans="1:37" s="1364" customFormat="1">
      <c r="A42" s="1365"/>
      <c r="B42" s="2853"/>
      <c r="Z42" s="1365"/>
      <c r="AA42" s="1365"/>
      <c r="AB42" s="1365"/>
      <c r="AC42" s="1365"/>
      <c r="AD42" s="1365"/>
      <c r="AE42" s="1365"/>
      <c r="AF42" s="1365"/>
      <c r="AG42" s="1365"/>
      <c r="AH42" s="1365"/>
      <c r="AI42" s="1365"/>
      <c r="AJ42" s="1365"/>
    </row>
    <row r="43" spans="1:37" s="1364" customFormat="1">
      <c r="A43" s="1365"/>
      <c r="B43" s="2853"/>
      <c r="Z43" s="1365"/>
      <c r="AA43" s="1365"/>
      <c r="AB43" s="1365"/>
      <c r="AC43" s="1365"/>
      <c r="AD43" s="1365"/>
      <c r="AE43" s="1365"/>
      <c r="AF43" s="1365"/>
      <c r="AG43" s="1365"/>
      <c r="AH43" s="1365"/>
      <c r="AI43" s="1365"/>
      <c r="AJ43" s="1365"/>
    </row>
    <row r="44" spans="1:37" s="1364" customFormat="1">
      <c r="A44" s="1365"/>
      <c r="B44" s="2853"/>
      <c r="Z44" s="1365"/>
      <c r="AA44" s="1365"/>
      <c r="AB44" s="1365"/>
      <c r="AC44" s="1365"/>
      <c r="AD44" s="1365"/>
      <c r="AE44" s="1365"/>
      <c r="AF44" s="1365"/>
      <c r="AG44" s="1365"/>
      <c r="AH44" s="1365"/>
      <c r="AI44" s="1365"/>
      <c r="AJ44" s="1365"/>
    </row>
    <row r="45" spans="1:37" s="1364" customFormat="1" ht="15.75" thickBot="1">
      <c r="A45" s="2854" t="s">
        <v>2929</v>
      </c>
      <c r="B45" s="2855"/>
      <c r="C45" s="7"/>
      <c r="D45" s="7"/>
      <c r="E45" s="7"/>
      <c r="F45" s="6"/>
      <c r="G45" s="6"/>
      <c r="H45" s="6"/>
      <c r="I45" s="7"/>
      <c r="J45" s="7"/>
      <c r="K45" s="7"/>
      <c r="L45" s="7"/>
      <c r="M45" s="7"/>
      <c r="N45" s="2773"/>
      <c r="Z45" s="1365"/>
      <c r="AA45" s="1365"/>
      <c r="AB45" s="1365"/>
      <c r="AC45" s="1365"/>
      <c r="AD45" s="1365"/>
      <c r="AE45" s="1365"/>
      <c r="AF45" s="1365"/>
      <c r="AG45" s="1365"/>
      <c r="AH45" s="1365"/>
      <c r="AI45" s="1365"/>
      <c r="AJ45" s="1365"/>
    </row>
    <row r="46" spans="1:37" s="1364" customFormat="1" ht="15">
      <c r="A46" s="2856" t="s">
        <v>2930</v>
      </c>
      <c r="B46" s="2857">
        <f>1+E48</f>
        <v>1</v>
      </c>
      <c r="C46" s="2858"/>
      <c r="D46" s="809"/>
      <c r="E46" s="810"/>
      <c r="F46" s="2859"/>
      <c r="G46" s="6"/>
      <c r="H46" s="7"/>
      <c r="I46" s="7"/>
      <c r="J46" s="7"/>
      <c r="K46" s="7"/>
      <c r="L46" s="7"/>
      <c r="M46" s="7"/>
      <c r="N46" s="2773"/>
      <c r="Z46" s="1365"/>
      <c r="AA46" s="1365"/>
      <c r="AB46" s="1365"/>
      <c r="AC46" s="1365"/>
      <c r="AD46" s="1365"/>
      <c r="AE46" s="1365"/>
      <c r="AF46" s="1365"/>
      <c r="AG46" s="1365"/>
      <c r="AH46" s="1365"/>
      <c r="AI46" s="1365"/>
      <c r="AJ46" s="1365"/>
    </row>
    <row r="47" spans="1:37" s="1364" customFormat="1" ht="24.75">
      <c r="A47" s="2860" t="s">
        <v>2931</v>
      </c>
      <c r="B47" s="1802" t="s">
        <v>2932</v>
      </c>
      <c r="C47" s="1802" t="s">
        <v>2933</v>
      </c>
      <c r="D47" s="1802" t="s">
        <v>2934</v>
      </c>
      <c r="E47" s="814" t="s">
        <v>2935</v>
      </c>
      <c r="F47" s="2861" t="s">
        <v>2936</v>
      </c>
      <c r="G47" s="1802" t="s">
        <v>754</v>
      </c>
      <c r="H47" s="2862" t="s">
        <v>2937</v>
      </c>
      <c r="I47" s="1802" t="s">
        <v>2938</v>
      </c>
      <c r="J47" s="600" t="s">
        <v>2586</v>
      </c>
      <c r="K47" s="600" t="s">
        <v>2587</v>
      </c>
      <c r="L47" s="600" t="s">
        <v>2588</v>
      </c>
      <c r="M47" s="600" t="s">
        <v>2589</v>
      </c>
      <c r="N47" s="600" t="s">
        <v>2590</v>
      </c>
      <c r="AA47" s="1365"/>
      <c r="AB47" s="1365"/>
      <c r="AC47" s="1365"/>
      <c r="AD47" s="1365"/>
      <c r="AE47" s="1365"/>
      <c r="AF47" s="1365"/>
      <c r="AG47" s="1365"/>
      <c r="AH47" s="1365"/>
      <c r="AI47" s="1365"/>
      <c r="AJ47" s="1365"/>
      <c r="AK47" s="1365"/>
    </row>
    <row r="48" spans="1:37" s="1364" customFormat="1" ht="38.25">
      <c r="A48" s="2860" t="s">
        <v>2939</v>
      </c>
      <c r="B48" s="2863" t="str">
        <f>估价对象房地状况!C4</f>
        <v>估价对象位于XX商圈，周边商业氛围成熟，人流量大，商业繁华度好</v>
      </c>
      <c r="C48" s="2760"/>
      <c r="D48" s="1280">
        <f t="shared" ref="D48:D56" si="9">SUMIF($J$47:$N$47,C48,J48:N48)</f>
        <v>0</v>
      </c>
      <c r="E48" s="816">
        <f>ROUND(SUM(D48:D56),4)</f>
        <v>0</v>
      </c>
      <c r="F48" s="2493" t="str">
        <f>IF(E2="商业",SUMIF(L1:L12,G2,N1:N12),"——")</f>
        <v>——</v>
      </c>
      <c r="G48" s="1278"/>
      <c r="H48" s="1282" t="str">
        <f t="shared" ref="H48:H56" si="10">IFERROR(ROUNDDOWN($F$48*I48/2,4),"——")</f>
        <v>——</v>
      </c>
      <c r="I48" s="815">
        <v>0.33</v>
      </c>
      <c r="J48" s="1279">
        <f t="shared" ref="J48:J56" si="11">K48+$G48</f>
        <v>0</v>
      </c>
      <c r="K48" s="1279">
        <f t="shared" ref="K48:K56" si="12">$L48+$G48</f>
        <v>0</v>
      </c>
      <c r="L48" s="1279">
        <v>0</v>
      </c>
      <c r="M48" s="1279">
        <f t="shared" ref="M48:N56" si="13">L48-$G48</f>
        <v>0</v>
      </c>
      <c r="N48" s="1279">
        <f t="shared" si="13"/>
        <v>0</v>
      </c>
      <c r="AA48" s="1365"/>
      <c r="AB48" s="1365"/>
      <c r="AC48" s="1365"/>
      <c r="AD48" s="1365"/>
      <c r="AE48" s="1365"/>
      <c r="AF48" s="1365"/>
      <c r="AG48" s="1365"/>
      <c r="AH48" s="1365"/>
      <c r="AI48" s="1365"/>
      <c r="AJ48" s="1365"/>
      <c r="AK48" s="1365"/>
    </row>
    <row r="49" spans="1:37" s="1364" customFormat="1" ht="51">
      <c r="A49" s="2860" t="s">
        <v>2940</v>
      </c>
      <c r="B49" s="2864" t="str">
        <f>估价对象房地状况!C18</f>
        <v>估价对象周边道路状况、公共交通通达情况、停车便捷程度，综合评价交通便捷度较好</v>
      </c>
      <c r="C49" s="2760"/>
      <c r="D49" s="1280">
        <f t="shared" si="9"/>
        <v>0</v>
      </c>
      <c r="E49" s="817"/>
      <c r="F49" s="2493"/>
      <c r="G49" s="1278"/>
      <c r="H49" s="1282" t="str">
        <f t="shared" si="10"/>
        <v>——</v>
      </c>
      <c r="I49" s="815">
        <v>0.25</v>
      </c>
      <c r="J49" s="1279">
        <f t="shared" si="11"/>
        <v>0</v>
      </c>
      <c r="K49" s="1279">
        <f t="shared" si="12"/>
        <v>0</v>
      </c>
      <c r="L49" s="1279">
        <v>0</v>
      </c>
      <c r="M49" s="1279">
        <f t="shared" si="13"/>
        <v>0</v>
      </c>
      <c r="N49" s="1279">
        <f t="shared" si="13"/>
        <v>0</v>
      </c>
      <c r="AA49" s="1365"/>
      <c r="AB49" s="1365"/>
      <c r="AC49" s="1365"/>
      <c r="AD49" s="1365"/>
      <c r="AE49" s="1365"/>
      <c r="AF49" s="1365"/>
      <c r="AG49" s="1365"/>
      <c r="AH49" s="1365"/>
      <c r="AI49" s="1365"/>
      <c r="AJ49" s="1365"/>
      <c r="AK49" s="1365"/>
    </row>
    <row r="50" spans="1:37" s="1364" customFormat="1" ht="24">
      <c r="A50" s="2860" t="s">
        <v>2941</v>
      </c>
      <c r="B50" s="2864">
        <f>估价对象房地状况!C19</f>
        <v>0</v>
      </c>
      <c r="C50" s="2760"/>
      <c r="D50" s="1280">
        <f t="shared" si="9"/>
        <v>0</v>
      </c>
      <c r="E50" s="817"/>
      <c r="F50" s="2493"/>
      <c r="G50" s="1278"/>
      <c r="H50" s="1282" t="str">
        <f t="shared" si="10"/>
        <v>——</v>
      </c>
      <c r="I50" s="815">
        <v>0.05</v>
      </c>
      <c r="J50" s="1279">
        <f t="shared" si="11"/>
        <v>0</v>
      </c>
      <c r="K50" s="1279">
        <f t="shared" si="12"/>
        <v>0</v>
      </c>
      <c r="L50" s="1279">
        <v>0</v>
      </c>
      <c r="M50" s="1279">
        <f t="shared" si="13"/>
        <v>0</v>
      </c>
      <c r="N50" s="1279">
        <f t="shared" si="13"/>
        <v>0</v>
      </c>
      <c r="AA50" s="1365"/>
      <c r="AB50" s="1365"/>
      <c r="AC50" s="1365"/>
      <c r="AD50" s="1365"/>
      <c r="AE50" s="1365"/>
      <c r="AF50" s="1365"/>
      <c r="AG50" s="1365"/>
      <c r="AH50" s="1365"/>
      <c r="AI50" s="1365"/>
      <c r="AJ50" s="1365"/>
      <c r="AK50" s="1365"/>
    </row>
    <row r="51" spans="1:37" s="1364" customFormat="1" ht="36.75">
      <c r="A51" s="2860" t="s">
        <v>2942</v>
      </c>
      <c r="B51" s="2865" t="s">
        <v>2943</v>
      </c>
      <c r="C51" s="2760"/>
      <c r="D51" s="1280">
        <f t="shared" si="9"/>
        <v>0</v>
      </c>
      <c r="E51" s="817"/>
      <c r="F51" s="2493"/>
      <c r="G51" s="1278"/>
      <c r="H51" s="1282" t="str">
        <f t="shared" si="10"/>
        <v>——</v>
      </c>
      <c r="I51" s="815">
        <v>0.05</v>
      </c>
      <c r="J51" s="1279">
        <f t="shared" si="11"/>
        <v>0</v>
      </c>
      <c r="K51" s="1279">
        <f t="shared" si="12"/>
        <v>0</v>
      </c>
      <c r="L51" s="1279">
        <v>0</v>
      </c>
      <c r="M51" s="1279">
        <f t="shared" si="13"/>
        <v>0</v>
      </c>
      <c r="N51" s="1279">
        <f t="shared" si="13"/>
        <v>0</v>
      </c>
      <c r="AA51" s="1365"/>
      <c r="AB51" s="1365"/>
      <c r="AC51" s="1365"/>
      <c r="AD51" s="1365"/>
      <c r="AE51" s="1365"/>
      <c r="AF51" s="1365"/>
      <c r="AG51" s="1365"/>
      <c r="AH51" s="1365"/>
      <c r="AI51" s="1365"/>
      <c r="AJ51" s="1365"/>
      <c r="AK51" s="1365"/>
    </row>
    <row r="52" spans="1:37" s="1364" customFormat="1" ht="24">
      <c r="A52" s="2860" t="s">
        <v>2944</v>
      </c>
      <c r="B52" s="2864">
        <f>估价对象房地状况!C24</f>
        <v>0</v>
      </c>
      <c r="C52" s="2760"/>
      <c r="D52" s="1280">
        <f t="shared" si="9"/>
        <v>0</v>
      </c>
      <c r="E52" s="817"/>
      <c r="F52" s="2493"/>
      <c r="G52" s="1278"/>
      <c r="H52" s="1282" t="str">
        <f t="shared" si="10"/>
        <v>——</v>
      </c>
      <c r="I52" s="815">
        <v>0.08</v>
      </c>
      <c r="J52" s="1279">
        <f t="shared" si="11"/>
        <v>0</v>
      </c>
      <c r="K52" s="1279">
        <f t="shared" si="12"/>
        <v>0</v>
      </c>
      <c r="L52" s="1279">
        <v>0</v>
      </c>
      <c r="M52" s="1279">
        <f t="shared" si="13"/>
        <v>0</v>
      </c>
      <c r="N52" s="1279">
        <f t="shared" si="13"/>
        <v>0</v>
      </c>
      <c r="AA52" s="1365"/>
      <c r="AB52" s="1365"/>
      <c r="AC52" s="1365"/>
      <c r="AD52" s="1365"/>
      <c r="AE52" s="1365"/>
      <c r="AF52" s="1365"/>
      <c r="AG52" s="1365"/>
      <c r="AH52" s="1365"/>
      <c r="AI52" s="1365"/>
      <c r="AJ52" s="1365"/>
      <c r="AK52" s="1365"/>
    </row>
    <row r="53" spans="1:37" s="1364" customFormat="1" ht="24">
      <c r="A53" s="2860" t="s">
        <v>2945</v>
      </c>
      <c r="B53" s="2866" t="s">
        <v>2946</v>
      </c>
      <c r="C53" s="2760"/>
      <c r="D53" s="1280">
        <f t="shared" si="9"/>
        <v>0</v>
      </c>
      <c r="E53" s="817"/>
      <c r="F53" s="2493"/>
      <c r="G53" s="1278"/>
      <c r="H53" s="1282" t="str">
        <f t="shared" si="10"/>
        <v>——</v>
      </c>
      <c r="I53" s="815">
        <v>0.03</v>
      </c>
      <c r="J53" s="1279">
        <f t="shared" si="11"/>
        <v>0</v>
      </c>
      <c r="K53" s="1279">
        <f t="shared" si="12"/>
        <v>0</v>
      </c>
      <c r="L53" s="1279">
        <v>0</v>
      </c>
      <c r="M53" s="1279">
        <f t="shared" si="13"/>
        <v>0</v>
      </c>
      <c r="N53" s="1279">
        <f t="shared" si="13"/>
        <v>0</v>
      </c>
      <c r="AA53" s="1365"/>
      <c r="AB53" s="1365"/>
      <c r="AC53" s="1365"/>
      <c r="AD53" s="1365"/>
      <c r="AE53" s="1365"/>
      <c r="AF53" s="1365"/>
      <c r="AG53" s="1365"/>
      <c r="AH53" s="1365"/>
      <c r="AI53" s="1365"/>
      <c r="AJ53" s="1365"/>
      <c r="AK53" s="1365"/>
    </row>
    <row r="54" spans="1:37" s="1364" customFormat="1" ht="25.5">
      <c r="A54" s="2867" t="s">
        <v>2947</v>
      </c>
      <c r="B54" s="1718" t="str">
        <f>估价对象房地状况!C21</f>
        <v>估价对象所在区域公共配套设施齐备情况</v>
      </c>
      <c r="C54" s="2760"/>
      <c r="D54" s="1280">
        <f t="shared" si="9"/>
        <v>0</v>
      </c>
      <c r="E54" s="817"/>
      <c r="F54" s="2493"/>
      <c r="G54" s="1278"/>
      <c r="H54" s="1282" t="str">
        <f t="shared" si="10"/>
        <v>——</v>
      </c>
      <c r="I54" s="815">
        <v>0.05</v>
      </c>
      <c r="J54" s="1279">
        <f t="shared" si="11"/>
        <v>0</v>
      </c>
      <c r="K54" s="1279">
        <f t="shared" si="12"/>
        <v>0</v>
      </c>
      <c r="L54" s="1279">
        <v>0</v>
      </c>
      <c r="M54" s="1279">
        <f t="shared" si="13"/>
        <v>0</v>
      </c>
      <c r="N54" s="1279">
        <f t="shared" si="13"/>
        <v>0</v>
      </c>
      <c r="AA54" s="1365"/>
      <c r="AB54" s="1365"/>
      <c r="AC54" s="1365"/>
      <c r="AD54" s="1365"/>
      <c r="AE54" s="1365"/>
      <c r="AF54" s="1365"/>
      <c r="AG54" s="1365"/>
      <c r="AH54" s="1365"/>
      <c r="AI54" s="1365"/>
      <c r="AJ54" s="1365"/>
      <c r="AK54" s="1365"/>
    </row>
    <row r="55" spans="1:37" s="1364" customFormat="1" ht="25.5">
      <c r="A55" s="2867" t="s">
        <v>2948</v>
      </c>
      <c r="B55" s="2864" t="str">
        <f>估价对象房地状况!C22</f>
        <v>估价对象所在区域基础设施水平</v>
      </c>
      <c r="C55" s="2760"/>
      <c r="D55" s="1280">
        <f t="shared" si="9"/>
        <v>0</v>
      </c>
      <c r="E55" s="817"/>
      <c r="F55" s="2493"/>
      <c r="G55" s="1278"/>
      <c r="H55" s="1282" t="str">
        <f t="shared" si="10"/>
        <v>——</v>
      </c>
      <c r="I55" s="815">
        <v>0.1</v>
      </c>
      <c r="J55" s="1279">
        <f t="shared" si="11"/>
        <v>0</v>
      </c>
      <c r="K55" s="1279">
        <f t="shared" si="12"/>
        <v>0</v>
      </c>
      <c r="L55" s="1279">
        <v>0</v>
      </c>
      <c r="M55" s="1279">
        <f t="shared" si="13"/>
        <v>0</v>
      </c>
      <c r="N55" s="1279">
        <f t="shared" si="13"/>
        <v>0</v>
      </c>
      <c r="AA55" s="1365"/>
      <c r="AB55" s="1365"/>
      <c r="AC55" s="1365"/>
      <c r="AD55" s="1365"/>
      <c r="AE55" s="1365"/>
      <c r="AF55" s="1365"/>
      <c r="AG55" s="1365"/>
      <c r="AH55" s="1365"/>
      <c r="AI55" s="1365"/>
      <c r="AJ55" s="1365"/>
      <c r="AK55" s="1365"/>
    </row>
    <row r="56" spans="1:37" s="1364" customFormat="1" ht="39" thickBot="1">
      <c r="A56" s="2868" t="s">
        <v>2949</v>
      </c>
      <c r="B56" s="2869" t="str">
        <f>估价对象房地状况!C20</f>
        <v>区域自然环境：；人文环境；综合评价环境状况一般</v>
      </c>
      <c r="C56" s="2760"/>
      <c r="D56" s="1280">
        <f t="shared" si="9"/>
        <v>0</v>
      </c>
      <c r="E56" s="820"/>
      <c r="F56" s="2493"/>
      <c r="G56" s="1278"/>
      <c r="H56" s="1282" t="str">
        <f t="shared" si="10"/>
        <v>——</v>
      </c>
      <c r="I56" s="819">
        <v>0.06</v>
      </c>
      <c r="J56" s="1279">
        <f t="shared" si="11"/>
        <v>0</v>
      </c>
      <c r="K56" s="1279">
        <f t="shared" si="12"/>
        <v>0</v>
      </c>
      <c r="L56" s="1279">
        <v>0</v>
      </c>
      <c r="M56" s="1279">
        <f t="shared" si="13"/>
        <v>0</v>
      </c>
      <c r="N56" s="1279">
        <f t="shared" si="13"/>
        <v>0</v>
      </c>
      <c r="AA56" s="1365"/>
      <c r="AB56" s="1365"/>
      <c r="AC56" s="1365"/>
      <c r="AD56" s="1365"/>
      <c r="AE56" s="1365"/>
      <c r="AF56" s="1365"/>
      <c r="AG56" s="1365"/>
      <c r="AH56" s="1365"/>
      <c r="AI56" s="1365"/>
      <c r="AJ56" s="1365"/>
      <c r="AK56" s="1365"/>
    </row>
    <row r="57" spans="1:37" s="1364" customFormat="1" ht="15">
      <c r="A57" s="2856" t="s">
        <v>2950</v>
      </c>
      <c r="B57" s="2857">
        <f>1+E59</f>
        <v>1</v>
      </c>
      <c r="C57" s="809"/>
      <c r="D57" s="809"/>
      <c r="E57" s="810"/>
      <c r="F57" s="285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0" t="s">
        <v>2931</v>
      </c>
      <c r="B58" s="1802"/>
      <c r="C58" s="1802" t="s">
        <v>2933</v>
      </c>
      <c r="D58" s="1802" t="s">
        <v>2934</v>
      </c>
      <c r="E58" s="814" t="s">
        <v>2935</v>
      </c>
      <c r="F58" s="2861" t="s">
        <v>2951</v>
      </c>
      <c r="G58" s="1802" t="s">
        <v>754</v>
      </c>
      <c r="H58" s="2862" t="s">
        <v>2937</v>
      </c>
      <c r="I58" s="1802" t="s">
        <v>2938</v>
      </c>
      <c r="J58" s="600" t="s">
        <v>2586</v>
      </c>
      <c r="K58" s="600" t="s">
        <v>2587</v>
      </c>
      <c r="L58" s="600" t="s">
        <v>2588</v>
      </c>
      <c r="M58" s="600" t="s">
        <v>2589</v>
      </c>
      <c r="N58" s="600" t="s">
        <v>2590</v>
      </c>
      <c r="AA58" s="1365"/>
      <c r="AB58" s="1365"/>
      <c r="AC58" s="1365"/>
      <c r="AD58" s="1365"/>
      <c r="AE58" s="1365"/>
      <c r="AF58" s="1365"/>
      <c r="AG58" s="1365"/>
      <c r="AH58" s="1365"/>
      <c r="AI58" s="1365"/>
      <c r="AJ58" s="1365"/>
      <c r="AK58" s="1365"/>
    </row>
    <row r="59" spans="1:37" s="1364" customFormat="1" ht="38.25">
      <c r="A59" s="2860" t="s">
        <v>2952</v>
      </c>
      <c r="B59" s="2863" t="str">
        <f>估价对象房地状况!C17</f>
        <v>估价对象位于XX商圈，周边办公楼项目较多，入驻率高，办公集聚程度较好</v>
      </c>
      <c r="C59" s="2760"/>
      <c r="D59" s="1280">
        <f t="shared" ref="D59:D67" si="14">SUMIF($J$58:$N$58,C59,J59:N59)</f>
        <v>0</v>
      </c>
      <c r="E59" s="816">
        <f>ROUND(SUM(D59:D67),4)</f>
        <v>0</v>
      </c>
      <c r="F59" s="2493" t="str">
        <f>IF(E2="办公",SUMIF(L1:L12,G2,N1:N12),"——")</f>
        <v>——</v>
      </c>
      <c r="G59" s="1278"/>
      <c r="H59" s="1282" t="str">
        <f t="shared" ref="H59:H67" si="15">IFERROR(ROUNDDOWN($F$59*I59/2,4),"——")</f>
        <v>——</v>
      </c>
      <c r="I59" s="815">
        <v>0.24</v>
      </c>
      <c r="J59" s="1279">
        <f t="shared" ref="J59:J67" si="16">K59+$G59</f>
        <v>0</v>
      </c>
      <c r="K59" s="1279">
        <f t="shared" ref="K59:K67" si="17">$L59+$G59</f>
        <v>0</v>
      </c>
      <c r="L59" s="1279">
        <v>0</v>
      </c>
      <c r="M59" s="1279">
        <f t="shared" ref="M59:N67" si="18">L59-$G59</f>
        <v>0</v>
      </c>
      <c r="N59" s="1279">
        <f t="shared" si="18"/>
        <v>0</v>
      </c>
      <c r="AA59" s="1365"/>
      <c r="AB59" s="1365"/>
      <c r="AC59" s="1365"/>
      <c r="AD59" s="1365"/>
      <c r="AE59" s="1365"/>
      <c r="AF59" s="1365"/>
      <c r="AG59" s="1365"/>
      <c r="AH59" s="1365"/>
      <c r="AI59" s="1365"/>
      <c r="AJ59" s="1365"/>
      <c r="AK59" s="1365"/>
    </row>
    <row r="60" spans="1:37" s="1364" customFormat="1" ht="51">
      <c r="A60" s="2860" t="s">
        <v>2940</v>
      </c>
      <c r="B60" s="2864" t="str">
        <f>估价对象房地状况!C18</f>
        <v>估价对象周边道路状况、公共交通通达情况、停车便捷程度，综合评价交通便捷度较好</v>
      </c>
      <c r="C60" s="2760"/>
      <c r="D60" s="1280">
        <f t="shared" si="14"/>
        <v>0</v>
      </c>
      <c r="E60" s="817"/>
      <c r="F60" s="2493"/>
      <c r="G60" s="1278"/>
      <c r="H60" s="1282" t="str">
        <f t="shared" si="15"/>
        <v>——</v>
      </c>
      <c r="I60" s="815">
        <v>0.3</v>
      </c>
      <c r="J60" s="1279">
        <f t="shared" si="16"/>
        <v>0</v>
      </c>
      <c r="K60" s="1279">
        <f t="shared" si="17"/>
        <v>0</v>
      </c>
      <c r="L60" s="1279">
        <v>0</v>
      </c>
      <c r="M60" s="1279">
        <f t="shared" si="18"/>
        <v>0</v>
      </c>
      <c r="N60" s="1279">
        <f t="shared" si="18"/>
        <v>0</v>
      </c>
      <c r="AA60" s="1365"/>
      <c r="AB60" s="1365"/>
      <c r="AC60" s="1365"/>
      <c r="AD60" s="1365"/>
      <c r="AE60" s="1365"/>
      <c r="AF60" s="1365"/>
      <c r="AG60" s="1365"/>
      <c r="AH60" s="1365"/>
      <c r="AI60" s="1365"/>
      <c r="AJ60" s="1365"/>
      <c r="AK60" s="1365"/>
    </row>
    <row r="61" spans="1:37" s="1364" customFormat="1" ht="24">
      <c r="A61" s="2860" t="s">
        <v>2941</v>
      </c>
      <c r="B61" s="2864">
        <f>估价对象房地状况!C19</f>
        <v>0</v>
      </c>
      <c r="C61" s="2760"/>
      <c r="D61" s="1280">
        <f t="shared" si="14"/>
        <v>0</v>
      </c>
      <c r="E61" s="817"/>
      <c r="F61" s="2493"/>
      <c r="G61" s="1278"/>
      <c r="H61" s="1282" t="str">
        <f t="shared" si="15"/>
        <v>——</v>
      </c>
      <c r="I61" s="815">
        <v>0.08</v>
      </c>
      <c r="J61" s="1279">
        <f t="shared" si="16"/>
        <v>0</v>
      </c>
      <c r="K61" s="1279">
        <f t="shared" si="17"/>
        <v>0</v>
      </c>
      <c r="L61" s="1279">
        <v>0</v>
      </c>
      <c r="M61" s="1279">
        <f t="shared" si="18"/>
        <v>0</v>
      </c>
      <c r="N61" s="1279">
        <f t="shared" si="18"/>
        <v>0</v>
      </c>
      <c r="AA61" s="1365"/>
      <c r="AB61" s="1365"/>
      <c r="AC61" s="1365"/>
      <c r="AD61" s="1365"/>
      <c r="AE61" s="1365"/>
      <c r="AF61" s="1365"/>
      <c r="AG61" s="1365"/>
      <c r="AH61" s="1365"/>
      <c r="AI61" s="1365"/>
      <c r="AJ61" s="1365"/>
      <c r="AK61" s="1365"/>
    </row>
    <row r="62" spans="1:37" s="1364" customFormat="1" ht="36.75">
      <c r="A62" s="2860" t="s">
        <v>2942</v>
      </c>
      <c r="B62" s="2865" t="s">
        <v>2943</v>
      </c>
      <c r="C62" s="2760"/>
      <c r="D62" s="1280">
        <f t="shared" si="14"/>
        <v>0</v>
      </c>
      <c r="E62" s="817"/>
      <c r="F62" s="2493"/>
      <c r="G62" s="1278"/>
      <c r="H62" s="1282" t="str">
        <f t="shared" si="15"/>
        <v>——</v>
      </c>
      <c r="I62" s="815">
        <v>0.04</v>
      </c>
      <c r="J62" s="1279">
        <f t="shared" si="16"/>
        <v>0</v>
      </c>
      <c r="K62" s="1279">
        <f t="shared" si="17"/>
        <v>0</v>
      </c>
      <c r="L62" s="1279">
        <v>0</v>
      </c>
      <c r="M62" s="1279">
        <f t="shared" si="18"/>
        <v>0</v>
      </c>
      <c r="N62" s="1279">
        <f t="shared" si="18"/>
        <v>0</v>
      </c>
      <c r="AA62" s="1365"/>
      <c r="AB62" s="1365"/>
      <c r="AC62" s="1365"/>
      <c r="AD62" s="1365"/>
      <c r="AE62" s="1365"/>
      <c r="AF62" s="1365"/>
      <c r="AG62" s="1365"/>
      <c r="AH62" s="1365"/>
      <c r="AI62" s="1365"/>
      <c r="AJ62" s="1365"/>
      <c r="AK62" s="1365"/>
    </row>
    <row r="63" spans="1:37" s="1364" customFormat="1" ht="24">
      <c r="A63" s="2860" t="s">
        <v>2944</v>
      </c>
      <c r="B63" s="2864">
        <f>估价对象房地状况!C24</f>
        <v>0</v>
      </c>
      <c r="C63" s="2760"/>
      <c r="D63" s="1280">
        <f t="shared" si="14"/>
        <v>0</v>
      </c>
      <c r="E63" s="817"/>
      <c r="F63" s="2493"/>
      <c r="G63" s="1278"/>
      <c r="H63" s="1282" t="str">
        <f t="shared" si="15"/>
        <v>——</v>
      </c>
      <c r="I63" s="815">
        <v>0.05</v>
      </c>
      <c r="J63" s="1279">
        <f t="shared" si="16"/>
        <v>0</v>
      </c>
      <c r="K63" s="1279">
        <f t="shared" si="17"/>
        <v>0</v>
      </c>
      <c r="L63" s="1279">
        <v>0</v>
      </c>
      <c r="M63" s="1279">
        <f t="shared" si="18"/>
        <v>0</v>
      </c>
      <c r="N63" s="1279">
        <f t="shared" si="18"/>
        <v>0</v>
      </c>
      <c r="AA63" s="1365"/>
      <c r="AB63" s="1365"/>
      <c r="AC63" s="1365"/>
      <c r="AD63" s="1365"/>
      <c r="AE63" s="1365"/>
      <c r="AF63" s="1365"/>
      <c r="AG63" s="1365"/>
      <c r="AH63" s="1365"/>
      <c r="AI63" s="1365"/>
      <c r="AJ63" s="1365"/>
      <c r="AK63" s="1365"/>
    </row>
    <row r="64" spans="1:37" s="1364" customFormat="1" ht="24">
      <c r="A64" s="2860" t="s">
        <v>2945</v>
      </c>
      <c r="B64" s="2866" t="s">
        <v>2946</v>
      </c>
      <c r="C64" s="2760"/>
      <c r="D64" s="1280">
        <f t="shared" si="14"/>
        <v>0</v>
      </c>
      <c r="E64" s="817"/>
      <c r="F64" s="2493"/>
      <c r="G64" s="1278"/>
      <c r="H64" s="1282" t="str">
        <f t="shared" si="15"/>
        <v>——</v>
      </c>
      <c r="I64" s="815">
        <v>0.05</v>
      </c>
      <c r="J64" s="1279">
        <f t="shared" si="16"/>
        <v>0</v>
      </c>
      <c r="K64" s="1279">
        <f t="shared" si="17"/>
        <v>0</v>
      </c>
      <c r="L64" s="1279">
        <v>0</v>
      </c>
      <c r="M64" s="1279">
        <f t="shared" si="18"/>
        <v>0</v>
      </c>
      <c r="N64" s="1279">
        <f t="shared" si="18"/>
        <v>0</v>
      </c>
      <c r="AA64" s="1365"/>
      <c r="AB64" s="1365"/>
      <c r="AC64" s="1365"/>
      <c r="AD64" s="1365"/>
      <c r="AE64" s="1365"/>
      <c r="AF64" s="1365"/>
      <c r="AG64" s="1365"/>
      <c r="AH64" s="1365"/>
      <c r="AI64" s="1365"/>
      <c r="AJ64" s="1365"/>
      <c r="AK64" s="1365"/>
    </row>
    <row r="65" spans="1:37" s="1364" customFormat="1" ht="25.5">
      <c r="A65" s="2860" t="s">
        <v>2947</v>
      </c>
      <c r="B65" s="1718" t="str">
        <f>估价对象房地状况!C21</f>
        <v>估价对象所在区域公共配套设施齐备情况</v>
      </c>
      <c r="C65" s="2760"/>
      <c r="D65" s="1280">
        <f t="shared" si="14"/>
        <v>0</v>
      </c>
      <c r="E65" s="817"/>
      <c r="F65" s="2493"/>
      <c r="G65" s="1278"/>
      <c r="H65" s="1282" t="str">
        <f t="shared" si="15"/>
        <v>——</v>
      </c>
      <c r="I65" s="815">
        <v>0.06</v>
      </c>
      <c r="J65" s="1279">
        <f t="shared" si="16"/>
        <v>0</v>
      </c>
      <c r="K65" s="1279">
        <f t="shared" si="17"/>
        <v>0</v>
      </c>
      <c r="L65" s="1279">
        <v>0</v>
      </c>
      <c r="M65" s="1279">
        <f t="shared" si="18"/>
        <v>0</v>
      </c>
      <c r="N65" s="1279">
        <f t="shared" si="18"/>
        <v>0</v>
      </c>
      <c r="AA65" s="1365"/>
      <c r="AB65" s="1365"/>
      <c r="AC65" s="1365"/>
      <c r="AD65" s="1365"/>
      <c r="AE65" s="1365"/>
      <c r="AF65" s="1365"/>
      <c r="AG65" s="1365"/>
      <c r="AH65" s="1365"/>
      <c r="AI65" s="1365"/>
      <c r="AJ65" s="1365"/>
      <c r="AK65" s="1365"/>
    </row>
    <row r="66" spans="1:37" s="1364" customFormat="1" ht="25.5">
      <c r="A66" s="2860" t="s">
        <v>2948</v>
      </c>
      <c r="B66" s="1718" t="str">
        <f>估价对象房地状况!C22</f>
        <v>估价对象所在区域基础设施水平</v>
      </c>
      <c r="C66" s="2760"/>
      <c r="D66" s="1280">
        <f t="shared" si="14"/>
        <v>0</v>
      </c>
      <c r="E66" s="817"/>
      <c r="F66" s="2493"/>
      <c r="G66" s="1278"/>
      <c r="H66" s="1282" t="str">
        <f t="shared" si="15"/>
        <v>——</v>
      </c>
      <c r="I66" s="815">
        <v>0.12</v>
      </c>
      <c r="J66" s="1279">
        <f t="shared" si="16"/>
        <v>0</v>
      </c>
      <c r="K66" s="1279">
        <f t="shared" si="17"/>
        <v>0</v>
      </c>
      <c r="L66" s="1279">
        <v>0</v>
      </c>
      <c r="M66" s="1279">
        <f t="shared" si="18"/>
        <v>0</v>
      </c>
      <c r="N66" s="1279">
        <f t="shared" si="18"/>
        <v>0</v>
      </c>
      <c r="AA66" s="1365"/>
      <c r="AB66" s="1365"/>
      <c r="AC66" s="1365"/>
      <c r="AD66" s="1365"/>
      <c r="AE66" s="1365"/>
      <c r="AF66" s="1365"/>
      <c r="AG66" s="1365"/>
      <c r="AH66" s="1365"/>
      <c r="AI66" s="1365"/>
      <c r="AJ66" s="1365"/>
      <c r="AK66" s="1365"/>
    </row>
    <row r="67" spans="1:37" s="1364" customFormat="1" ht="39" thickBot="1">
      <c r="A67" s="2868" t="s">
        <v>2949</v>
      </c>
      <c r="B67" s="2870" t="str">
        <f>估价对象房地状况!C20</f>
        <v>区域自然环境：；人文环境；综合评价环境状况一般</v>
      </c>
      <c r="C67" s="2760"/>
      <c r="D67" s="1280">
        <f t="shared" si="14"/>
        <v>0</v>
      </c>
      <c r="E67" s="820"/>
      <c r="F67" s="2493"/>
      <c r="G67" s="1278"/>
      <c r="H67" s="1282" t="str">
        <f t="shared" si="15"/>
        <v>——</v>
      </c>
      <c r="I67" s="819">
        <v>0.06</v>
      </c>
      <c r="J67" s="1279">
        <f t="shared" si="16"/>
        <v>0</v>
      </c>
      <c r="K67" s="1279">
        <f t="shared" si="17"/>
        <v>0</v>
      </c>
      <c r="L67" s="1279">
        <v>0</v>
      </c>
      <c r="M67" s="1279">
        <f t="shared" si="18"/>
        <v>0</v>
      </c>
      <c r="N67" s="1279">
        <f t="shared" si="18"/>
        <v>0</v>
      </c>
      <c r="AA67" s="1365"/>
      <c r="AB67" s="1365"/>
      <c r="AC67" s="1365"/>
      <c r="AD67" s="1365"/>
      <c r="AE67" s="1365"/>
      <c r="AF67" s="1365"/>
      <c r="AG67" s="1365"/>
      <c r="AH67" s="1365"/>
      <c r="AI67" s="1365"/>
      <c r="AJ67" s="1365"/>
      <c r="AK67" s="1365"/>
    </row>
    <row r="68" spans="1:37" s="1364" customFormat="1" ht="15">
      <c r="A68" s="2856" t="s">
        <v>2953</v>
      </c>
      <c r="B68" s="2857">
        <f>1+E70</f>
        <v>1</v>
      </c>
      <c r="C68" s="809"/>
      <c r="D68" s="809"/>
      <c r="E68" s="810"/>
      <c r="F68" s="285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0" t="s">
        <v>2931</v>
      </c>
      <c r="B69" s="1802"/>
      <c r="C69" s="1802" t="s">
        <v>2933</v>
      </c>
      <c r="D69" s="1802" t="s">
        <v>2934</v>
      </c>
      <c r="E69" s="814" t="s">
        <v>2935</v>
      </c>
      <c r="F69" s="2861" t="s">
        <v>2951</v>
      </c>
      <c r="G69" s="1802" t="s">
        <v>754</v>
      </c>
      <c r="H69" s="2862" t="s">
        <v>2937</v>
      </c>
      <c r="I69" s="1802" t="s">
        <v>2938</v>
      </c>
      <c r="J69" s="600" t="s">
        <v>2586</v>
      </c>
      <c r="K69" s="600" t="s">
        <v>2587</v>
      </c>
      <c r="L69" s="600" t="s">
        <v>2588</v>
      </c>
      <c r="M69" s="600" t="s">
        <v>2589</v>
      </c>
      <c r="N69" s="600" t="s">
        <v>2590</v>
      </c>
      <c r="AA69" s="1365"/>
      <c r="AB69" s="1365"/>
      <c r="AC69" s="1365"/>
      <c r="AD69" s="1365"/>
      <c r="AE69" s="1365"/>
      <c r="AF69" s="1365"/>
      <c r="AG69" s="1365"/>
      <c r="AH69" s="1365"/>
      <c r="AI69" s="1365"/>
      <c r="AJ69" s="1365"/>
      <c r="AK69" s="1365"/>
    </row>
    <row r="70" spans="1:37" s="1364" customFormat="1" ht="51">
      <c r="A70" s="2860" t="s">
        <v>2954</v>
      </c>
      <c r="B70" s="2863" t="str">
        <f>估价对象房地状况!C15</f>
        <v>估价对象周边居住用地比例、居住小区规模和社区发展完善程度，综合评价居住社区成熟度一般</v>
      </c>
      <c r="C70" s="2760"/>
      <c r="D70" s="1280">
        <f t="shared" ref="D70:D78" si="19">SUMIF($J$69:$N$69,C70,J70:N70)</f>
        <v>0</v>
      </c>
      <c r="E70" s="816">
        <f>ROUND(SUM(D70:D78),4)</f>
        <v>0</v>
      </c>
      <c r="F70" s="2493" t="str">
        <f>IF(E2="住宅",SUMIF(L1:L12,G2,N1:N12),"——")</f>
        <v>——</v>
      </c>
      <c r="G70" s="1278"/>
      <c r="H70" s="1282" t="str">
        <f t="shared" ref="H70:H78" si="20">IFERROR(ROUNDDOWN($F$70*I70/2,4),"——")</f>
        <v>——</v>
      </c>
      <c r="I70" s="815">
        <v>0.14000000000000001</v>
      </c>
      <c r="J70" s="1279">
        <f t="shared" ref="J70:J78" si="21">K70+$G70</f>
        <v>0</v>
      </c>
      <c r="K70" s="1279">
        <f t="shared" ref="K70:K78" si="22">$L70+$G70</f>
        <v>0</v>
      </c>
      <c r="L70" s="1279">
        <v>0</v>
      </c>
      <c r="M70" s="1279">
        <f t="shared" ref="M70:N78" si="23">L70-$G70</f>
        <v>0</v>
      </c>
      <c r="N70" s="1279">
        <f t="shared" si="23"/>
        <v>0</v>
      </c>
      <c r="AA70" s="1365"/>
      <c r="AB70" s="1365"/>
      <c r="AC70" s="1365"/>
      <c r="AD70" s="1365"/>
      <c r="AE70" s="1365"/>
      <c r="AF70" s="1365"/>
      <c r="AG70" s="1365"/>
      <c r="AH70" s="1365"/>
      <c r="AI70" s="1365"/>
      <c r="AJ70" s="1365"/>
      <c r="AK70" s="1365"/>
    </row>
    <row r="71" spans="1:37" s="1364" customFormat="1" ht="51">
      <c r="A71" s="2860" t="s">
        <v>2940</v>
      </c>
      <c r="B71" s="2864" t="str">
        <f>估价对象房地状况!C18</f>
        <v>估价对象周边道路状况、公共交通通达情况、停车便捷程度，综合评价交通便捷度较好</v>
      </c>
      <c r="C71" s="2760"/>
      <c r="D71" s="1280">
        <f t="shared" si="19"/>
        <v>0</v>
      </c>
      <c r="E71" s="821"/>
      <c r="F71" s="2493"/>
      <c r="G71" s="1278"/>
      <c r="H71" s="1282" t="str">
        <f t="shared" si="20"/>
        <v>——</v>
      </c>
      <c r="I71" s="815">
        <v>0.3</v>
      </c>
      <c r="J71" s="1279">
        <f t="shared" si="21"/>
        <v>0</v>
      </c>
      <c r="K71" s="1279">
        <f t="shared" si="22"/>
        <v>0</v>
      </c>
      <c r="L71" s="1279">
        <v>0</v>
      </c>
      <c r="M71" s="1279">
        <f t="shared" si="23"/>
        <v>0</v>
      </c>
      <c r="N71" s="1279">
        <f t="shared" si="23"/>
        <v>0</v>
      </c>
      <c r="AA71" s="1365"/>
      <c r="AB71" s="1365"/>
      <c r="AC71" s="1365"/>
      <c r="AD71" s="1365"/>
      <c r="AE71" s="1365"/>
      <c r="AF71" s="1365"/>
      <c r="AG71" s="1365"/>
      <c r="AH71" s="1365"/>
      <c r="AI71" s="1365"/>
      <c r="AJ71" s="1365"/>
      <c r="AK71" s="1365"/>
    </row>
    <row r="72" spans="1:37" s="1364" customFormat="1" ht="24">
      <c r="A72" s="2860" t="s">
        <v>2941</v>
      </c>
      <c r="B72" s="2864">
        <f>估价对象房地状况!C19</f>
        <v>0</v>
      </c>
      <c r="C72" s="2760"/>
      <c r="D72" s="1280">
        <f t="shared" si="19"/>
        <v>0</v>
      </c>
      <c r="E72" s="821"/>
      <c r="F72" s="2493"/>
      <c r="G72" s="1278"/>
      <c r="H72" s="1282" t="str">
        <f t="shared" si="20"/>
        <v>——</v>
      </c>
      <c r="I72" s="815">
        <v>0.08</v>
      </c>
      <c r="J72" s="1279">
        <f t="shared" si="21"/>
        <v>0</v>
      </c>
      <c r="K72" s="1279">
        <f t="shared" si="22"/>
        <v>0</v>
      </c>
      <c r="L72" s="1279">
        <v>0</v>
      </c>
      <c r="M72" s="1279">
        <f t="shared" si="23"/>
        <v>0</v>
      </c>
      <c r="N72" s="1279">
        <f t="shared" si="23"/>
        <v>0</v>
      </c>
      <c r="AA72" s="1365"/>
      <c r="AB72" s="1365"/>
      <c r="AC72" s="1365"/>
      <c r="AD72" s="1365"/>
      <c r="AE72" s="1365"/>
      <c r="AF72" s="1365"/>
      <c r="AG72" s="1365"/>
      <c r="AH72" s="1365"/>
      <c r="AI72" s="1365"/>
      <c r="AJ72" s="1365"/>
      <c r="AK72" s="1365"/>
    </row>
    <row r="73" spans="1:37" s="1364" customFormat="1" ht="14.25">
      <c r="A73" s="2860" t="s">
        <v>2955</v>
      </c>
      <c r="B73" s="2864">
        <f>估价对象房地状况!C24</f>
        <v>0</v>
      </c>
      <c r="C73" s="2760"/>
      <c r="D73" s="1280">
        <f t="shared" si="19"/>
        <v>0</v>
      </c>
      <c r="E73" s="821"/>
      <c r="F73" s="2493"/>
      <c r="G73" s="1278"/>
      <c r="H73" s="1282" t="str">
        <f t="shared" si="20"/>
        <v>——</v>
      </c>
      <c r="I73" s="815">
        <v>0.04</v>
      </c>
      <c r="J73" s="1279">
        <f t="shared" si="21"/>
        <v>0</v>
      </c>
      <c r="K73" s="1279">
        <f t="shared" si="22"/>
        <v>0</v>
      </c>
      <c r="L73" s="1279">
        <v>0</v>
      </c>
      <c r="M73" s="1279">
        <f t="shared" si="23"/>
        <v>0</v>
      </c>
      <c r="N73" s="1279">
        <f t="shared" si="23"/>
        <v>0</v>
      </c>
      <c r="AA73" s="1365"/>
      <c r="AB73" s="1365"/>
      <c r="AC73" s="1365"/>
      <c r="AD73" s="1365"/>
      <c r="AE73" s="1365"/>
      <c r="AF73" s="1365"/>
      <c r="AG73" s="1365"/>
      <c r="AH73" s="1365"/>
      <c r="AI73" s="1365"/>
      <c r="AJ73" s="1365"/>
      <c r="AK73" s="1365"/>
    </row>
    <row r="74" spans="1:37" s="1364" customFormat="1" ht="25.5">
      <c r="A74" s="2860" t="s">
        <v>2947</v>
      </c>
      <c r="B74" s="1718" t="str">
        <f>估价对象房地状况!C21</f>
        <v>估价对象所在区域公共配套设施齐备情况</v>
      </c>
      <c r="C74" s="2760"/>
      <c r="D74" s="1280">
        <f t="shared" si="19"/>
        <v>0</v>
      </c>
      <c r="E74" s="821"/>
      <c r="F74" s="2493"/>
      <c r="G74" s="1278"/>
      <c r="H74" s="1282" t="str">
        <f t="shared" si="20"/>
        <v>——</v>
      </c>
      <c r="I74" s="815">
        <v>0.08</v>
      </c>
      <c r="J74" s="1279">
        <f t="shared" si="21"/>
        <v>0</v>
      </c>
      <c r="K74" s="1279">
        <f t="shared" si="22"/>
        <v>0</v>
      </c>
      <c r="L74" s="1279">
        <v>0</v>
      </c>
      <c r="M74" s="1279">
        <f t="shared" si="23"/>
        <v>0</v>
      </c>
      <c r="N74" s="1279">
        <f t="shared" si="23"/>
        <v>0</v>
      </c>
      <c r="AA74" s="1365"/>
      <c r="AB74" s="1365"/>
      <c r="AC74" s="1365"/>
      <c r="AD74" s="1365"/>
      <c r="AE74" s="1365"/>
      <c r="AF74" s="1365"/>
      <c r="AG74" s="1365"/>
      <c r="AH74" s="1365"/>
      <c r="AI74" s="1365"/>
      <c r="AJ74" s="1365"/>
      <c r="AK74" s="1365"/>
    </row>
    <row r="75" spans="1:37" s="1364" customFormat="1" ht="25.5">
      <c r="A75" s="2860" t="s">
        <v>2948</v>
      </c>
      <c r="B75" s="1718" t="str">
        <f>估价对象房地状况!C22</f>
        <v>估价对象所在区域基础设施水平</v>
      </c>
      <c r="C75" s="2760"/>
      <c r="D75" s="1280">
        <f t="shared" si="19"/>
        <v>0</v>
      </c>
      <c r="E75" s="821"/>
      <c r="F75" s="2493"/>
      <c r="G75" s="1278"/>
      <c r="H75" s="1282" t="str">
        <f t="shared" si="20"/>
        <v>——</v>
      </c>
      <c r="I75" s="815">
        <v>0.12</v>
      </c>
      <c r="J75" s="1279">
        <f t="shared" si="21"/>
        <v>0</v>
      </c>
      <c r="K75" s="1279">
        <f t="shared" si="22"/>
        <v>0</v>
      </c>
      <c r="L75" s="1279">
        <v>0</v>
      </c>
      <c r="M75" s="1279">
        <f t="shared" si="23"/>
        <v>0</v>
      </c>
      <c r="N75" s="1279">
        <f t="shared" si="23"/>
        <v>0</v>
      </c>
      <c r="AA75" s="1365"/>
      <c r="AB75" s="1365"/>
      <c r="AC75" s="1365"/>
      <c r="AD75" s="1365"/>
      <c r="AE75" s="1365"/>
      <c r="AF75" s="1365"/>
      <c r="AG75" s="1365"/>
      <c r="AH75" s="1365"/>
      <c r="AI75" s="1365"/>
      <c r="AJ75" s="1365"/>
      <c r="AK75" s="1365"/>
    </row>
    <row r="76" spans="1:37" s="2709" customFormat="1" ht="24">
      <c r="A76" s="2860" t="s">
        <v>2945</v>
      </c>
      <c r="B76" s="2866" t="s">
        <v>2946</v>
      </c>
      <c r="C76" s="2760"/>
      <c r="D76" s="1280">
        <f t="shared" si="19"/>
        <v>0</v>
      </c>
      <c r="E76" s="821"/>
      <c r="F76" s="2493"/>
      <c r="G76" s="1278"/>
      <c r="H76" s="1282" t="str">
        <f t="shared" si="20"/>
        <v>——</v>
      </c>
      <c r="I76" s="815">
        <v>0.05</v>
      </c>
      <c r="J76" s="1279">
        <f t="shared" si="21"/>
        <v>0</v>
      </c>
      <c r="K76" s="1279">
        <f t="shared" si="22"/>
        <v>0</v>
      </c>
      <c r="L76" s="1279">
        <v>0</v>
      </c>
      <c r="M76" s="1279">
        <f t="shared" si="23"/>
        <v>0</v>
      </c>
      <c r="N76" s="1279">
        <f t="shared" si="23"/>
        <v>0</v>
      </c>
      <c r="AA76" s="2871"/>
      <c r="AB76" s="1365"/>
      <c r="AC76" s="1365"/>
      <c r="AD76" s="1365"/>
      <c r="AE76" s="1365"/>
      <c r="AF76" s="1365"/>
      <c r="AG76" s="1365"/>
      <c r="AH76" s="2871"/>
      <c r="AI76" s="2871"/>
      <c r="AJ76" s="2871"/>
      <c r="AK76" s="2871"/>
    </row>
    <row r="77" spans="1:37" ht="38.25">
      <c r="A77" s="2860" t="s">
        <v>2949</v>
      </c>
      <c r="B77" s="2863" t="str">
        <f>估价对象房地状况!C20</f>
        <v>区域自然环境：；人文环境；综合评价环境状况一般</v>
      </c>
      <c r="C77" s="2760"/>
      <c r="D77" s="1280">
        <f t="shared" si="19"/>
        <v>0</v>
      </c>
      <c r="E77" s="821"/>
      <c r="F77" s="2493"/>
      <c r="G77" s="1278"/>
      <c r="H77" s="1282" t="str">
        <f t="shared" si="20"/>
        <v>——</v>
      </c>
      <c r="I77" s="815">
        <v>0.15</v>
      </c>
      <c r="J77" s="1279">
        <f t="shared" si="21"/>
        <v>0</v>
      </c>
      <c r="K77" s="1279">
        <f t="shared" si="22"/>
        <v>0</v>
      </c>
      <c r="L77" s="1279">
        <v>0</v>
      </c>
      <c r="M77" s="1279">
        <f t="shared" si="23"/>
        <v>0</v>
      </c>
      <c r="N77" s="1279">
        <f t="shared" si="23"/>
        <v>0</v>
      </c>
      <c r="Z77" s="2710"/>
      <c r="AA77" s="2778"/>
      <c r="AG77" s="1366"/>
      <c r="AK77" s="2778"/>
    </row>
    <row r="78" spans="1:37" ht="24.75" thickBot="1">
      <c r="A78" s="2868" t="s">
        <v>2956</v>
      </c>
      <c r="B78" s="2872"/>
      <c r="C78" s="2760"/>
      <c r="D78" s="1280">
        <f t="shared" si="19"/>
        <v>0</v>
      </c>
      <c r="E78" s="822"/>
      <c r="F78" s="2493"/>
      <c r="G78" s="1278"/>
      <c r="H78" s="1282" t="str">
        <f t="shared" si="20"/>
        <v>——</v>
      </c>
      <c r="I78" s="819">
        <v>0.04</v>
      </c>
      <c r="J78" s="1279">
        <f t="shared" si="21"/>
        <v>0</v>
      </c>
      <c r="K78" s="1279">
        <f t="shared" si="22"/>
        <v>0</v>
      </c>
      <c r="L78" s="1279">
        <v>0</v>
      </c>
      <c r="M78" s="1279">
        <f t="shared" si="23"/>
        <v>0</v>
      </c>
      <c r="N78" s="1279">
        <f t="shared" si="23"/>
        <v>0</v>
      </c>
      <c r="Z78" s="2710"/>
      <c r="AA78" s="2778"/>
      <c r="AG78" s="1366"/>
      <c r="AK78" s="2778"/>
    </row>
    <row r="79" spans="1:37" ht="15">
      <c r="A79" s="2856" t="s">
        <v>2957</v>
      </c>
      <c r="B79" s="2857">
        <f>1+E81</f>
        <v>1</v>
      </c>
      <c r="C79" s="809"/>
      <c r="D79" s="809"/>
      <c r="E79" s="810"/>
      <c r="F79" s="2859"/>
      <c r="G79" s="6"/>
      <c r="H79" s="6"/>
      <c r="I79" s="6"/>
      <c r="J79" s="7"/>
      <c r="K79" s="7"/>
      <c r="L79" s="7"/>
      <c r="M79" s="7"/>
      <c r="N79" s="7"/>
      <c r="Z79" s="2710"/>
      <c r="AA79" s="2778"/>
      <c r="AG79" s="1366"/>
      <c r="AK79" s="2778"/>
    </row>
    <row r="80" spans="1:37" ht="24.75">
      <c r="A80" s="2860" t="s">
        <v>2931</v>
      </c>
      <c r="B80" s="1802"/>
      <c r="C80" s="1802" t="s">
        <v>2933</v>
      </c>
      <c r="D80" s="1802" t="s">
        <v>2934</v>
      </c>
      <c r="E80" s="814" t="s">
        <v>2935</v>
      </c>
      <c r="F80" s="2861" t="s">
        <v>2951</v>
      </c>
      <c r="G80" s="1802" t="s">
        <v>754</v>
      </c>
      <c r="H80" s="2862" t="s">
        <v>2937</v>
      </c>
      <c r="I80" s="1802" t="s">
        <v>2938</v>
      </c>
      <c r="J80" s="600" t="s">
        <v>2586</v>
      </c>
      <c r="K80" s="600" t="s">
        <v>2587</v>
      </c>
      <c r="L80" s="600" t="s">
        <v>2588</v>
      </c>
      <c r="M80" s="600" t="s">
        <v>2589</v>
      </c>
      <c r="N80" s="600" t="s">
        <v>2590</v>
      </c>
      <c r="Z80" s="2710"/>
      <c r="AA80" s="2778"/>
      <c r="AG80" s="1366"/>
      <c r="AK80" s="2778"/>
    </row>
    <row r="81" spans="1:37" ht="38.25">
      <c r="A81" s="2860" t="s">
        <v>2958</v>
      </c>
      <c r="B81" s="2864" t="str">
        <f>估价对象房地状况!G15</f>
        <v>估价对象位于XX开发区，园区建设成熟度XX，产业集聚程度XX</v>
      </c>
      <c r="C81" s="2760"/>
      <c r="D81" s="1280">
        <f t="shared" ref="D81:D88" si="24">SUMIF($J$80:$N$80,C81,J81:N81)</f>
        <v>0</v>
      </c>
      <c r="E81" s="816">
        <f>ROUND(SUM(D81:D88),4)</f>
        <v>0</v>
      </c>
      <c r="F81" s="2493" t="str">
        <f>IF(E2="工业",SUMIF(L1:L12,G2,N1:N12),"——")</f>
        <v>——</v>
      </c>
      <c r="G81" s="1278"/>
      <c r="H81" s="1282" t="str">
        <f t="shared" ref="H81:H88" si="25">IFERROR(ROUNDDOWN($F$81*I81/2,4),"——")</f>
        <v>——</v>
      </c>
      <c r="I81" s="815">
        <v>0.26</v>
      </c>
      <c r="J81" s="1279">
        <f t="shared" ref="J81:J88" si="26">K81+$G81</f>
        <v>0</v>
      </c>
      <c r="K81" s="1279">
        <f t="shared" ref="K81:K88" si="27">$L81+$G81</f>
        <v>0</v>
      </c>
      <c r="L81" s="1279">
        <v>0</v>
      </c>
      <c r="M81" s="1279">
        <f t="shared" ref="M81:N88" si="28">L81-$G81</f>
        <v>0</v>
      </c>
      <c r="N81" s="1279">
        <f t="shared" si="28"/>
        <v>0</v>
      </c>
      <c r="Z81" s="2710"/>
      <c r="AA81" s="2778"/>
      <c r="AG81" s="1366"/>
      <c r="AK81" s="2778"/>
    </row>
    <row r="82" spans="1:37" ht="51">
      <c r="A82" s="2860" t="s">
        <v>2940</v>
      </c>
      <c r="B82" s="2864" t="str">
        <f>估价对象房地状况!G16</f>
        <v>估价对象周边道路状况、公共交通通达情况、停车便捷程度，综合评价交通便捷度较好</v>
      </c>
      <c r="C82" s="2760"/>
      <c r="D82" s="1280">
        <f t="shared" si="24"/>
        <v>0</v>
      </c>
      <c r="E82" s="821"/>
      <c r="F82" s="2493"/>
      <c r="G82" s="1278"/>
      <c r="H82" s="1282" t="str">
        <f t="shared" si="25"/>
        <v>——</v>
      </c>
      <c r="I82" s="815">
        <v>0.33</v>
      </c>
      <c r="J82" s="1279">
        <f t="shared" si="26"/>
        <v>0</v>
      </c>
      <c r="K82" s="1279">
        <f t="shared" si="27"/>
        <v>0</v>
      </c>
      <c r="L82" s="1279">
        <v>0</v>
      </c>
      <c r="M82" s="1279">
        <f t="shared" si="28"/>
        <v>0</v>
      </c>
      <c r="N82" s="1279">
        <f t="shared" si="28"/>
        <v>0</v>
      </c>
      <c r="Z82" s="2710"/>
      <c r="AA82" s="2778"/>
      <c r="AG82" s="1366"/>
      <c r="AK82" s="2778"/>
    </row>
    <row r="83" spans="1:37" ht="24">
      <c r="A83" s="2860" t="s">
        <v>2941</v>
      </c>
      <c r="B83" s="2864">
        <f>估价对象房地状况!G17</f>
        <v>0</v>
      </c>
      <c r="C83" s="2760"/>
      <c r="D83" s="1280">
        <f t="shared" si="24"/>
        <v>0</v>
      </c>
      <c r="E83" s="821"/>
      <c r="F83" s="2493"/>
      <c r="G83" s="1278"/>
      <c r="H83" s="1282" t="str">
        <f t="shared" si="25"/>
        <v>——</v>
      </c>
      <c r="I83" s="815">
        <v>0.05</v>
      </c>
      <c r="J83" s="1279">
        <f t="shared" si="26"/>
        <v>0</v>
      </c>
      <c r="K83" s="1279">
        <f t="shared" si="27"/>
        <v>0</v>
      </c>
      <c r="L83" s="1279">
        <v>0</v>
      </c>
      <c r="M83" s="1279">
        <f t="shared" si="28"/>
        <v>0</v>
      </c>
      <c r="N83" s="1279">
        <f t="shared" si="28"/>
        <v>0</v>
      </c>
      <c r="Z83" s="2710"/>
      <c r="AA83" s="2778"/>
      <c r="AG83" s="1366"/>
      <c r="AK83" s="2778"/>
    </row>
    <row r="84" spans="1:37" ht="14.25">
      <c r="A84" s="2860" t="s">
        <v>2955</v>
      </c>
      <c r="B84" s="2864">
        <f>估价对象房地状况!G22</f>
        <v>0</v>
      </c>
      <c r="C84" s="2760"/>
      <c r="D84" s="1280">
        <f t="shared" si="24"/>
        <v>0</v>
      </c>
      <c r="E84" s="821"/>
      <c r="F84" s="2493"/>
      <c r="G84" s="1278"/>
      <c r="H84" s="1282" t="str">
        <f t="shared" si="25"/>
        <v>——</v>
      </c>
      <c r="I84" s="815">
        <v>0.04</v>
      </c>
      <c r="J84" s="1279">
        <f t="shared" si="26"/>
        <v>0</v>
      </c>
      <c r="K84" s="1279">
        <f t="shared" si="27"/>
        <v>0</v>
      </c>
      <c r="L84" s="1279">
        <v>0</v>
      </c>
      <c r="M84" s="1279">
        <f t="shared" si="28"/>
        <v>0</v>
      </c>
      <c r="N84" s="1279">
        <f t="shared" si="28"/>
        <v>0</v>
      </c>
      <c r="Z84" s="2710"/>
      <c r="AA84" s="2778"/>
      <c r="AG84" s="1366"/>
      <c r="AK84" s="2778"/>
    </row>
    <row r="85" spans="1:37" ht="25.5">
      <c r="A85" s="2860" t="s">
        <v>2947</v>
      </c>
      <c r="B85" s="1718" t="str">
        <f>估价对象房地状况!G19</f>
        <v>估价对象所在区域公共配套设施齐备情况</v>
      </c>
      <c r="C85" s="2760"/>
      <c r="D85" s="1280">
        <f t="shared" si="24"/>
        <v>0</v>
      </c>
      <c r="E85" s="821"/>
      <c r="F85" s="2493"/>
      <c r="G85" s="1278"/>
      <c r="H85" s="1282" t="str">
        <f t="shared" si="25"/>
        <v>——</v>
      </c>
      <c r="I85" s="815">
        <v>0.06</v>
      </c>
      <c r="J85" s="1279">
        <f t="shared" si="26"/>
        <v>0</v>
      </c>
      <c r="K85" s="1279">
        <f t="shared" si="27"/>
        <v>0</v>
      </c>
      <c r="L85" s="1279">
        <v>0</v>
      </c>
      <c r="M85" s="1279">
        <f t="shared" si="28"/>
        <v>0</v>
      </c>
      <c r="N85" s="1279">
        <f t="shared" si="28"/>
        <v>0</v>
      </c>
      <c r="Z85" s="2710"/>
      <c r="AA85" s="2778"/>
      <c r="AG85" s="1366"/>
      <c r="AK85" s="2778"/>
    </row>
    <row r="86" spans="1:37" ht="25.5">
      <c r="A86" s="2860" t="s">
        <v>2948</v>
      </c>
      <c r="B86" s="1718" t="str">
        <f>估价对象房地状况!G20</f>
        <v>估价对象所在区域基础设施水平</v>
      </c>
      <c r="C86" s="2760"/>
      <c r="D86" s="1280">
        <f t="shared" si="24"/>
        <v>0</v>
      </c>
      <c r="E86" s="821"/>
      <c r="F86" s="2493"/>
      <c r="G86" s="1278"/>
      <c r="H86" s="1282" t="str">
        <f t="shared" si="25"/>
        <v>——</v>
      </c>
      <c r="I86" s="815">
        <v>0.15</v>
      </c>
      <c r="J86" s="1279">
        <f t="shared" si="26"/>
        <v>0</v>
      </c>
      <c r="K86" s="1279">
        <f t="shared" si="27"/>
        <v>0</v>
      </c>
      <c r="L86" s="1279">
        <v>0</v>
      </c>
      <c r="M86" s="1279">
        <f t="shared" si="28"/>
        <v>0</v>
      </c>
      <c r="N86" s="1279">
        <f t="shared" si="28"/>
        <v>0</v>
      </c>
      <c r="Z86" s="2710"/>
      <c r="AA86" s="2778"/>
      <c r="AG86" s="1366"/>
      <c r="AK86" s="2778"/>
    </row>
    <row r="87" spans="1:37" ht="24">
      <c r="A87" s="2860" t="s">
        <v>2945</v>
      </c>
      <c r="B87" s="2866" t="s">
        <v>2959</v>
      </c>
      <c r="C87" s="2760"/>
      <c r="D87" s="1280">
        <f t="shared" si="24"/>
        <v>0</v>
      </c>
      <c r="E87" s="821"/>
      <c r="F87" s="2493"/>
      <c r="G87" s="1278"/>
      <c r="H87" s="1282" t="str">
        <f t="shared" si="25"/>
        <v>——</v>
      </c>
      <c r="I87" s="815">
        <v>0.05</v>
      </c>
      <c r="J87" s="1279">
        <f t="shared" si="26"/>
        <v>0</v>
      </c>
      <c r="K87" s="1279">
        <f t="shared" si="27"/>
        <v>0</v>
      </c>
      <c r="L87" s="1279">
        <v>0</v>
      </c>
      <c r="M87" s="1279">
        <f t="shared" si="28"/>
        <v>0</v>
      </c>
      <c r="N87" s="1279">
        <f t="shared" si="28"/>
        <v>0</v>
      </c>
      <c r="Z87" s="2710"/>
      <c r="AA87" s="2778"/>
      <c r="AG87" s="1366"/>
      <c r="AK87" s="2778"/>
    </row>
    <row r="88" spans="1:37" ht="39" thickBot="1">
      <c r="A88" s="2868" t="s">
        <v>2960</v>
      </c>
      <c r="B88" s="2873" t="str">
        <f>估价对象房地状况!G18</f>
        <v>该园区内是否有污染型企业，绿化情况，卫生条件，整体环境状况判断</v>
      </c>
      <c r="C88" s="2760"/>
      <c r="D88" s="1280">
        <f t="shared" si="24"/>
        <v>0</v>
      </c>
      <c r="E88" s="822"/>
      <c r="F88" s="2493"/>
      <c r="G88" s="1278"/>
      <c r="H88" s="1282" t="str">
        <f t="shared" si="25"/>
        <v>——</v>
      </c>
      <c r="I88" s="819">
        <v>0.06</v>
      </c>
      <c r="J88" s="1279">
        <f t="shared" si="26"/>
        <v>0</v>
      </c>
      <c r="K88" s="1279">
        <f t="shared" si="27"/>
        <v>0</v>
      </c>
      <c r="L88" s="1279">
        <v>0</v>
      </c>
      <c r="M88" s="1279">
        <f t="shared" si="28"/>
        <v>0</v>
      </c>
      <c r="N88" s="1279">
        <f t="shared" si="28"/>
        <v>0</v>
      </c>
      <c r="Z88" s="2710"/>
      <c r="AA88" s="2778"/>
      <c r="AG88" s="1366"/>
      <c r="AK88" s="2778"/>
    </row>
    <row r="90" spans="1:37">
      <c r="A90" s="3371" t="s">
        <v>2961</v>
      </c>
      <c r="B90" s="3371"/>
      <c r="C90" s="3371"/>
      <c r="D90" s="3371"/>
      <c r="E90" s="3371"/>
      <c r="F90" s="3371"/>
      <c r="G90" s="3371"/>
      <c r="H90" s="3371"/>
      <c r="I90" s="3371"/>
      <c r="J90" s="3371"/>
      <c r="K90" s="2874"/>
      <c r="L90" s="2874"/>
      <c r="M90" s="2874"/>
      <c r="N90" s="2874"/>
    </row>
    <row r="91" spans="1:37">
      <c r="A91" s="3373" t="s">
        <v>2962</v>
      </c>
      <c r="B91" s="3373" t="s">
        <v>2963</v>
      </c>
      <c r="C91" s="2828" t="s">
        <v>2964</v>
      </c>
      <c r="D91" s="2829"/>
      <c r="E91" s="2829"/>
      <c r="F91" s="2829"/>
      <c r="G91" s="2829"/>
      <c r="H91" s="2829"/>
      <c r="I91" s="2829"/>
      <c r="J91" s="2875"/>
      <c r="K91" s="2876"/>
      <c r="L91" s="2876"/>
      <c r="M91" s="2876"/>
      <c r="N91" s="2876"/>
    </row>
    <row r="92" spans="1:37">
      <c r="A92" s="3373"/>
      <c r="B92" s="3373"/>
      <c r="C92" s="937" t="s">
        <v>2830</v>
      </c>
      <c r="D92" s="937" t="s">
        <v>2831</v>
      </c>
      <c r="E92" s="937" t="s">
        <v>2832</v>
      </c>
      <c r="F92" s="937" t="s">
        <v>2833</v>
      </c>
      <c r="G92" s="937" t="s">
        <v>2834</v>
      </c>
      <c r="H92" s="937" t="s">
        <v>2835</v>
      </c>
      <c r="I92" s="937" t="s">
        <v>2836</v>
      </c>
      <c r="J92" s="937" t="s">
        <v>2837</v>
      </c>
      <c r="K92" s="937" t="s">
        <v>2838</v>
      </c>
      <c r="L92" s="937" t="s">
        <v>2839</v>
      </c>
      <c r="M92" s="937" t="s">
        <v>2840</v>
      </c>
      <c r="N92" s="937" t="s">
        <v>2841</v>
      </c>
    </row>
    <row r="93" spans="1:37">
      <c r="A93" s="3374" t="s">
        <v>2965</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375"/>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375"/>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375"/>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375"/>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375"/>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375"/>
      <c r="B99" s="2877" t="s">
        <v>2846</v>
      </c>
      <c r="C99" s="2879">
        <f>$I$3</f>
        <v>0</v>
      </c>
      <c r="D99" s="2879">
        <f t="shared" ref="D99:M99" si="29">$I$3</f>
        <v>0</v>
      </c>
      <c r="E99" s="2879">
        <f t="shared" si="29"/>
        <v>0</v>
      </c>
      <c r="F99" s="2879">
        <f t="shared" si="29"/>
        <v>0</v>
      </c>
      <c r="G99" s="2879">
        <f t="shared" si="29"/>
        <v>0</v>
      </c>
      <c r="H99" s="2879">
        <f t="shared" si="29"/>
        <v>0</v>
      </c>
      <c r="I99" s="2879">
        <f t="shared" si="29"/>
        <v>0</v>
      </c>
      <c r="J99" s="2879">
        <f t="shared" si="29"/>
        <v>0</v>
      </c>
      <c r="K99" s="2879">
        <f t="shared" si="29"/>
        <v>0</v>
      </c>
      <c r="L99" s="2879">
        <f t="shared" si="29"/>
        <v>0</v>
      </c>
      <c r="M99" s="2879">
        <f t="shared" si="29"/>
        <v>0</v>
      </c>
      <c r="N99" s="2879">
        <f>$I$3</f>
        <v>0</v>
      </c>
    </row>
    <row r="100" spans="1:14">
      <c r="A100" s="3376"/>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374" t="s">
        <v>2966</v>
      </c>
      <c r="B101" s="2881" t="s">
        <v>2967</v>
      </c>
      <c r="C101" s="2882">
        <f>$G$3</f>
        <v>1.78</v>
      </c>
      <c r="D101" s="2882">
        <f t="shared" ref="D101:N101" si="30">$G$3</f>
        <v>1.78</v>
      </c>
      <c r="E101" s="2882">
        <f t="shared" si="30"/>
        <v>1.78</v>
      </c>
      <c r="F101" s="2882">
        <f t="shared" si="30"/>
        <v>1.78</v>
      </c>
      <c r="G101" s="2882">
        <f t="shared" si="30"/>
        <v>1.78</v>
      </c>
      <c r="H101" s="2882">
        <f t="shared" si="30"/>
        <v>1.78</v>
      </c>
      <c r="I101" s="2882">
        <f t="shared" si="30"/>
        <v>1.78</v>
      </c>
      <c r="J101" s="2882">
        <f t="shared" si="30"/>
        <v>1.78</v>
      </c>
      <c r="K101" s="2882">
        <f t="shared" si="30"/>
        <v>1.78</v>
      </c>
      <c r="L101" s="2882">
        <f t="shared" si="30"/>
        <v>1.78</v>
      </c>
      <c r="M101" s="2882">
        <f t="shared" si="30"/>
        <v>1.78</v>
      </c>
      <c r="N101" s="2882">
        <f t="shared" si="30"/>
        <v>1.78</v>
      </c>
    </row>
    <row r="102" spans="1:14">
      <c r="A102" s="3375"/>
      <c r="B102" s="2877">
        <v>1</v>
      </c>
      <c r="C102" s="2878">
        <f>1.9362/C101</f>
        <v>1.087752808988764</v>
      </c>
      <c r="D102" s="2878">
        <f>1.9362/D101</f>
        <v>1.087752808988764</v>
      </c>
      <c r="E102" s="2878">
        <f>1.8629/E101</f>
        <v>1.0465730337078651</v>
      </c>
      <c r="F102" s="2878">
        <f>1.8629/F101</f>
        <v>1.0465730337078651</v>
      </c>
      <c r="G102" s="2878">
        <f>1.8629/G101</f>
        <v>1.0465730337078651</v>
      </c>
      <c r="H102" s="2878">
        <f>1.8629/H101</f>
        <v>1.0465730337078651</v>
      </c>
      <c r="I102" s="2878">
        <f>1.8629/I101</f>
        <v>1.0465730337078651</v>
      </c>
      <c r="J102" s="2878">
        <f>1.942/J101</f>
        <v>1.0910112359550561</v>
      </c>
      <c r="K102" s="2878">
        <f>1.942/K101</f>
        <v>1.0910112359550561</v>
      </c>
      <c r="L102" s="2878">
        <f>1.942/L101</f>
        <v>1.0910112359550561</v>
      </c>
      <c r="M102" s="2878">
        <f>1.942/M101</f>
        <v>1.0910112359550561</v>
      </c>
      <c r="N102" s="2878">
        <f>1.942/N101</f>
        <v>1.0910112359550561</v>
      </c>
    </row>
    <row r="103" spans="1:14">
      <c r="A103" s="3375"/>
      <c r="B103" s="2877">
        <v>2</v>
      </c>
      <c r="C103" s="2878">
        <f>1.4198/C101</f>
        <v>0.79764044943820223</v>
      </c>
      <c r="D103" s="2878">
        <f>1.4198/D101</f>
        <v>0.79764044943820223</v>
      </c>
      <c r="E103" s="2878">
        <f>1.3372/E101</f>
        <v>0.75123595505617968</v>
      </c>
      <c r="F103" s="2878">
        <f>1.3372/F101</f>
        <v>0.75123595505617968</v>
      </c>
      <c r="G103" s="2878">
        <f>1.3372/G101</f>
        <v>0.75123595505617968</v>
      </c>
      <c r="H103" s="2878">
        <f>1.3372/H101</f>
        <v>0.75123595505617968</v>
      </c>
      <c r="I103" s="2878">
        <f>1.3372/I101</f>
        <v>0.75123595505617968</v>
      </c>
      <c r="J103" s="2878">
        <f>1.2799/J101</f>
        <v>0.71904494382022477</v>
      </c>
      <c r="K103" s="2878">
        <f>1.2799/K101</f>
        <v>0.71904494382022477</v>
      </c>
      <c r="L103" s="2878">
        <f>1.2799/L101</f>
        <v>0.71904494382022477</v>
      </c>
      <c r="M103" s="2878">
        <f>1.2799/M101</f>
        <v>0.71904494382022477</v>
      </c>
      <c r="N103" s="2878">
        <f>1.2799/N101</f>
        <v>0.71904494382022477</v>
      </c>
    </row>
    <row r="104" spans="1:14">
      <c r="A104" s="3375"/>
      <c r="B104" s="2877">
        <v>3</v>
      </c>
      <c r="C104" s="2878">
        <f>1.1594/C101</f>
        <v>0.65134831460674159</v>
      </c>
      <c r="D104" s="2878">
        <f>1.1594/D101</f>
        <v>0.65134831460674159</v>
      </c>
      <c r="E104" s="2878">
        <f>1.0788/E101</f>
        <v>0.60606741573033707</v>
      </c>
      <c r="F104" s="2878">
        <f>1.0788/F101</f>
        <v>0.60606741573033707</v>
      </c>
      <c r="G104" s="2878">
        <f>1.0788/G101</f>
        <v>0.60606741573033707</v>
      </c>
      <c r="H104" s="2878">
        <f>1.0788/H101</f>
        <v>0.60606741573033707</v>
      </c>
      <c r="I104" s="2878">
        <f>1.0788/I101</f>
        <v>0.60606741573033707</v>
      </c>
      <c r="J104" s="2878">
        <f>1.0072/J101</f>
        <v>0.56584269662921349</v>
      </c>
      <c r="K104" s="2878">
        <f>1.0072/K101</f>
        <v>0.56584269662921349</v>
      </c>
      <c r="L104" s="2878">
        <f>1.0072/L101</f>
        <v>0.56584269662921349</v>
      </c>
      <c r="M104" s="2878">
        <f>1.0072/M101</f>
        <v>0.56584269662921349</v>
      </c>
      <c r="N104" s="2878">
        <f>1.0072/N101</f>
        <v>0.56584269662921349</v>
      </c>
    </row>
    <row r="105" spans="1:14">
      <c r="A105" s="3375"/>
      <c r="B105" s="2877">
        <v>4</v>
      </c>
      <c r="C105" s="2878">
        <f>0.9622/C101</f>
        <v>0.54056179775280899</v>
      </c>
      <c r="D105" s="2878">
        <f>0.9622/D101</f>
        <v>0.54056179775280899</v>
      </c>
      <c r="E105" s="2878">
        <f>0.8656/E101</f>
        <v>0.48629213483146067</v>
      </c>
      <c r="F105" s="2878">
        <f>0.8656/F101</f>
        <v>0.48629213483146067</v>
      </c>
      <c r="G105" s="2878">
        <f>0.8656/G101</f>
        <v>0.48629213483146067</v>
      </c>
      <c r="H105" s="2878">
        <f>0.8656/H101</f>
        <v>0.48629213483146067</v>
      </c>
      <c r="I105" s="2878">
        <f>0.8656/I101</f>
        <v>0.48629213483146067</v>
      </c>
      <c r="J105" s="2878">
        <f>0.7525/J101</f>
        <v>0.422752808988764</v>
      </c>
      <c r="K105" s="2878">
        <f>0.7525/K101</f>
        <v>0.422752808988764</v>
      </c>
      <c r="L105" s="2878">
        <f>0.7525/L101</f>
        <v>0.422752808988764</v>
      </c>
      <c r="M105" s="2878">
        <f>0.7525/M101</f>
        <v>0.422752808988764</v>
      </c>
      <c r="N105" s="2878">
        <f>0.7525/N101</f>
        <v>0.422752808988764</v>
      </c>
    </row>
    <row r="106" spans="1:14">
      <c r="A106" s="3375"/>
      <c r="B106" s="2877">
        <v>5</v>
      </c>
      <c r="C106" s="2878">
        <f>0.8417/C101</f>
        <v>0.47286516853932586</v>
      </c>
      <c r="D106" s="2878">
        <f>0.8417/D101</f>
        <v>0.47286516853932586</v>
      </c>
      <c r="E106" s="2878">
        <f>0.7371/E101</f>
        <v>0.4141011235955056</v>
      </c>
      <c r="F106" s="2878">
        <f>0.7371/F101</f>
        <v>0.4141011235955056</v>
      </c>
      <c r="G106" s="2878">
        <f>0.7371/G101</f>
        <v>0.4141011235955056</v>
      </c>
      <c r="H106" s="2878">
        <f>0.7371/H101</f>
        <v>0.4141011235955056</v>
      </c>
      <c r="I106" s="2878">
        <f>0.7371/I101</f>
        <v>0.4141011235955056</v>
      </c>
      <c r="J106" s="2878">
        <f>0.5659/J101</f>
        <v>0.31792134831460672</v>
      </c>
      <c r="K106" s="2878">
        <f>0.5659/K101</f>
        <v>0.31792134831460672</v>
      </c>
      <c r="L106" s="2878">
        <f>0.5659/L101</f>
        <v>0.31792134831460672</v>
      </c>
      <c r="M106" s="2878">
        <f>0.5659/M101</f>
        <v>0.31792134831460672</v>
      </c>
      <c r="N106" s="2878">
        <f>0.5659/N101</f>
        <v>0.31792134831460672</v>
      </c>
    </row>
    <row r="107" spans="1:14">
      <c r="A107" s="3375"/>
      <c r="B107" s="2877">
        <v>6</v>
      </c>
      <c r="C107" s="2878">
        <f>0.7608/C101</f>
        <v>0.42741573033707864</v>
      </c>
      <c r="D107" s="2878">
        <f>0.7608/D101</f>
        <v>0.42741573033707864</v>
      </c>
      <c r="E107" s="2878">
        <f>0.6482/E101</f>
        <v>0.3641573033707865</v>
      </c>
      <c r="F107" s="2878">
        <f>0.6482/F101</f>
        <v>0.3641573033707865</v>
      </c>
      <c r="G107" s="2878">
        <f>0.6482/G101</f>
        <v>0.3641573033707865</v>
      </c>
      <c r="H107" s="2878">
        <f>0.6482/H101</f>
        <v>0.3641573033707865</v>
      </c>
      <c r="I107" s="2878">
        <f>0.6482/I101</f>
        <v>0.3641573033707865</v>
      </c>
      <c r="J107" s="2878">
        <f>0.4525/J101</f>
        <v>0.2542134831460674</v>
      </c>
      <c r="K107" s="2878">
        <f>0.4525/K101</f>
        <v>0.2542134831460674</v>
      </c>
      <c r="L107" s="2878">
        <f>0.4525/L101</f>
        <v>0.2542134831460674</v>
      </c>
      <c r="M107" s="2878">
        <f>0.4525/M101</f>
        <v>0.2542134831460674</v>
      </c>
      <c r="N107" s="2878">
        <f>0.4525/N101</f>
        <v>0.2542134831460674</v>
      </c>
    </row>
    <row r="108" spans="1:14">
      <c r="A108" s="3375"/>
      <c r="B108" s="3230" t="s">
        <v>2968</v>
      </c>
      <c r="C108" s="2879">
        <f>C99</f>
        <v>0</v>
      </c>
      <c r="D108" s="2879">
        <f t="shared" ref="D108:N108" si="31">D99</f>
        <v>0</v>
      </c>
      <c r="E108" s="2879">
        <f t="shared" si="31"/>
        <v>0</v>
      </c>
      <c r="F108" s="2879">
        <f t="shared" si="31"/>
        <v>0</v>
      </c>
      <c r="G108" s="2879">
        <f t="shared" si="31"/>
        <v>0</v>
      </c>
      <c r="H108" s="2879">
        <f t="shared" si="31"/>
        <v>0</v>
      </c>
      <c r="I108" s="2879">
        <f t="shared" si="31"/>
        <v>0</v>
      </c>
      <c r="J108" s="2879">
        <f t="shared" si="31"/>
        <v>0</v>
      </c>
      <c r="K108" s="2879">
        <f t="shared" si="31"/>
        <v>0</v>
      </c>
      <c r="L108" s="2879">
        <f t="shared" si="31"/>
        <v>0</v>
      </c>
      <c r="M108" s="2879">
        <f t="shared" si="31"/>
        <v>0</v>
      </c>
      <c r="N108" s="2879">
        <f t="shared" si="31"/>
        <v>0</v>
      </c>
    </row>
    <row r="109" spans="1:14">
      <c r="A109" s="3376"/>
      <c r="B109" s="3231"/>
      <c r="C109" s="2880">
        <f>(-0.163*(C108^2)-0.59*C108+7617)*(10^(-4))/C101</f>
        <v>0.42792134831460676</v>
      </c>
      <c r="D109" s="2880">
        <f>(-0.163*(D108^2)-0.59*D108+7617)*(10^(-4))/D101</f>
        <v>0.42792134831460676</v>
      </c>
      <c r="E109" s="2880">
        <f>(-0.161*(E108^2)-7.509*E108+6533)*(10^(-4))/E101</f>
        <v>0.36702247191011234</v>
      </c>
      <c r="F109" s="2880">
        <f>(-0.161*(F108^2)-7.509*F108+6533)*(10^(-4))/F101</f>
        <v>0.36702247191011234</v>
      </c>
      <c r="G109" s="2880">
        <f>(-0.161*(G108^2)-7.509*G108+6533)*(10^(-4))/G101</f>
        <v>0.36702247191011234</v>
      </c>
      <c r="H109" s="2880">
        <f>(-0.161*(H108^2)-7.509*H108+6533)*(10^(-4))/H101</f>
        <v>0.36702247191011234</v>
      </c>
      <c r="I109" s="2880">
        <f>(-0.161*(I108^2)-7.509*I108+6533)*(10^(-4))/I101</f>
        <v>0.36702247191011234</v>
      </c>
      <c r="J109" s="2880">
        <f>(-0.214*(J108^2)-21.991*J108+4665)*(10^(-4))/J101</f>
        <v>0.26207865168539329</v>
      </c>
      <c r="K109" s="2880">
        <f>(-0.214*(K108^2)-21.991*K108+4665)*(10^(-4))/K101</f>
        <v>0.26207865168539329</v>
      </c>
      <c r="L109" s="2880">
        <f>(-0.214*(L108^2)-21.991*L108+4665)*(10^(-4))/L101</f>
        <v>0.26207865168539329</v>
      </c>
      <c r="M109" s="2880">
        <f>(-0.214*(M108^2)-21.991*M108+4665)*(10^(-4))/M101</f>
        <v>0.26207865168539329</v>
      </c>
      <c r="N109" s="2880">
        <f>(-0.214*(N108^2)-21.991*N108+4665)*(10^(-4))/N101</f>
        <v>0.26207865168539329</v>
      </c>
    </row>
    <row r="110" spans="1:14">
      <c r="A110" s="3372" t="s">
        <v>2969</v>
      </c>
      <c r="B110" s="3372"/>
      <c r="C110" s="3372"/>
      <c r="D110" s="3372"/>
      <c r="E110" s="3372"/>
      <c r="F110" s="3372"/>
      <c r="G110" s="3372"/>
      <c r="H110" s="3372"/>
      <c r="I110" s="3372"/>
      <c r="J110" s="3372"/>
      <c r="K110" s="2883"/>
      <c r="L110" s="2883"/>
      <c r="M110" s="2883"/>
      <c r="N110" s="2883"/>
    </row>
    <row r="112" spans="1:14" ht="13.5" thickBot="1"/>
    <row r="113" spans="1:13" ht="25.5" thickBot="1">
      <c r="A113" s="898" t="s">
        <v>2970</v>
      </c>
      <c r="B113" s="1281">
        <f>G3</f>
        <v>1.78</v>
      </c>
      <c r="C113" s="899" t="s">
        <v>2971</v>
      </c>
      <c r="D113" s="900">
        <f>SUMPRODUCT((A115:A118=F113)*(B114:M114=H113)*B115:M118)</f>
        <v>0</v>
      </c>
      <c r="E113" s="2714" t="s">
        <v>2803</v>
      </c>
      <c r="F113" s="2885">
        <f>E2</f>
        <v>0</v>
      </c>
      <c r="G113" s="2714" t="s">
        <v>2804</v>
      </c>
      <c r="H113" s="2885">
        <f>G2</f>
        <v>0</v>
      </c>
      <c r="I113" s="2714"/>
      <c r="J113" s="2886"/>
      <c r="K113" s="2886"/>
      <c r="L113" s="2886"/>
      <c r="M113" s="2886"/>
    </row>
    <row r="114" spans="1:13">
      <c r="A114" s="903"/>
      <c r="B114" s="2887" t="s">
        <v>2972</v>
      </c>
      <c r="C114" s="2887" t="s">
        <v>2973</v>
      </c>
      <c r="D114" s="2887" t="s">
        <v>2974</v>
      </c>
      <c r="E114" s="2888" t="s">
        <v>2975</v>
      </c>
      <c r="F114" s="2888" t="s">
        <v>2976</v>
      </c>
      <c r="G114" s="2888" t="s">
        <v>2977</v>
      </c>
      <c r="H114" s="2889" t="s">
        <v>2978</v>
      </c>
      <c r="I114" s="2889" t="s">
        <v>2979</v>
      </c>
      <c r="J114" s="2890" t="s">
        <v>2980</v>
      </c>
      <c r="K114" s="2890" t="s">
        <v>2981</v>
      </c>
      <c r="L114" s="2890" t="s">
        <v>2982</v>
      </c>
      <c r="M114" s="2891" t="s">
        <v>2983</v>
      </c>
    </row>
    <row r="115" spans="1:13">
      <c r="A115" s="904" t="s">
        <v>2868</v>
      </c>
      <c r="B115" s="905">
        <f>ROUND(0.9335-0.0094*B113,4)</f>
        <v>0.91679999999999995</v>
      </c>
      <c r="C115" s="905">
        <f>B115</f>
        <v>0.91679999999999995</v>
      </c>
      <c r="D115" s="905">
        <f>ROUND(0.8331-0.0109*B113,4)</f>
        <v>0.81369999999999998</v>
      </c>
      <c r="E115" s="905">
        <f>D115</f>
        <v>0.81369999999999998</v>
      </c>
      <c r="F115" s="905">
        <f>E115</f>
        <v>0.81369999999999998</v>
      </c>
      <c r="G115" s="905">
        <f>F115</f>
        <v>0.81369999999999998</v>
      </c>
      <c r="H115" s="905">
        <f>G115</f>
        <v>0.81369999999999998</v>
      </c>
      <c r="I115" s="905">
        <f>ROUND(0.689-0.0155*B113,4)</f>
        <v>0.66139999999999999</v>
      </c>
      <c r="J115" s="905">
        <f t="shared" ref="J115:M118" si="32">I115</f>
        <v>0.66139999999999999</v>
      </c>
      <c r="K115" s="905">
        <f t="shared" si="32"/>
        <v>0.66139999999999999</v>
      </c>
      <c r="L115" s="905">
        <f t="shared" si="32"/>
        <v>0.66139999999999999</v>
      </c>
      <c r="M115" s="906">
        <f t="shared" si="32"/>
        <v>0.66139999999999999</v>
      </c>
    </row>
    <row r="116" spans="1:13">
      <c r="A116" s="904" t="s">
        <v>2869</v>
      </c>
      <c r="B116" s="905">
        <f>ROUND(0.949-0.012*B113,4)</f>
        <v>0.92759999999999998</v>
      </c>
      <c r="C116" s="905">
        <f>B116</f>
        <v>0.92759999999999998</v>
      </c>
      <c r="D116" s="905">
        <f>ROUND(0.8567-0.013*B113,4)</f>
        <v>0.83360000000000001</v>
      </c>
      <c r="E116" s="905">
        <f t="shared" ref="E116:H117" si="33">D116</f>
        <v>0.83360000000000001</v>
      </c>
      <c r="F116" s="905">
        <f t="shared" si="33"/>
        <v>0.83360000000000001</v>
      </c>
      <c r="G116" s="905">
        <f t="shared" si="33"/>
        <v>0.83360000000000001</v>
      </c>
      <c r="H116" s="905">
        <f t="shared" si="33"/>
        <v>0.83360000000000001</v>
      </c>
      <c r="I116" s="905">
        <f>ROUND(0.7694-0.014*B113,4)</f>
        <v>0.74450000000000005</v>
      </c>
      <c r="J116" s="905">
        <f t="shared" si="32"/>
        <v>0.74450000000000005</v>
      </c>
      <c r="K116" s="905">
        <f t="shared" si="32"/>
        <v>0.74450000000000005</v>
      </c>
      <c r="L116" s="905">
        <f t="shared" si="32"/>
        <v>0.74450000000000005</v>
      </c>
      <c r="M116" s="906">
        <f t="shared" si="32"/>
        <v>0.74450000000000005</v>
      </c>
    </row>
    <row r="117" spans="1:13">
      <c r="A117" s="904" t="s">
        <v>2870</v>
      </c>
      <c r="B117" s="905">
        <f>ROUND(0.8808-0.006*B113,4)</f>
        <v>0.87009999999999998</v>
      </c>
      <c r="C117" s="905">
        <f>B117</f>
        <v>0.87009999999999998</v>
      </c>
      <c r="D117" s="905">
        <f>ROUND(0.8748-0.008*B113,4)</f>
        <v>0.86060000000000003</v>
      </c>
      <c r="E117" s="905">
        <f t="shared" si="33"/>
        <v>0.86060000000000003</v>
      </c>
      <c r="F117" s="905">
        <f t="shared" si="33"/>
        <v>0.86060000000000003</v>
      </c>
      <c r="G117" s="905">
        <f t="shared" si="33"/>
        <v>0.86060000000000003</v>
      </c>
      <c r="H117" s="905">
        <f t="shared" si="33"/>
        <v>0.86060000000000003</v>
      </c>
      <c r="I117" s="905">
        <f>ROUND(0.7412-0.0095*B113,4)</f>
        <v>0.72430000000000005</v>
      </c>
      <c r="J117" s="905">
        <f t="shared" si="32"/>
        <v>0.72430000000000005</v>
      </c>
      <c r="K117" s="905">
        <f t="shared" si="32"/>
        <v>0.72430000000000005</v>
      </c>
      <c r="L117" s="905">
        <f t="shared" si="32"/>
        <v>0.72430000000000005</v>
      </c>
      <c r="M117" s="906">
        <f t="shared" si="32"/>
        <v>0.72430000000000005</v>
      </c>
    </row>
    <row r="118" spans="1:13" ht="13.5" thickBot="1">
      <c r="A118" s="711" t="s">
        <v>2871</v>
      </c>
      <c r="B118" s="907">
        <f>ROUND(0.7275-0.01*B113,4)</f>
        <v>0.7097</v>
      </c>
      <c r="C118" s="907">
        <f>B118</f>
        <v>0.7097</v>
      </c>
      <c r="D118" s="907">
        <f>ROUND(0.7043-0.012*B113,4)</f>
        <v>0.68289999999999995</v>
      </c>
      <c r="E118" s="907">
        <f>D118</f>
        <v>0.68289999999999995</v>
      </c>
      <c r="F118" s="907">
        <f>E118</f>
        <v>0.68289999999999995</v>
      </c>
      <c r="G118" s="907">
        <f>ROUND(0.6299-0.0122*B113,4)</f>
        <v>0.60819999999999996</v>
      </c>
      <c r="H118" s="907">
        <f>G118</f>
        <v>0.60819999999999996</v>
      </c>
      <c r="I118" s="907">
        <f>ROUND(0.5667-0.0136*B113,4)</f>
        <v>0.54249999999999998</v>
      </c>
      <c r="J118" s="907">
        <f t="shared" si="32"/>
        <v>0.54249999999999998</v>
      </c>
      <c r="K118" s="907">
        <f t="shared" si="32"/>
        <v>0.54249999999999998</v>
      </c>
      <c r="L118" s="907">
        <f t="shared" si="32"/>
        <v>0.54249999999999998</v>
      </c>
      <c r="M118" s="908">
        <f t="shared" si="32"/>
        <v>0.54249999999999998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3041</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SUM(J6:J10,J13)</f>
        <v>155</v>
      </c>
      <c r="K15" s="870">
        <f>SUM(K6:K10,K13)</f>
        <v>155</v>
      </c>
      <c r="L15" s="870">
        <f>SUM(L6:L10,L13)</f>
        <v>155</v>
      </c>
      <c r="M15" s="870">
        <f>SUM(M6:M10,M13)</f>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82" t="s">
        <v>183</v>
      </c>
      <c r="B18" s="877" t="s">
        <v>560</v>
      </c>
      <c r="C18" s="878" t="s">
        <v>561</v>
      </c>
      <c r="D18" s="879"/>
      <c r="E18" s="877">
        <v>1</v>
      </c>
      <c r="F18" s="880" t="s">
        <v>562</v>
      </c>
      <c r="G18" s="881"/>
      <c r="H18" s="873"/>
      <c r="I18" s="873"/>
    </row>
    <row r="19" spans="1:9" s="882" customFormat="1" ht="19.5" customHeight="1">
      <c r="A19" s="3382"/>
      <c r="B19" s="3382" t="s">
        <v>563</v>
      </c>
      <c r="C19" s="878" t="s">
        <v>564</v>
      </c>
      <c r="D19" s="879"/>
      <c r="E19" s="877">
        <v>0.9</v>
      </c>
      <c r="F19" s="880" t="s">
        <v>565</v>
      </c>
      <c r="G19" s="881"/>
      <c r="H19" s="873"/>
      <c r="I19" s="873"/>
    </row>
    <row r="20" spans="1:9" s="882" customFormat="1" ht="19.5" customHeight="1">
      <c r="A20" s="3382"/>
      <c r="B20" s="3382"/>
      <c r="C20" s="878" t="s">
        <v>566</v>
      </c>
      <c r="D20" s="879"/>
      <c r="E20" s="877">
        <v>1.1000000000000001</v>
      </c>
      <c r="F20" s="880" t="s">
        <v>567</v>
      </c>
      <c r="G20" s="881"/>
      <c r="H20" s="873"/>
      <c r="I20" s="873"/>
    </row>
    <row r="21" spans="1:9" s="882" customFormat="1" ht="19.5" customHeight="1">
      <c r="A21" s="3382"/>
      <c r="B21" s="3382"/>
      <c r="C21" s="878" t="s">
        <v>568</v>
      </c>
      <c r="D21" s="879"/>
      <c r="E21" s="877">
        <v>0.8</v>
      </c>
      <c r="F21" s="880" t="s">
        <v>569</v>
      </c>
      <c r="G21" s="881"/>
      <c r="H21" s="873"/>
      <c r="I21" s="873"/>
    </row>
    <row r="22" spans="1:9" s="882" customFormat="1" ht="19.5" customHeight="1">
      <c r="A22" s="3382"/>
      <c r="B22" s="3382"/>
      <c r="C22" s="878" t="s">
        <v>570</v>
      </c>
      <c r="D22" s="879"/>
      <c r="E22" s="877">
        <v>0.5</v>
      </c>
      <c r="F22" s="880"/>
      <c r="G22" s="881"/>
      <c r="H22" s="873"/>
      <c r="I22" s="873"/>
    </row>
    <row r="23" spans="1:9" s="882" customFormat="1" ht="19.5" customHeight="1">
      <c r="A23" s="3382" t="s">
        <v>184</v>
      </c>
      <c r="B23" s="877" t="s">
        <v>560</v>
      </c>
      <c r="C23" s="878" t="s">
        <v>571</v>
      </c>
      <c r="D23" s="879"/>
      <c r="E23" s="877">
        <v>1</v>
      </c>
      <c r="F23" s="880" t="s">
        <v>572</v>
      </c>
      <c r="G23" s="881"/>
      <c r="H23" s="873"/>
      <c r="I23" s="873"/>
    </row>
    <row r="24" spans="1:9" s="882" customFormat="1" ht="19.5" customHeight="1">
      <c r="A24" s="3382"/>
      <c r="B24" s="3382" t="s">
        <v>563</v>
      </c>
      <c r="C24" s="878" t="s">
        <v>573</v>
      </c>
      <c r="D24" s="879"/>
      <c r="E24" s="877">
        <v>0.5</v>
      </c>
      <c r="F24" s="880"/>
      <c r="G24" s="881"/>
      <c r="H24" s="873"/>
      <c r="I24" s="873"/>
    </row>
    <row r="25" spans="1:9" s="882" customFormat="1" ht="19.5" customHeight="1">
      <c r="A25" s="3382"/>
      <c r="B25" s="3382"/>
      <c r="C25" s="878" t="s">
        <v>574</v>
      </c>
      <c r="D25" s="879"/>
      <c r="E25" s="877">
        <v>1.1000000000000001</v>
      </c>
      <c r="F25" s="880"/>
      <c r="G25" s="881"/>
      <c r="H25" s="873"/>
      <c r="I25" s="873"/>
    </row>
    <row r="26" spans="1:9" s="882" customFormat="1" ht="19.5" customHeight="1">
      <c r="A26" s="3382"/>
      <c r="B26" s="3382"/>
      <c r="C26" s="878" t="s">
        <v>575</v>
      </c>
      <c r="D26" s="879"/>
      <c r="E26" s="877">
        <v>1.1000000000000001</v>
      </c>
      <c r="F26" s="880"/>
      <c r="G26" s="881"/>
      <c r="H26" s="873"/>
      <c r="I26" s="873"/>
    </row>
    <row r="27" spans="1:9" s="882" customFormat="1" ht="19.5" customHeight="1">
      <c r="A27" s="3382"/>
      <c r="B27" s="3382"/>
      <c r="C27" s="878" t="s">
        <v>576</v>
      </c>
      <c r="D27" s="879"/>
      <c r="E27" s="877">
        <v>0.9</v>
      </c>
      <c r="F27" s="880" t="s">
        <v>577</v>
      </c>
      <c r="G27" s="881"/>
      <c r="H27" s="873"/>
      <c r="I27" s="873"/>
    </row>
    <row r="28" spans="1:9" s="882" customFormat="1" ht="19.5" customHeight="1">
      <c r="A28" s="3382"/>
      <c r="B28" s="3382"/>
      <c r="C28" s="878" t="s">
        <v>578</v>
      </c>
      <c r="D28" s="879"/>
      <c r="E28" s="877">
        <v>0.9</v>
      </c>
      <c r="F28" s="880" t="s">
        <v>579</v>
      </c>
      <c r="G28" s="881"/>
      <c r="H28" s="873"/>
      <c r="I28" s="873"/>
    </row>
    <row r="29" spans="1:9" s="882" customFormat="1" ht="19.5" customHeight="1">
      <c r="A29" s="3382"/>
      <c r="B29" s="3382"/>
      <c r="C29" s="878" t="s">
        <v>580</v>
      </c>
      <c r="D29" s="879"/>
      <c r="E29" s="877">
        <v>0.9</v>
      </c>
      <c r="F29" s="880" t="s">
        <v>581</v>
      </c>
      <c r="G29" s="881"/>
      <c r="H29" s="873"/>
      <c r="I29" s="873"/>
    </row>
    <row r="30" spans="1:9" s="882" customFormat="1" ht="19.5" customHeight="1">
      <c r="A30" s="3382"/>
      <c r="B30" s="3382"/>
      <c r="C30" s="878" t="s">
        <v>582</v>
      </c>
      <c r="D30" s="879"/>
      <c r="E30" s="877">
        <v>0.9</v>
      </c>
      <c r="F30" s="880" t="s">
        <v>583</v>
      </c>
      <c r="G30" s="881"/>
      <c r="H30" s="873"/>
      <c r="I30" s="873"/>
    </row>
    <row r="31" spans="1:9" s="882" customFormat="1" ht="19.5" customHeight="1">
      <c r="A31" s="3382"/>
      <c r="B31" s="3382"/>
      <c r="C31" s="878" t="s">
        <v>584</v>
      </c>
      <c r="D31" s="879"/>
      <c r="E31" s="877">
        <v>0.8</v>
      </c>
      <c r="F31" s="880" t="s">
        <v>585</v>
      </c>
      <c r="G31" s="881"/>
      <c r="H31" s="873"/>
      <c r="I31" s="873"/>
    </row>
    <row r="32" spans="1:9" s="882" customFormat="1" ht="19.5" customHeight="1">
      <c r="A32" s="3382"/>
      <c r="B32" s="3382"/>
      <c r="C32" s="878" t="s">
        <v>586</v>
      </c>
      <c r="D32" s="879"/>
      <c r="E32" s="877">
        <v>0.8</v>
      </c>
      <c r="F32" s="880" t="s">
        <v>587</v>
      </c>
      <c r="G32" s="881"/>
      <c r="H32" s="873"/>
      <c r="I32" s="873"/>
    </row>
    <row r="33" spans="1:9" s="882" customFormat="1" ht="19.5" customHeight="1">
      <c r="A33" s="3382" t="s">
        <v>185</v>
      </c>
      <c r="B33" s="877" t="s">
        <v>560</v>
      </c>
      <c r="C33" s="878" t="s">
        <v>588</v>
      </c>
      <c r="D33" s="879"/>
      <c r="E33" s="877">
        <v>1</v>
      </c>
      <c r="F33" s="880" t="s">
        <v>589</v>
      </c>
      <c r="G33" s="881"/>
      <c r="H33" s="873"/>
      <c r="I33" s="873"/>
    </row>
    <row r="34" spans="1:9" s="882" customFormat="1" ht="19.5" customHeight="1">
      <c r="A34" s="3382"/>
      <c r="B34" s="877" t="s">
        <v>563</v>
      </c>
      <c r="C34" s="878" t="s">
        <v>590</v>
      </c>
      <c r="D34" s="879"/>
      <c r="E34" s="877">
        <v>1.5</v>
      </c>
      <c r="F34" s="880" t="s">
        <v>591</v>
      </c>
      <c r="G34" s="881"/>
      <c r="H34" s="873"/>
      <c r="I34" s="873"/>
    </row>
    <row r="35" spans="1:9" s="882" customFormat="1" ht="19.5" customHeight="1">
      <c r="A35" s="3382" t="s">
        <v>186</v>
      </c>
      <c r="B35" s="877" t="s">
        <v>560</v>
      </c>
      <c r="C35" s="878" t="s">
        <v>592</v>
      </c>
      <c r="D35" s="879"/>
      <c r="E35" s="877">
        <v>1</v>
      </c>
      <c r="F35" s="880" t="s">
        <v>593</v>
      </c>
      <c r="G35" s="881"/>
      <c r="H35" s="873"/>
      <c r="I35" s="873"/>
    </row>
    <row r="36" spans="1:9" s="882" customFormat="1" ht="19.5" customHeight="1">
      <c r="A36" s="3382"/>
      <c r="B36" s="3382" t="s">
        <v>563</v>
      </c>
      <c r="C36" s="878" t="s">
        <v>594</v>
      </c>
      <c r="D36" s="879"/>
      <c r="E36" s="877">
        <v>1</v>
      </c>
      <c r="F36" s="880" t="s">
        <v>595</v>
      </c>
      <c r="G36" s="881"/>
      <c r="H36" s="873"/>
      <c r="I36" s="873"/>
    </row>
    <row r="37" spans="1:9" s="882" customFormat="1" ht="19.5" customHeight="1">
      <c r="A37" s="3382"/>
      <c r="B37" s="3382"/>
      <c r="C37" s="878" t="s">
        <v>596</v>
      </c>
      <c r="D37" s="879"/>
      <c r="E37" s="877">
        <v>1.5</v>
      </c>
      <c r="F37" s="880" t="s">
        <v>597</v>
      </c>
      <c r="G37" s="881"/>
      <c r="H37" s="873"/>
      <c r="I37" s="873"/>
    </row>
    <row r="38" spans="1:9" s="882" customFormat="1" ht="19.5" customHeight="1">
      <c r="A38" s="3382"/>
      <c r="B38" s="3382"/>
      <c r="C38" s="878" t="s">
        <v>598</v>
      </c>
      <c r="D38" s="879"/>
      <c r="E38" s="877">
        <v>1</v>
      </c>
      <c r="F38" s="880" t="s">
        <v>599</v>
      </c>
      <c r="G38" s="881"/>
      <c r="H38" s="873"/>
      <c r="I38" s="873"/>
    </row>
    <row r="39" spans="1:9" s="882" customFormat="1" ht="19.5" customHeight="1">
      <c r="A39" s="3382"/>
      <c r="B39" s="338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82" t="s">
        <v>614</v>
      </c>
      <c r="C61" s="813" t="s">
        <v>615</v>
      </c>
      <c r="D61" s="813" t="s">
        <v>616</v>
      </c>
      <c r="E61" s="890">
        <v>0.5</v>
      </c>
      <c r="F61" s="877">
        <v>80</v>
      </c>
    </row>
    <row r="62" spans="1:8" s="873" customFormat="1" ht="24">
      <c r="A62" s="877">
        <v>2</v>
      </c>
      <c r="B62" s="3382"/>
      <c r="C62" s="813" t="s">
        <v>617</v>
      </c>
      <c r="D62" s="813" t="s">
        <v>618</v>
      </c>
      <c r="E62" s="890">
        <v>0.5</v>
      </c>
      <c r="F62" s="877">
        <v>80</v>
      </c>
    </row>
    <row r="63" spans="1:8" s="873" customFormat="1" ht="36">
      <c r="A63" s="877">
        <v>3</v>
      </c>
      <c r="B63" s="3382"/>
      <c r="C63" s="813" t="s">
        <v>619</v>
      </c>
      <c r="D63" s="813" t="s">
        <v>620</v>
      </c>
      <c r="E63" s="890">
        <v>0.5</v>
      </c>
      <c r="F63" s="877">
        <v>80</v>
      </c>
    </row>
    <row r="64" spans="1:8" s="873" customFormat="1" ht="36">
      <c r="A64" s="877">
        <v>4</v>
      </c>
      <c r="B64" s="3382"/>
      <c r="C64" s="813" t="s">
        <v>621</v>
      </c>
      <c r="D64" s="813" t="s">
        <v>622</v>
      </c>
      <c r="E64" s="890">
        <v>0.4</v>
      </c>
      <c r="F64" s="877">
        <v>60</v>
      </c>
    </row>
    <row r="65" spans="1:6" s="873" customFormat="1" ht="36">
      <c r="A65" s="877">
        <v>5</v>
      </c>
      <c r="B65" s="3382"/>
      <c r="C65" s="813" t="s">
        <v>623</v>
      </c>
      <c r="D65" s="813" t="s">
        <v>624</v>
      </c>
      <c r="E65" s="890">
        <v>0.2</v>
      </c>
      <c r="F65" s="877">
        <v>30</v>
      </c>
    </row>
    <row r="66" spans="1:6" s="873" customFormat="1" ht="36">
      <c r="A66" s="877">
        <v>6</v>
      </c>
      <c r="B66" s="3382"/>
      <c r="C66" s="813" t="s">
        <v>625</v>
      </c>
      <c r="D66" s="813" t="s">
        <v>626</v>
      </c>
      <c r="E66" s="890">
        <v>0.3</v>
      </c>
      <c r="F66" s="877">
        <v>50</v>
      </c>
    </row>
    <row r="67" spans="1:6" s="873" customFormat="1" ht="36">
      <c r="A67" s="877">
        <v>7</v>
      </c>
      <c r="B67" s="3382"/>
      <c r="C67" s="813" t="s">
        <v>627</v>
      </c>
      <c r="D67" s="813" t="s">
        <v>628</v>
      </c>
      <c r="E67" s="890">
        <v>0.2</v>
      </c>
      <c r="F67" s="877">
        <v>30</v>
      </c>
    </row>
    <row r="68" spans="1:6" s="873" customFormat="1" ht="36">
      <c r="A68" s="877">
        <v>8</v>
      </c>
      <c r="B68" s="3382"/>
      <c r="C68" s="813" t="s">
        <v>629</v>
      </c>
      <c r="D68" s="813" t="s">
        <v>630</v>
      </c>
      <c r="E68" s="890">
        <v>0.2</v>
      </c>
      <c r="F68" s="877">
        <v>30</v>
      </c>
    </row>
    <row r="69" spans="1:6" s="873" customFormat="1" ht="36">
      <c r="A69" s="877">
        <v>9</v>
      </c>
      <c r="B69" s="3382"/>
      <c r="C69" s="813" t="s">
        <v>631</v>
      </c>
      <c r="D69" s="813" t="s">
        <v>632</v>
      </c>
      <c r="E69" s="890">
        <v>0.2</v>
      </c>
      <c r="F69" s="877">
        <v>30</v>
      </c>
    </row>
    <row r="70" spans="1:6" s="873" customFormat="1" ht="48">
      <c r="A70" s="877">
        <v>10</v>
      </c>
      <c r="B70" s="3382"/>
      <c r="C70" s="813" t="s">
        <v>633</v>
      </c>
      <c r="D70" s="813" t="s">
        <v>634</v>
      </c>
      <c r="E70" s="890">
        <v>0.2</v>
      </c>
      <c r="F70" s="877">
        <v>30</v>
      </c>
    </row>
    <row r="71" spans="1:6" s="873" customFormat="1" ht="48">
      <c r="A71" s="877">
        <v>11</v>
      </c>
      <c r="B71" s="3382"/>
      <c r="C71" s="813" t="s">
        <v>635</v>
      </c>
      <c r="D71" s="813" t="s">
        <v>636</v>
      </c>
      <c r="E71" s="890">
        <v>0.2</v>
      </c>
      <c r="F71" s="877">
        <v>30</v>
      </c>
    </row>
    <row r="72" spans="1:6" s="873" customFormat="1" ht="36">
      <c r="A72" s="877">
        <v>12</v>
      </c>
      <c r="B72" s="3382"/>
      <c r="C72" s="813" t="s">
        <v>637</v>
      </c>
      <c r="D72" s="813" t="s">
        <v>638</v>
      </c>
      <c r="E72" s="890">
        <v>0.5</v>
      </c>
      <c r="F72" s="877">
        <v>80</v>
      </c>
    </row>
    <row r="73" spans="1:6" s="873" customFormat="1" ht="24">
      <c r="A73" s="877">
        <v>13</v>
      </c>
      <c r="B73" s="3382"/>
      <c r="C73" s="813" t="s">
        <v>639</v>
      </c>
      <c r="D73" s="813" t="s">
        <v>640</v>
      </c>
      <c r="E73" s="890">
        <v>0.4</v>
      </c>
      <c r="F73" s="877">
        <v>60</v>
      </c>
    </row>
    <row r="74" spans="1:6" s="873" customFormat="1" ht="24">
      <c r="A74" s="877">
        <v>14</v>
      </c>
      <c r="B74" s="3382"/>
      <c r="C74" s="813" t="s">
        <v>641</v>
      </c>
      <c r="D74" s="813" t="s">
        <v>642</v>
      </c>
      <c r="E74" s="890">
        <v>0.2</v>
      </c>
      <c r="F74" s="877">
        <v>30</v>
      </c>
    </row>
    <row r="75" spans="1:6" s="873" customFormat="1" ht="24">
      <c r="A75" s="877">
        <v>15</v>
      </c>
      <c r="B75" s="3382"/>
      <c r="C75" s="813" t="s">
        <v>643</v>
      </c>
      <c r="D75" s="813" t="s">
        <v>644</v>
      </c>
      <c r="E75" s="890">
        <v>0.2</v>
      </c>
      <c r="F75" s="877">
        <v>30</v>
      </c>
    </row>
    <row r="76" spans="1:6" s="873" customFormat="1" ht="24">
      <c r="A76" s="877">
        <v>16</v>
      </c>
      <c r="B76" s="3382" t="s">
        <v>645</v>
      </c>
      <c r="C76" s="813" t="s">
        <v>646</v>
      </c>
      <c r="D76" s="813" t="s">
        <v>647</v>
      </c>
      <c r="E76" s="890">
        <v>0.5</v>
      </c>
      <c r="F76" s="877">
        <v>80</v>
      </c>
    </row>
    <row r="77" spans="1:6" s="873" customFormat="1" ht="24">
      <c r="A77" s="877">
        <v>17</v>
      </c>
      <c r="B77" s="3382"/>
      <c r="C77" s="813" t="s">
        <v>648</v>
      </c>
      <c r="D77" s="813" t="s">
        <v>649</v>
      </c>
      <c r="E77" s="890">
        <v>0.5</v>
      </c>
      <c r="F77" s="877">
        <v>80</v>
      </c>
    </row>
    <row r="78" spans="1:6" s="873" customFormat="1" ht="24">
      <c r="A78" s="877">
        <v>18</v>
      </c>
      <c r="B78" s="3382"/>
      <c r="C78" s="813" t="s">
        <v>650</v>
      </c>
      <c r="D78" s="813" t="s">
        <v>651</v>
      </c>
      <c r="E78" s="890">
        <v>0.2</v>
      </c>
      <c r="F78" s="877">
        <v>30</v>
      </c>
    </row>
    <row r="79" spans="1:6" s="873" customFormat="1" ht="24">
      <c r="A79" s="877">
        <v>19</v>
      </c>
      <c r="B79" s="3382"/>
      <c r="C79" s="813" t="s">
        <v>652</v>
      </c>
      <c r="D79" s="813" t="s">
        <v>653</v>
      </c>
      <c r="E79" s="890">
        <v>0.5</v>
      </c>
      <c r="F79" s="877">
        <v>80</v>
      </c>
    </row>
    <row r="80" spans="1:6" s="873" customFormat="1" ht="36">
      <c r="A80" s="877">
        <v>20</v>
      </c>
      <c r="B80" s="3382"/>
      <c r="C80" s="813" t="s">
        <v>654</v>
      </c>
      <c r="D80" s="813" t="s">
        <v>655</v>
      </c>
      <c r="E80" s="890">
        <v>0.2</v>
      </c>
      <c r="F80" s="877">
        <v>30</v>
      </c>
    </row>
    <row r="81" spans="1:6" s="873" customFormat="1" ht="36">
      <c r="A81" s="877">
        <v>21</v>
      </c>
      <c r="B81" s="3382"/>
      <c r="C81" s="813" t="s">
        <v>656</v>
      </c>
      <c r="D81" s="813" t="s">
        <v>657</v>
      </c>
      <c r="E81" s="890">
        <v>0.2</v>
      </c>
      <c r="F81" s="877">
        <v>30</v>
      </c>
    </row>
    <row r="82" spans="1:6" s="873" customFormat="1" ht="48">
      <c r="A82" s="877">
        <v>22</v>
      </c>
      <c r="B82" s="3382"/>
      <c r="C82" s="813" t="s">
        <v>658</v>
      </c>
      <c r="D82" s="813" t="s">
        <v>659</v>
      </c>
      <c r="E82" s="890">
        <v>0.2</v>
      </c>
      <c r="F82" s="877">
        <v>30</v>
      </c>
    </row>
    <row r="83" spans="1:6" s="873" customFormat="1" ht="48">
      <c r="A83" s="877">
        <v>23</v>
      </c>
      <c r="B83" s="3382"/>
      <c r="C83" s="813" t="s">
        <v>660</v>
      </c>
      <c r="D83" s="813" t="s">
        <v>661</v>
      </c>
      <c r="E83" s="890">
        <v>0.2</v>
      </c>
      <c r="F83" s="877">
        <v>30</v>
      </c>
    </row>
    <row r="84" spans="1:6" s="873" customFormat="1" ht="36">
      <c r="A84" s="877">
        <v>24</v>
      </c>
      <c r="B84" s="3382"/>
      <c r="C84" s="813" t="s">
        <v>662</v>
      </c>
      <c r="D84" s="813" t="s">
        <v>663</v>
      </c>
      <c r="E84" s="890">
        <v>0.2</v>
      </c>
      <c r="F84" s="877">
        <v>30</v>
      </c>
    </row>
    <row r="85" spans="1:6" s="873" customFormat="1" ht="36">
      <c r="A85" s="877">
        <v>25</v>
      </c>
      <c r="B85" s="3382"/>
      <c r="C85" s="813" t="s">
        <v>664</v>
      </c>
      <c r="D85" s="813" t="s">
        <v>665</v>
      </c>
      <c r="E85" s="890">
        <v>0.5</v>
      </c>
      <c r="F85" s="877">
        <v>80</v>
      </c>
    </row>
    <row r="86" spans="1:6" s="873" customFormat="1" ht="36">
      <c r="A86" s="877">
        <v>26</v>
      </c>
      <c r="B86" s="3382"/>
      <c r="C86" s="813" t="s">
        <v>666</v>
      </c>
      <c r="D86" s="813" t="s">
        <v>667</v>
      </c>
      <c r="E86" s="890">
        <v>0.2</v>
      </c>
      <c r="F86" s="877">
        <v>30</v>
      </c>
    </row>
    <row r="87" spans="1:6" s="873" customFormat="1" ht="36">
      <c r="A87" s="877">
        <v>27</v>
      </c>
      <c r="B87" s="3382"/>
      <c r="C87" s="813" t="s">
        <v>668</v>
      </c>
      <c r="D87" s="813" t="s">
        <v>669</v>
      </c>
      <c r="E87" s="890">
        <v>0.2</v>
      </c>
      <c r="F87" s="877">
        <v>30</v>
      </c>
    </row>
    <row r="88" spans="1:6" s="873" customFormat="1" ht="36">
      <c r="A88" s="877">
        <v>28</v>
      </c>
      <c r="B88" s="3382"/>
      <c r="C88" s="813" t="s">
        <v>670</v>
      </c>
      <c r="D88" s="813" t="s">
        <v>671</v>
      </c>
      <c r="E88" s="890">
        <v>0.2</v>
      </c>
      <c r="F88" s="877">
        <v>30</v>
      </c>
    </row>
    <row r="89" spans="1:6" s="873" customFormat="1" ht="24">
      <c r="A89" s="877">
        <v>29</v>
      </c>
      <c r="B89" s="3382"/>
      <c r="C89" s="813" t="s">
        <v>672</v>
      </c>
      <c r="D89" s="813" t="s">
        <v>673</v>
      </c>
      <c r="E89" s="890">
        <v>0.2</v>
      </c>
      <c r="F89" s="877">
        <v>30</v>
      </c>
    </row>
    <row r="90" spans="1:6" s="873" customFormat="1" ht="24">
      <c r="A90" s="877">
        <v>30</v>
      </c>
      <c r="B90" s="3382"/>
      <c r="C90" s="813" t="s">
        <v>674</v>
      </c>
      <c r="D90" s="813" t="s">
        <v>675</v>
      </c>
      <c r="E90" s="890">
        <v>0.2</v>
      </c>
      <c r="F90" s="877">
        <v>30</v>
      </c>
    </row>
    <row r="91" spans="1:6" s="873" customFormat="1" ht="36">
      <c r="A91" s="877">
        <v>31</v>
      </c>
      <c r="B91" s="3382"/>
      <c r="C91" s="813" t="s">
        <v>676</v>
      </c>
      <c r="D91" s="813" t="s">
        <v>677</v>
      </c>
      <c r="E91" s="890">
        <v>0.2</v>
      </c>
      <c r="F91" s="877">
        <v>30</v>
      </c>
    </row>
    <row r="92" spans="1:6" s="873" customFormat="1" ht="24">
      <c r="A92" s="877">
        <v>32</v>
      </c>
      <c r="B92" s="3382" t="s">
        <v>678</v>
      </c>
      <c r="C92" s="877" t="s">
        <v>679</v>
      </c>
      <c r="D92" s="813" t="s">
        <v>680</v>
      </c>
      <c r="E92" s="890">
        <v>0.2</v>
      </c>
      <c r="F92" s="877">
        <v>30</v>
      </c>
    </row>
    <row r="93" spans="1:6" s="873" customFormat="1" ht="36">
      <c r="A93" s="877">
        <v>33</v>
      </c>
      <c r="B93" s="3382"/>
      <c r="C93" s="877" t="s">
        <v>681</v>
      </c>
      <c r="D93" s="813" t="s">
        <v>682</v>
      </c>
      <c r="E93" s="890">
        <v>0.2</v>
      </c>
      <c r="F93" s="877">
        <v>30</v>
      </c>
    </row>
    <row r="94" spans="1:6" s="873" customFormat="1" ht="48">
      <c r="A94" s="877">
        <v>34</v>
      </c>
      <c r="B94" s="3382"/>
      <c r="C94" s="877" t="s">
        <v>683</v>
      </c>
      <c r="D94" s="813" t="s">
        <v>684</v>
      </c>
      <c r="E94" s="890">
        <v>0.2</v>
      </c>
      <c r="F94" s="877">
        <v>30</v>
      </c>
    </row>
    <row r="95" spans="1:6" s="873" customFormat="1" ht="36">
      <c r="A95" s="877">
        <v>35</v>
      </c>
      <c r="B95" s="3382"/>
      <c r="C95" s="877" t="s">
        <v>685</v>
      </c>
      <c r="D95" s="813" t="s">
        <v>686</v>
      </c>
      <c r="E95" s="890">
        <v>0.2</v>
      </c>
      <c r="F95" s="877">
        <v>30</v>
      </c>
    </row>
    <row r="96" spans="1:6" s="873" customFormat="1" ht="48">
      <c r="A96" s="877">
        <v>36</v>
      </c>
      <c r="B96" s="3382"/>
      <c r="C96" s="813" t="s">
        <v>687</v>
      </c>
      <c r="D96" s="813" t="s">
        <v>688</v>
      </c>
      <c r="E96" s="890">
        <v>0.2</v>
      </c>
      <c r="F96" s="877">
        <v>30</v>
      </c>
    </row>
    <row r="97" spans="1:6" s="873" customFormat="1" ht="36">
      <c r="A97" s="877">
        <v>37</v>
      </c>
      <c r="B97" s="3382"/>
      <c r="C97" s="877" t="s">
        <v>689</v>
      </c>
      <c r="D97" s="813" t="s">
        <v>690</v>
      </c>
      <c r="E97" s="890">
        <v>0.2</v>
      </c>
      <c r="F97" s="877">
        <v>30</v>
      </c>
    </row>
    <row r="98" spans="1:6" s="873" customFormat="1" ht="36">
      <c r="A98" s="877">
        <v>38</v>
      </c>
      <c r="B98" s="3382"/>
      <c r="C98" s="877" t="s">
        <v>691</v>
      </c>
      <c r="D98" s="813" t="s">
        <v>692</v>
      </c>
      <c r="E98" s="890">
        <v>0.2</v>
      </c>
      <c r="F98" s="877">
        <v>30</v>
      </c>
    </row>
    <row r="99" spans="1:6" s="873" customFormat="1" ht="36">
      <c r="A99" s="877">
        <v>39</v>
      </c>
      <c r="B99" s="3382" t="s">
        <v>693</v>
      </c>
      <c r="C99" s="877" t="s">
        <v>694</v>
      </c>
      <c r="D99" s="813" t="s">
        <v>695</v>
      </c>
      <c r="E99" s="890">
        <v>0.3</v>
      </c>
      <c r="F99" s="877">
        <v>50</v>
      </c>
    </row>
    <row r="100" spans="1:6" s="873" customFormat="1" ht="24">
      <c r="A100" s="877">
        <v>40</v>
      </c>
      <c r="B100" s="3382"/>
      <c r="C100" s="877" t="s">
        <v>696</v>
      </c>
      <c r="D100" s="813" t="s">
        <v>697</v>
      </c>
      <c r="E100" s="890">
        <v>0.2</v>
      </c>
      <c r="F100" s="877">
        <v>30</v>
      </c>
    </row>
    <row r="101" spans="1:6" s="873" customFormat="1" ht="36">
      <c r="A101" s="877">
        <v>41</v>
      </c>
      <c r="B101" s="338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82" t="s">
        <v>708</v>
      </c>
      <c r="C105" s="877" t="s">
        <v>709</v>
      </c>
      <c r="D105" s="813" t="s">
        <v>710</v>
      </c>
      <c r="E105" s="890">
        <v>0.2</v>
      </c>
      <c r="F105" s="877">
        <v>30</v>
      </c>
    </row>
    <row r="106" spans="1:6" s="873" customFormat="1" ht="36">
      <c r="A106" s="877">
        <v>46</v>
      </c>
      <c r="B106" s="3382"/>
      <c r="C106" s="877" t="s">
        <v>711</v>
      </c>
      <c r="D106" s="813" t="s">
        <v>712</v>
      </c>
      <c r="E106" s="890">
        <v>0.2</v>
      </c>
      <c r="F106" s="877">
        <v>30</v>
      </c>
    </row>
    <row r="107" spans="1:6" s="873" customFormat="1" ht="36">
      <c r="A107" s="877">
        <v>47</v>
      </c>
      <c r="B107" s="3382" t="s">
        <v>713</v>
      </c>
      <c r="C107" s="877" t="s">
        <v>714</v>
      </c>
      <c r="D107" s="813" t="s">
        <v>715</v>
      </c>
      <c r="E107" s="890">
        <v>0.3</v>
      </c>
      <c r="F107" s="877">
        <v>50</v>
      </c>
    </row>
    <row r="108" spans="1:6" s="873" customFormat="1" ht="36">
      <c r="A108" s="877">
        <v>48</v>
      </c>
      <c r="B108" s="338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82" t="s">
        <v>724</v>
      </c>
      <c r="C111" s="877" t="s">
        <v>725</v>
      </c>
      <c r="D111" s="813" t="s">
        <v>726</v>
      </c>
      <c r="E111" s="890">
        <v>0.2</v>
      </c>
      <c r="F111" s="877">
        <v>30</v>
      </c>
    </row>
    <row r="112" spans="1:6" s="873" customFormat="1" ht="24">
      <c r="A112" s="877">
        <v>52</v>
      </c>
      <c r="B112" s="3382"/>
      <c r="C112" s="877" t="s">
        <v>727</v>
      </c>
      <c r="D112" s="813" t="s">
        <v>728</v>
      </c>
      <c r="E112" s="890">
        <v>0.2</v>
      </c>
      <c r="F112" s="877">
        <v>30</v>
      </c>
    </row>
    <row r="113" spans="1:6" s="873" customFormat="1" ht="24">
      <c r="A113" s="877">
        <v>53</v>
      </c>
      <c r="B113" s="338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82" t="s">
        <v>737</v>
      </c>
      <c r="C116" s="877" t="s">
        <v>738</v>
      </c>
      <c r="D116" s="813" t="s">
        <v>739</v>
      </c>
      <c r="E116" s="890">
        <v>0.2</v>
      </c>
      <c r="F116" s="877">
        <v>30</v>
      </c>
    </row>
    <row r="117" spans="1:6" ht="36">
      <c r="A117" s="877">
        <v>57</v>
      </c>
      <c r="B117" s="338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3" t="s">
        <v>2992</v>
      </c>
    </row>
    <row r="2" spans="1:5" ht="15.75">
      <c r="A2" s="2892" t="s">
        <v>2984</v>
      </c>
      <c r="B2" s="2893" t="e">
        <f ca="1">SUMIF(B6:B13,"&lt;&gt;#ref!",B6:B13)</f>
        <v>#DIV/0!</v>
      </c>
      <c r="C2" s="2892" t="s">
        <v>2985</v>
      </c>
      <c r="D2" s="2892" t="s">
        <v>2986</v>
      </c>
      <c r="E2" s="2893">
        <f ca="1">SUMIF(E6:E13,"&lt;&gt;#ref!",E6:E13)</f>
        <v>0</v>
      </c>
    </row>
    <row r="3" spans="1:5" ht="15.75">
      <c r="A3" s="2892" t="s">
        <v>2987</v>
      </c>
      <c r="B3" s="2893" t="e">
        <f ca="1">ROUND(B2*10000/E2,0)</f>
        <v>#DIV/0!</v>
      </c>
      <c r="C3" s="2892" t="s">
        <v>2993</v>
      </c>
      <c r="D3" s="2894"/>
      <c r="E3" s="2894"/>
    </row>
    <row r="4" spans="1:5" ht="15.75">
      <c r="A4" s="2895"/>
      <c r="B4" s="2894"/>
      <c r="C4" s="2894"/>
      <c r="D4" s="2894"/>
      <c r="E4" s="2894"/>
    </row>
    <row r="5" spans="1:5" ht="28.5">
      <c r="A5" s="2896" t="s">
        <v>2988</v>
      </c>
      <c r="B5" s="2892" t="s">
        <v>2989</v>
      </c>
      <c r="C5" s="2893"/>
      <c r="D5" s="2894"/>
      <c r="E5" s="2892" t="s">
        <v>2990</v>
      </c>
    </row>
    <row r="6" spans="1:5" ht="15.75">
      <c r="A6" s="2897" t="s">
        <v>2991</v>
      </c>
      <c r="B6" s="2893" t="e">
        <f ca="1">SUMIF(INDIRECT("'"&amp;A6&amp;"'"&amp;"!A:A"),"总价",INDIRECT("'"&amp;A6&amp;"'"&amp;"!B:B"))</f>
        <v>#DIV/0!</v>
      </c>
      <c r="C6" s="2892" t="s">
        <v>2985</v>
      </c>
      <c r="D6" s="2894"/>
      <c r="E6" s="2567">
        <f ca="1">SUMIF(INDIRECT("'"&amp;A6&amp;"'"&amp;"!C:C"),"建筑面积",INDIRECT("'"&amp;A6&amp;"'"&amp;"!D:D"))</f>
        <v>0</v>
      </c>
    </row>
    <row r="7" spans="1:5" ht="15.75">
      <c r="A7" s="2897"/>
      <c r="B7" s="2893" t="e">
        <f ca="1">SUMIF(INDIRECT("'"&amp;A7&amp;"'"&amp;"!A:A"),"总价",INDIRECT("'"&amp;A7&amp;"'"&amp;"!B:B"))</f>
        <v>#REF!</v>
      </c>
      <c r="C7" s="2892" t="s">
        <v>2985</v>
      </c>
      <c r="D7" s="2894"/>
      <c r="E7" s="2567" t="e">
        <f t="shared" ref="E7:E13" ca="1" si="0">SUMIF(INDIRECT("'"&amp;A7&amp;"'"&amp;"!C:C"),"建筑面积",INDIRECT("'"&amp;A7&amp;"'"&amp;"!D:D"))</f>
        <v>#REF!</v>
      </c>
    </row>
    <row r="8" spans="1:5" ht="15.75">
      <c r="A8" s="2897"/>
      <c r="B8" s="2893" t="e">
        <f t="shared" ref="B8:B13" ca="1" si="1">SUMIF(INDIRECT("'"&amp;A8&amp;"'"&amp;"!A:A"),"总价",INDIRECT("'"&amp;A8&amp;"'"&amp;"!B:B"))</f>
        <v>#REF!</v>
      </c>
      <c r="C8" s="2892" t="s">
        <v>2985</v>
      </c>
      <c r="D8" s="2894"/>
      <c r="E8" s="2567" t="e">
        <f t="shared" ca="1" si="0"/>
        <v>#REF!</v>
      </c>
    </row>
    <row r="9" spans="1:5" ht="15.75">
      <c r="A9" s="2897"/>
      <c r="B9" s="2893" t="e">
        <f t="shared" ca="1" si="1"/>
        <v>#REF!</v>
      </c>
      <c r="C9" s="2892" t="s">
        <v>2985</v>
      </c>
      <c r="D9" s="2894"/>
      <c r="E9" s="2567" t="e">
        <f t="shared" ca="1" si="0"/>
        <v>#REF!</v>
      </c>
    </row>
    <row r="10" spans="1:5" ht="15.75">
      <c r="A10" s="2897"/>
      <c r="B10" s="2893" t="e">
        <f t="shared" ca="1" si="1"/>
        <v>#REF!</v>
      </c>
      <c r="C10" s="2892" t="s">
        <v>2985</v>
      </c>
      <c r="D10" s="2894"/>
      <c r="E10" s="2567" t="e">
        <f t="shared" ca="1" si="0"/>
        <v>#REF!</v>
      </c>
    </row>
    <row r="11" spans="1:5" ht="15.75">
      <c r="A11" s="2897"/>
      <c r="B11" s="2893" t="e">
        <f t="shared" ca="1" si="1"/>
        <v>#REF!</v>
      </c>
      <c r="C11" s="2892" t="s">
        <v>2985</v>
      </c>
      <c r="D11" s="2894"/>
      <c r="E11" s="2567" t="e">
        <f t="shared" ca="1" si="0"/>
        <v>#REF!</v>
      </c>
    </row>
    <row r="12" spans="1:5" ht="15.75">
      <c r="A12" s="2897"/>
      <c r="B12" s="2893" t="e">
        <f t="shared" ca="1" si="1"/>
        <v>#REF!</v>
      </c>
      <c r="C12" s="2892" t="s">
        <v>2985</v>
      </c>
      <c r="D12" s="2894"/>
      <c r="E12" s="2567" t="e">
        <f t="shared" ca="1" si="0"/>
        <v>#REF!</v>
      </c>
    </row>
    <row r="13" spans="1:5" ht="15.75">
      <c r="A13" s="2897"/>
      <c r="B13" s="2893" t="e">
        <f t="shared" ca="1" si="1"/>
        <v>#REF!</v>
      </c>
      <c r="C13" s="2892" t="s">
        <v>2985</v>
      </c>
      <c r="D13" s="2894"/>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sqref="A1:XFD1048576"/>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1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1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88" t="s">
        <v>1146</v>
      </c>
      <c r="C1" s="3388"/>
      <c r="D1" s="3388"/>
      <c r="E1" s="3388"/>
      <c r="F1" s="3388"/>
      <c r="G1" s="3387" t="s">
        <v>1147</v>
      </c>
      <c r="H1" s="3387"/>
      <c r="I1" s="3387"/>
      <c r="J1" s="3387"/>
      <c r="K1" s="3387"/>
      <c r="L1" s="3387"/>
      <c r="N1" s="3387" t="s">
        <v>1148</v>
      </c>
      <c r="O1" s="3387"/>
      <c r="P1" s="3387"/>
      <c r="Q1" s="3387"/>
      <c r="R1" s="1440"/>
      <c r="S1" s="3387" t="s">
        <v>1149</v>
      </c>
      <c r="T1" s="3387"/>
      <c r="U1" s="3387"/>
      <c r="V1" s="3387"/>
      <c r="X1" s="3386" t="s">
        <v>1150</v>
      </c>
      <c r="Y1" s="3387"/>
      <c r="Z1" s="3387"/>
      <c r="AA1" s="3387"/>
      <c r="AB1" s="3387"/>
      <c r="AD1" s="3386" t="s">
        <v>1151</v>
      </c>
      <c r="AE1" s="3387"/>
      <c r="AF1" s="3387"/>
      <c r="AG1" s="3387"/>
      <c r="AH1" s="3387"/>
    </row>
    <row r="2" spans="1:34" s="1441" customFormat="1" ht="14.25" thickBot="1">
      <c r="B2" s="1442" t="s">
        <v>1152</v>
      </c>
      <c r="C2" s="1442" t="s">
        <v>1153</v>
      </c>
      <c r="D2" s="1443" t="s">
        <v>1154</v>
      </c>
      <c r="E2" s="1443" t="s">
        <v>1155</v>
      </c>
      <c r="F2" s="1442" t="s">
        <v>1156</v>
      </c>
      <c r="G2" s="1444"/>
      <c r="H2" s="1445"/>
      <c r="I2" s="1442" t="s">
        <v>1152</v>
      </c>
      <c r="J2" s="1443" t="s">
        <v>1380</v>
      </c>
      <c r="K2" s="1443" t="s">
        <v>751</v>
      </c>
      <c r="L2" s="1442" t="s">
        <v>1156</v>
      </c>
      <c r="N2" s="1442" t="s">
        <v>1152</v>
      </c>
      <c r="O2" s="1443" t="s">
        <v>1380</v>
      </c>
      <c r="P2" s="1443" t="s">
        <v>751</v>
      </c>
      <c r="Q2" s="1442" t="s">
        <v>1156</v>
      </c>
      <c r="R2" s="1446"/>
      <c r="S2" s="1442" t="s">
        <v>1152</v>
      </c>
      <c r="T2" s="1443" t="s">
        <v>1380</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08" customFormat="1" ht="14.25">
      <c r="A3" s="2917" t="s">
        <v>3027</v>
      </c>
      <c r="B3" s="2909"/>
      <c r="C3" s="2909"/>
      <c r="D3" s="2910"/>
      <c r="E3" s="2910"/>
      <c r="F3" s="2909"/>
      <c r="G3" s="2911"/>
      <c r="H3" s="2912"/>
      <c r="I3" s="2913">
        <f>ROUND(AVERAGE($I4:$I28),2)</f>
        <v>1.98</v>
      </c>
      <c r="J3" s="2913">
        <f>ROUND(AVERAGE($J4:$J28),2)</f>
        <v>1.41</v>
      </c>
      <c r="K3" s="2913">
        <f>ROUND(AVERAGE($K4:$K28),2)</f>
        <v>2.16</v>
      </c>
      <c r="L3" s="2913">
        <f>ROUND(AVERAGE($L4:$L28),2)</f>
        <v>1.38</v>
      </c>
      <c r="N3" s="2911"/>
      <c r="O3" s="2914"/>
      <c r="P3" s="2914"/>
      <c r="Q3" s="2914"/>
      <c r="R3" s="2914"/>
      <c r="S3" s="2911"/>
      <c r="T3" s="2914"/>
      <c r="U3" s="2914"/>
      <c r="V3" s="2914"/>
      <c r="W3" s="2906"/>
      <c r="X3" s="2915">
        <f>ROUND(SUMPRODUCT(PRODUCT(1+N3:N$27)),4)</f>
        <v>1.5516000000000001</v>
      </c>
      <c r="Y3" s="2915">
        <f>ROUND(SUMPRODUCT(PRODUCT(1+O3:O$27)),4)</f>
        <v>1.3649</v>
      </c>
      <c r="Z3" s="2915">
        <f t="shared" ref="Z3:Z25" si="0">Y3</f>
        <v>1.3649</v>
      </c>
      <c r="AA3" s="2915">
        <f>ROUND(SUMPRODUCT(PRODUCT(1+P3:P$27)),4)</f>
        <v>1.6133999999999999</v>
      </c>
      <c r="AB3" s="2915">
        <f>ROUND(SUMPRODUCT(PRODUCT(1+Q3:Q$27)),4)</f>
        <v>1.3713</v>
      </c>
      <c r="AD3" s="2916">
        <f>ROUND(AVERAGE(I3:I$28)/100,4)</f>
        <v>1.9800000000000002E-2</v>
      </c>
      <c r="AE3" s="2916">
        <f>ROUND(AVERAGE(J3:J$28)/100,4)</f>
        <v>1.41E-2</v>
      </c>
      <c r="AF3" s="2916">
        <f t="shared" ref="AF3:AF26" si="1">AE3</f>
        <v>1.41E-2</v>
      </c>
      <c r="AG3" s="2916">
        <f>ROUND(AVERAGE(K3:K$28)/100,4)</f>
        <v>2.1600000000000001E-2</v>
      </c>
      <c r="AH3" s="2916">
        <f>ROUND(AVERAGE(L3:L$28)/100,4)</f>
        <v>1.38E-2</v>
      </c>
    </row>
    <row r="4" spans="1:34" s="1447" customFormat="1" ht="14.25">
      <c r="B4" s="1448"/>
      <c r="C4" s="1448"/>
      <c r="D4" s="1449"/>
      <c r="E4" s="1449"/>
      <c r="F4" s="1448"/>
      <c r="G4" s="1450"/>
      <c r="H4" s="1451"/>
      <c r="I4" s="2903"/>
      <c r="J4" s="2903"/>
      <c r="K4" s="2903"/>
      <c r="L4" s="2903"/>
      <c r="N4" s="1450"/>
      <c r="O4" s="1452"/>
      <c r="P4" s="1452"/>
      <c r="Q4" s="1452"/>
      <c r="R4" s="1452"/>
      <c r="S4" s="1450"/>
      <c r="T4" s="1452"/>
      <c r="U4" s="1452"/>
      <c r="V4" s="1452"/>
      <c r="X4" s="1453"/>
      <c r="Y4" s="1453"/>
      <c r="Z4" s="1453"/>
      <c r="AA4" s="1453"/>
      <c r="AB4" s="1453"/>
      <c r="AD4" s="1454"/>
      <c r="AE4" s="1454"/>
      <c r="AF4" s="1454"/>
      <c r="AG4" s="1454"/>
      <c r="AH4" s="1454"/>
    </row>
    <row r="5" spans="1:34" s="1724" customFormat="1">
      <c r="A5" s="1722" t="s">
        <v>3045</v>
      </c>
      <c r="B5" s="1784">
        <f t="shared" ref="B5:C12" si="2">B6*(1+N5)</f>
        <v>477.19997390765138</v>
      </c>
      <c r="C5" s="1784">
        <f t="shared" si="2"/>
        <v>351.84874729536665</v>
      </c>
      <c r="D5" s="1784">
        <f t="shared" ref="D5:D17" si="3">C5</f>
        <v>351.84874729536665</v>
      </c>
      <c r="E5" s="1784">
        <f t="shared" ref="E5:F12" si="4">E6*(1+P5)</f>
        <v>682.29768951465201</v>
      </c>
      <c r="F5" s="1784">
        <f t="shared" si="4"/>
        <v>315.26985675409043</v>
      </c>
      <c r="G5" s="2941">
        <v>2019</v>
      </c>
      <c r="H5" s="1723">
        <v>4</v>
      </c>
      <c r="I5" s="2904">
        <v>0</v>
      </c>
      <c r="J5" s="2904">
        <v>0</v>
      </c>
      <c r="K5" s="2904">
        <v>0</v>
      </c>
      <c r="L5" s="2904">
        <v>0</v>
      </c>
      <c r="N5" s="1461">
        <f t="shared" ref="N5:N10" si="5">I5/100</f>
        <v>0</v>
      </c>
      <c r="O5" s="1461">
        <f t="shared" ref="O5:O15" si="6">J5/100</f>
        <v>0</v>
      </c>
      <c r="P5" s="1461">
        <f t="shared" ref="P5:P15" si="7">K5/100</f>
        <v>0</v>
      </c>
      <c r="Q5" s="1461">
        <f t="shared" ref="Q5:Q15" si="8">L5/100</f>
        <v>0</v>
      </c>
      <c r="R5" s="1725"/>
      <c r="S5" s="1726"/>
      <c r="T5" s="1725"/>
      <c r="U5" s="1725"/>
      <c r="V5" s="1725"/>
      <c r="W5" s="2907" t="s">
        <v>3028</v>
      </c>
      <c r="X5" s="1719">
        <f>ROUND(IF(项目基本情况!B7="出让",SUMPRODUCT(PRODUCT(1+N5:N$28)),SUMPRODUCT(PRODUCT(1+N5:N$27))),4)</f>
        <v>1.5516000000000001</v>
      </c>
      <c r="Y5" s="1719">
        <f>ROUND(IF(项目基本情况!B7="出让",SUMPRODUCT(PRODUCT(1+O5:O$28)),SUMPRODUCT(PRODUCT(1+O5:O$27))),4)</f>
        <v>1.3649</v>
      </c>
      <c r="Z5" s="1719">
        <f t="shared" ref="Z5:Z12" si="9">Y5</f>
        <v>1.3649</v>
      </c>
      <c r="AA5" s="1719">
        <f>ROUND(IF(项目基本情况!B7="出让",SUMPRODUCT(PRODUCT(1+P5:P$28)),SUMPRODUCT(PRODUCT(1+P5:P$27))),4)</f>
        <v>1.6133999999999999</v>
      </c>
      <c r="AB5" s="1719">
        <f>ROUND(IF(项目基本情况!B7="出让",SUMPRODUCT(PRODUCT(1+Q5:Q$28)),SUMPRODUCT(PRODUCT(1+Q5:Q$27))),4)</f>
        <v>1.3713</v>
      </c>
      <c r="AD5" s="1462">
        <f>ROUND(AVERAGE(I5:I$28)/100,4)</f>
        <v>1.9800000000000002E-2</v>
      </c>
      <c r="AE5" s="1462">
        <f>ROUND(AVERAGE(J5:J$28)/100,4)</f>
        <v>1.41E-2</v>
      </c>
      <c r="AF5" s="1462">
        <f t="shared" ref="AF5:AF12" si="10">AE5</f>
        <v>1.41E-2</v>
      </c>
      <c r="AG5" s="1462">
        <f>ROUND(AVERAGE(K5:K$28)/100,4)</f>
        <v>2.1600000000000001E-2</v>
      </c>
      <c r="AH5" s="1462">
        <f>ROUND(AVERAGE(L5:L$28)/100,4)</f>
        <v>1.38E-2</v>
      </c>
    </row>
    <row r="6" spans="1:34" s="1460" customFormat="1" ht="13.5" thickBot="1">
      <c r="A6" s="1455" t="s">
        <v>3044</v>
      </c>
      <c r="B6" s="1471">
        <f t="shared" si="2"/>
        <v>477.19997390765138</v>
      </c>
      <c r="C6" s="1471">
        <f t="shared" si="2"/>
        <v>351.84874729536665</v>
      </c>
      <c r="D6" s="1471">
        <f t="shared" si="3"/>
        <v>351.84874729536665</v>
      </c>
      <c r="E6" s="1471">
        <f t="shared" si="4"/>
        <v>682.29768951465201</v>
      </c>
      <c r="F6" s="1471">
        <f t="shared" si="4"/>
        <v>315.26985675409043</v>
      </c>
      <c r="G6" s="2941">
        <v>2019</v>
      </c>
      <c r="H6" s="1458">
        <v>3</v>
      </c>
      <c r="I6" s="1458">
        <v>0.61</v>
      </c>
      <c r="J6" s="1458">
        <v>0.67</v>
      </c>
      <c r="K6" s="1458">
        <v>0.6</v>
      </c>
      <c r="L6" s="1472">
        <v>1.03</v>
      </c>
      <c r="M6" s="1465"/>
      <c r="N6" s="1466">
        <f t="shared" si="5"/>
        <v>6.0999999999999995E-3</v>
      </c>
      <c r="O6" s="1467">
        <f t="shared" si="6"/>
        <v>6.7000000000000002E-3</v>
      </c>
      <c r="P6" s="1467">
        <f t="shared" si="7"/>
        <v>6.0000000000000001E-3</v>
      </c>
      <c r="Q6" s="1467">
        <f t="shared" si="8"/>
        <v>1.03E-2</v>
      </c>
      <c r="R6" s="1468"/>
      <c r="S6" s="1466"/>
      <c r="T6" s="1467"/>
      <c r="U6" s="1467"/>
      <c r="V6" s="1467"/>
      <c r="W6" s="1783"/>
      <c r="X6" s="1781">
        <f>ROUND(IF(项目基本情况!B8="出让",SUMPRODUCT(PRODUCT(1+N6:N$28)),SUMPRODUCT(PRODUCT(1+N6:N$27))),4)</f>
        <v>1.5516000000000001</v>
      </c>
      <c r="Y6" s="1781">
        <f>ROUND(IF(项目基本情况!B8="出让",SUMPRODUCT(PRODUCT(1+O6:O$28)),SUMPRODUCT(PRODUCT(1+O6:O$27))),4)</f>
        <v>1.3649</v>
      </c>
      <c r="Z6" s="1781">
        <f t="shared" si="9"/>
        <v>1.3649</v>
      </c>
      <c r="AA6" s="1781">
        <f>ROUND(IF(项目基本情况!B8="出让",SUMPRODUCT(PRODUCT(1+P6:P$28)),SUMPRODUCT(PRODUCT(1+P6:P$27))),4)</f>
        <v>1.6133999999999999</v>
      </c>
      <c r="AB6" s="1781">
        <f>ROUND(IF(项目基本情况!B8="出让",SUMPRODUCT(PRODUCT(1+Q6:Q$28)),SUMPRODUCT(PRODUCT(1+Q6:Q$27))),4)</f>
        <v>1.3713</v>
      </c>
      <c r="AC6" s="1783"/>
      <c r="AD6" s="1782">
        <f>ROUND(AVERAGE(I6:I$28)/100,4)</f>
        <v>2.07E-2</v>
      </c>
      <c r="AE6" s="1782">
        <f>ROUND(AVERAGE(J6:J$28)/100,4)</f>
        <v>1.47E-2</v>
      </c>
      <c r="AF6" s="1782">
        <f t="shared" si="10"/>
        <v>1.47E-2</v>
      </c>
      <c r="AG6" s="1782">
        <f>ROUND(AVERAGE(K6:K$28)/100,4)</f>
        <v>2.2599999999999999E-2</v>
      </c>
      <c r="AH6" s="1782">
        <f>ROUND(AVERAGE(L6:L$28)/100,4)</f>
        <v>1.44E-2</v>
      </c>
    </row>
    <row r="7" spans="1:34" s="1460" customFormat="1">
      <c r="A7" s="1455" t="s">
        <v>3042</v>
      </c>
      <c r="B7" s="1471">
        <f t="shared" si="2"/>
        <v>474.30670301923408</v>
      </c>
      <c r="C7" s="1471">
        <f t="shared" si="2"/>
        <v>349.50705005996491</v>
      </c>
      <c r="D7" s="1471">
        <f t="shared" si="3"/>
        <v>349.50705005996491</v>
      </c>
      <c r="E7" s="1471">
        <f t="shared" si="4"/>
        <v>678.22831959706957</v>
      </c>
      <c r="F7" s="1471">
        <f t="shared" si="4"/>
        <v>312.0556832169558</v>
      </c>
      <c r="G7" s="2937">
        <v>2019</v>
      </c>
      <c r="H7" s="1456">
        <v>2</v>
      </c>
      <c r="I7" s="1456">
        <v>1.53</v>
      </c>
      <c r="J7" s="1456">
        <v>1.01</v>
      </c>
      <c r="K7" s="1456">
        <v>1.62</v>
      </c>
      <c r="L7" s="1457">
        <v>1.25</v>
      </c>
      <c r="M7" s="1465"/>
      <c r="N7" s="1466">
        <f t="shared" si="5"/>
        <v>1.5300000000000001E-2</v>
      </c>
      <c r="O7" s="1467">
        <f t="shared" si="6"/>
        <v>1.01E-2</v>
      </c>
      <c r="P7" s="1467">
        <f t="shared" si="7"/>
        <v>1.6200000000000003E-2</v>
      </c>
      <c r="Q7" s="1467">
        <f t="shared" si="8"/>
        <v>1.2500000000000001E-2</v>
      </c>
      <c r="R7" s="1468"/>
      <c r="S7" s="1466"/>
      <c r="T7" s="1467"/>
      <c r="U7" s="1467"/>
      <c r="V7" s="1467"/>
      <c r="W7" s="1783"/>
      <c r="X7" s="1781">
        <f>ROUND(IF(项目基本情况!B8="出让",SUMPRODUCT(PRODUCT(1+N7:N$28)),SUMPRODUCT(PRODUCT(1+N7:N$27))),4)</f>
        <v>1.5422</v>
      </c>
      <c r="Y7" s="1781">
        <f>ROUND(IF(项目基本情况!B8="出让",SUMPRODUCT(PRODUCT(1+O7:O$28)),SUMPRODUCT(PRODUCT(1+O7:O$27))),4)</f>
        <v>1.3557999999999999</v>
      </c>
      <c r="Z7" s="1781">
        <f t="shared" si="9"/>
        <v>1.3557999999999999</v>
      </c>
      <c r="AA7" s="1781">
        <f>ROUND(IF(项目基本情况!B8="出让",SUMPRODUCT(PRODUCT(1+P7:P$28)),SUMPRODUCT(PRODUCT(1+P7:P$27))),4)</f>
        <v>1.6036999999999999</v>
      </c>
      <c r="AB7" s="1781">
        <f>ROUND(IF(项目基本情况!B8="出让",SUMPRODUCT(PRODUCT(1+Q7:Q$28)),SUMPRODUCT(PRODUCT(1+Q7:Q$27))),4)</f>
        <v>1.3573</v>
      </c>
      <c r="AC7" s="1783"/>
      <c r="AD7" s="1782">
        <f>ROUND(AVERAGE(I7:I$28)/100,4)</f>
        <v>2.1299999999999999E-2</v>
      </c>
      <c r="AE7" s="1782">
        <f>ROUND(AVERAGE(J7:J$28)/100,4)</f>
        <v>1.4999999999999999E-2</v>
      </c>
      <c r="AF7" s="1782">
        <f t="shared" si="10"/>
        <v>1.4999999999999999E-2</v>
      </c>
      <c r="AG7" s="1782">
        <f>ROUND(AVERAGE(K7:K$28)/100,4)</f>
        <v>2.3300000000000001E-2</v>
      </c>
      <c r="AH7" s="1782">
        <f>ROUND(AVERAGE(L7:L$28)/100,4)</f>
        <v>1.46E-2</v>
      </c>
    </row>
    <row r="8" spans="1:34" s="1460" customFormat="1" ht="13.5" thickBot="1">
      <c r="A8" s="1455" t="s">
        <v>3040</v>
      </c>
      <c r="B8" s="1471">
        <f t="shared" si="2"/>
        <v>467.15916775261894</v>
      </c>
      <c r="C8" s="1471">
        <f t="shared" si="2"/>
        <v>346.01232557169084</v>
      </c>
      <c r="D8" s="1471">
        <f t="shared" si="3"/>
        <v>346.01232557169084</v>
      </c>
      <c r="E8" s="1471">
        <f t="shared" si="4"/>
        <v>667.41617752122568</v>
      </c>
      <c r="F8" s="1471">
        <f t="shared" si="4"/>
        <v>308.20314391798104</v>
      </c>
      <c r="G8" s="2921">
        <v>2019</v>
      </c>
      <c r="H8" s="1458">
        <v>1</v>
      </c>
      <c r="I8" s="1458">
        <v>0.6</v>
      </c>
      <c r="J8" s="1458">
        <v>0.37</v>
      </c>
      <c r="K8" s="1458">
        <v>0.63</v>
      </c>
      <c r="L8" s="1472">
        <v>1.1299999999999999</v>
      </c>
      <c r="M8" s="1465"/>
      <c r="N8" s="1466">
        <f t="shared" si="5"/>
        <v>6.0000000000000001E-3</v>
      </c>
      <c r="O8" s="1467">
        <f t="shared" si="6"/>
        <v>3.7000000000000002E-3</v>
      </c>
      <c r="P8" s="1467">
        <f t="shared" si="7"/>
        <v>6.3E-3</v>
      </c>
      <c r="Q8" s="1467">
        <f t="shared" si="8"/>
        <v>1.1299999999999999E-2</v>
      </c>
      <c r="R8" s="1468"/>
      <c r="S8" s="1466">
        <f>B8/B9-1</f>
        <v>6.0000000000000053E-3</v>
      </c>
      <c r="T8" s="1467">
        <f>C8/C9-1</f>
        <v>3.7000000000000366E-3</v>
      </c>
      <c r="U8" s="1467">
        <f>D8/D9-1</f>
        <v>3.7000000000000366E-3</v>
      </c>
      <c r="V8" s="1467">
        <f>E8/E9-1</f>
        <v>6.2999999999999723E-3</v>
      </c>
      <c r="W8" s="1783"/>
      <c r="X8" s="1781">
        <f>ROUND(IF(项目基本情况!B8="出让",SUMPRODUCT(PRODUCT(1+N8:N$28)),SUMPRODUCT(PRODUCT(1+N8:N$27))),4)</f>
        <v>1.5189999999999999</v>
      </c>
      <c r="Y8" s="1781">
        <f>ROUND(IF(项目基本情况!B8="出让",SUMPRODUCT(PRODUCT(1+O8:O$28)),SUMPRODUCT(PRODUCT(1+O8:O$27))),4)</f>
        <v>1.3423</v>
      </c>
      <c r="Z8" s="1781">
        <f t="shared" si="9"/>
        <v>1.3423</v>
      </c>
      <c r="AA8" s="1781">
        <f>ROUND(IF(项目基本情况!B8="出让",SUMPRODUCT(PRODUCT(1+P8:P$28)),SUMPRODUCT(PRODUCT(1+P8:P$27))),4)</f>
        <v>1.5782</v>
      </c>
      <c r="AB8" s="1781">
        <f>ROUND(IF(项目基本情况!B8="出让",SUMPRODUCT(PRODUCT(1+Q8:Q$28)),SUMPRODUCT(PRODUCT(1+Q8:Q$27))),4)</f>
        <v>1.3405</v>
      </c>
      <c r="AC8" s="1783"/>
      <c r="AD8" s="1782">
        <f>ROUND(AVERAGE(I8:I$28)/100,4)</f>
        <v>2.1600000000000001E-2</v>
      </c>
      <c r="AE8" s="1782">
        <f>ROUND(AVERAGE(J8:J$28)/100,4)</f>
        <v>1.5299999999999999E-2</v>
      </c>
      <c r="AF8" s="1782">
        <f t="shared" si="10"/>
        <v>1.5299999999999999E-2</v>
      </c>
      <c r="AG8" s="1782">
        <f>ROUND(AVERAGE(K8:K$28)/100,4)</f>
        <v>2.3699999999999999E-2</v>
      </c>
      <c r="AH8" s="1782">
        <f>ROUND(AVERAGE(L8:L$28)/100,4)</f>
        <v>1.47E-2</v>
      </c>
    </row>
    <row r="9" spans="1:34" s="1460" customFormat="1">
      <c r="A9" s="1455" t="s">
        <v>3043</v>
      </c>
      <c r="B9" s="2938">
        <f t="shared" si="2"/>
        <v>464.37293017158942</v>
      </c>
      <c r="C9" s="2938">
        <f t="shared" si="2"/>
        <v>344.73679941385956</v>
      </c>
      <c r="D9" s="2938">
        <f t="shared" si="3"/>
        <v>344.73679941385956</v>
      </c>
      <c r="E9" s="2938">
        <f t="shared" si="4"/>
        <v>663.2377795103107</v>
      </c>
      <c r="F9" s="2939">
        <f t="shared" si="4"/>
        <v>304.75936311478398</v>
      </c>
      <c r="G9" s="3384">
        <v>2018</v>
      </c>
      <c r="H9" s="1456">
        <v>4</v>
      </c>
      <c r="I9" s="1456">
        <v>0.96</v>
      </c>
      <c r="J9" s="1456">
        <v>1.03</v>
      </c>
      <c r="K9" s="1456">
        <v>0.92</v>
      </c>
      <c r="L9" s="1457">
        <v>1.29</v>
      </c>
      <c r="M9" s="1465"/>
      <c r="N9" s="1466">
        <f t="shared" si="5"/>
        <v>9.5999999999999992E-3</v>
      </c>
      <c r="O9" s="1467">
        <f t="shared" si="6"/>
        <v>1.03E-2</v>
      </c>
      <c r="P9" s="1467">
        <f t="shared" si="7"/>
        <v>9.1999999999999998E-3</v>
      </c>
      <c r="Q9" s="1467">
        <f t="shared" si="8"/>
        <v>1.29E-2</v>
      </c>
      <c r="R9" s="1468"/>
      <c r="S9" s="1466"/>
      <c r="T9" s="1467"/>
      <c r="U9" s="1467"/>
      <c r="V9" s="1467"/>
      <c r="W9" s="1783"/>
      <c r="X9" s="1781">
        <f>ROUND(SUMPRODUCT(PRODUCT(1+N9:N$27)),4)</f>
        <v>1.5099</v>
      </c>
      <c r="Y9" s="1781">
        <f>ROUND(SUMPRODUCT(PRODUCT(1+O9:O$27)),4)</f>
        <v>1.3372999999999999</v>
      </c>
      <c r="Z9" s="1781">
        <f t="shared" si="9"/>
        <v>1.3372999999999999</v>
      </c>
      <c r="AA9" s="1781">
        <f>ROUND(SUMPRODUCT(PRODUCT(1+P9:P$27)),4)</f>
        <v>1.5683</v>
      </c>
      <c r="AB9" s="1781">
        <f>ROUND(SUMPRODUCT(PRODUCT(1+Q9:Q$27)),4)</f>
        <v>1.3255999999999999</v>
      </c>
      <c r="AC9" s="1783"/>
      <c r="AD9" s="1782">
        <f>ROUND(AVERAGE(I9:I$28)/100,4)</f>
        <v>2.24E-2</v>
      </c>
      <c r="AE9" s="1782">
        <f>ROUND(AVERAGE(J9:J$28)/100,4)</f>
        <v>1.5800000000000002E-2</v>
      </c>
      <c r="AF9" s="1782">
        <f t="shared" si="10"/>
        <v>1.5800000000000002E-2</v>
      </c>
      <c r="AG9" s="1782">
        <f>ROUND(AVERAGE(K9:K$28)/100,4)</f>
        <v>2.4500000000000001E-2</v>
      </c>
      <c r="AH9" s="1782">
        <f>ROUND(AVERAGE(L9:L$28)/100,4)</f>
        <v>1.49E-2</v>
      </c>
    </row>
    <row r="10" spans="1:34" s="1460" customFormat="1" ht="14.45" customHeight="1">
      <c r="A10" s="1455" t="s">
        <v>3034</v>
      </c>
      <c r="B10" s="1471">
        <f t="shared" si="2"/>
        <v>459.95733971036987</v>
      </c>
      <c r="C10" s="1471">
        <f t="shared" si="2"/>
        <v>341.22221064422405</v>
      </c>
      <c r="D10" s="1471">
        <f t="shared" si="3"/>
        <v>341.22221064422405</v>
      </c>
      <c r="E10" s="1471">
        <f t="shared" si="4"/>
        <v>657.19161663724799</v>
      </c>
      <c r="F10" s="1471">
        <f t="shared" si="4"/>
        <v>300.87803644464805</v>
      </c>
      <c r="G10" s="3384"/>
      <c r="H10" s="1458">
        <v>3</v>
      </c>
      <c r="I10" s="1458">
        <v>1.51</v>
      </c>
      <c r="J10" s="1458">
        <v>1.41</v>
      </c>
      <c r="K10" s="1458">
        <v>1.52</v>
      </c>
      <c r="L10" s="1472">
        <v>1.74</v>
      </c>
      <c r="M10" s="1465"/>
      <c r="N10" s="1466">
        <f t="shared" si="5"/>
        <v>1.5100000000000001E-2</v>
      </c>
      <c r="O10" s="1467">
        <f t="shared" si="6"/>
        <v>1.41E-2</v>
      </c>
      <c r="P10" s="1467">
        <f t="shared" si="7"/>
        <v>1.52E-2</v>
      </c>
      <c r="Q10" s="1467">
        <f t="shared" si="8"/>
        <v>1.7399999999999999E-2</v>
      </c>
      <c r="R10" s="1468"/>
      <c r="S10" s="1466"/>
      <c r="T10" s="1467"/>
      <c r="U10" s="1467"/>
      <c r="V10" s="1467"/>
      <c r="W10" s="1783"/>
      <c r="X10" s="1781">
        <f>ROUND(SUMPRODUCT(PRODUCT(1+N10:N$27)),4)</f>
        <v>1.4956</v>
      </c>
      <c r="Y10" s="1781">
        <f>ROUND(SUMPRODUCT(PRODUCT(1+O10:O$27)),4)</f>
        <v>1.3237000000000001</v>
      </c>
      <c r="Z10" s="1781">
        <f t="shared" si="9"/>
        <v>1.3237000000000001</v>
      </c>
      <c r="AA10" s="1781">
        <f>ROUND(SUMPRODUCT(PRODUCT(1+P10:P$27)),4)</f>
        <v>1.554</v>
      </c>
      <c r="AB10" s="1781">
        <f>ROUND(SUMPRODUCT(PRODUCT(1+Q10:Q$27)),4)</f>
        <v>1.3087</v>
      </c>
      <c r="AC10" s="1783"/>
      <c r="AD10" s="1782">
        <f>ROUND(AVERAGE(I10:I$28)/100,4)</f>
        <v>2.3099999999999999E-2</v>
      </c>
      <c r="AE10" s="1782">
        <f>ROUND(AVERAGE(J10:J$28)/100,4)</f>
        <v>1.61E-2</v>
      </c>
      <c r="AF10" s="1782">
        <f t="shared" si="10"/>
        <v>1.61E-2</v>
      </c>
      <c r="AG10" s="1782">
        <f>ROUND(AVERAGE(K10:K$28)/100,4)</f>
        <v>2.53E-2</v>
      </c>
      <c r="AH10" s="1782">
        <f>ROUND(AVERAGE(L10:L$28)/100,4)</f>
        <v>1.4999999999999999E-2</v>
      </c>
    </row>
    <row r="11" spans="1:34" s="1460" customFormat="1" ht="14.45" customHeight="1">
      <c r="A11" s="1455" t="s">
        <v>3033</v>
      </c>
      <c r="B11" s="1471">
        <f t="shared" si="2"/>
        <v>453.11529869999993</v>
      </c>
      <c r="C11" s="1471">
        <f t="shared" si="2"/>
        <v>336.47787264000004</v>
      </c>
      <c r="D11" s="1471">
        <f t="shared" si="3"/>
        <v>336.47787264000004</v>
      </c>
      <c r="E11" s="1471">
        <f t="shared" si="4"/>
        <v>647.35186823999993</v>
      </c>
      <c r="F11" s="1471">
        <f t="shared" si="4"/>
        <v>295.73229452000004</v>
      </c>
      <c r="G11" s="3384"/>
      <c r="H11" s="1459">
        <v>2</v>
      </c>
      <c r="I11" s="1459">
        <v>1.49</v>
      </c>
      <c r="J11" s="1459">
        <v>0.96</v>
      </c>
      <c r="K11" s="1459">
        <v>1.58</v>
      </c>
      <c r="L11" s="1473">
        <v>2.44</v>
      </c>
      <c r="M11" s="1465"/>
      <c r="N11" s="1466">
        <f>I11/100</f>
        <v>1.49E-2</v>
      </c>
      <c r="O11" s="1467">
        <f t="shared" si="6"/>
        <v>9.5999999999999992E-3</v>
      </c>
      <c r="P11" s="1467">
        <f t="shared" si="7"/>
        <v>1.5800000000000002E-2</v>
      </c>
      <c r="Q11" s="1467">
        <f t="shared" si="8"/>
        <v>2.4399999999999998E-2</v>
      </c>
      <c r="R11" s="1468"/>
      <c r="S11" s="1466"/>
      <c r="T11" s="1467"/>
      <c r="U11" s="1467"/>
      <c r="V11" s="1467"/>
      <c r="W11" s="1783"/>
      <c r="X11" s="1781">
        <f>ROUND(SUMPRODUCT(PRODUCT(1+N11:N$27)),4)</f>
        <v>1.4733000000000001</v>
      </c>
      <c r="Y11" s="1781">
        <f>ROUND(SUMPRODUCT(PRODUCT(1+O11:O$27)),4)</f>
        <v>1.3052999999999999</v>
      </c>
      <c r="Z11" s="1781">
        <f t="shared" si="9"/>
        <v>1.3052999999999999</v>
      </c>
      <c r="AA11" s="1781">
        <f>ROUND(SUMPRODUCT(PRODUCT(1+P11:P$27)),4)</f>
        <v>1.5306999999999999</v>
      </c>
      <c r="AB11" s="1781">
        <f>ROUND(SUMPRODUCT(PRODUCT(1+Q11:Q$27)),4)</f>
        <v>1.2863</v>
      </c>
      <c r="AC11" s="1783"/>
      <c r="AD11" s="1782">
        <f>ROUND(AVERAGE(I11:I$28)/100,4)</f>
        <v>2.35E-2</v>
      </c>
      <c r="AE11" s="1782">
        <f>ROUND(AVERAGE(J11:J$28)/100,4)</f>
        <v>1.6199999999999999E-2</v>
      </c>
      <c r="AF11" s="1782">
        <f t="shared" si="10"/>
        <v>1.6199999999999999E-2</v>
      </c>
      <c r="AG11" s="1782">
        <f>ROUND(AVERAGE(K11:K$28)/100,4)</f>
        <v>2.5899999999999999E-2</v>
      </c>
      <c r="AH11" s="1782">
        <f>ROUND(AVERAGE(L11:L$28)/100,4)</f>
        <v>1.49E-2</v>
      </c>
    </row>
    <row r="12" spans="1:34" s="1460" customFormat="1" ht="15" customHeight="1" thickBot="1">
      <c r="A12" s="1455" t="s">
        <v>3026</v>
      </c>
      <c r="B12" s="1471">
        <f t="shared" si="2"/>
        <v>446.46299999999997</v>
      </c>
      <c r="C12" s="1471">
        <f t="shared" si="2"/>
        <v>333.27840000000003</v>
      </c>
      <c r="D12" s="1471">
        <f t="shared" si="3"/>
        <v>333.27840000000003</v>
      </c>
      <c r="E12" s="1471">
        <f t="shared" si="4"/>
        <v>637.28279999999995</v>
      </c>
      <c r="F12" s="1471">
        <f t="shared" si="4"/>
        <v>288.68830000000003</v>
      </c>
      <c r="G12" s="3393"/>
      <c r="H12" s="1458">
        <v>1</v>
      </c>
      <c r="I12" s="1458">
        <v>1.7</v>
      </c>
      <c r="J12" s="1458">
        <v>1.92</v>
      </c>
      <c r="K12" s="1458">
        <v>1.64</v>
      </c>
      <c r="L12" s="1472">
        <v>2.0099999999999998</v>
      </c>
      <c r="M12" s="1465"/>
      <c r="N12" s="1466">
        <f t="shared" ref="N12:N17" si="11">I12/100</f>
        <v>1.7000000000000001E-2</v>
      </c>
      <c r="O12" s="1467">
        <f t="shared" si="6"/>
        <v>1.9199999999999998E-2</v>
      </c>
      <c r="P12" s="1467">
        <f t="shared" si="7"/>
        <v>1.6399999999999998E-2</v>
      </c>
      <c r="Q12" s="1467">
        <f t="shared" si="8"/>
        <v>2.0099999999999996E-2</v>
      </c>
      <c r="R12" s="1468"/>
      <c r="S12" s="1466">
        <f>B12/B13-1</f>
        <v>1.6999999999999904E-2</v>
      </c>
      <c r="T12" s="1467">
        <f>C12/C13-1</f>
        <v>1.9200000000000106E-2</v>
      </c>
      <c r="U12" s="1467">
        <f>D12/D13-1</f>
        <v>1.9200000000000106E-2</v>
      </c>
      <c r="V12" s="1467">
        <f>E12/E13-1</f>
        <v>1.639999999999997E-2</v>
      </c>
      <c r="W12" s="1783"/>
      <c r="X12" s="1781">
        <f>ROUND(SUMPRODUCT(PRODUCT(1+N12:N$27)),4)</f>
        <v>1.4517</v>
      </c>
      <c r="Y12" s="1781">
        <f>ROUND(SUMPRODUCT(PRODUCT(1+O12:O$27)),4)</f>
        <v>1.2928999999999999</v>
      </c>
      <c r="Z12" s="1781">
        <f t="shared" si="9"/>
        <v>1.2928999999999999</v>
      </c>
      <c r="AA12" s="1781">
        <f>ROUND(SUMPRODUCT(PRODUCT(1+P12:P$27)),4)</f>
        <v>1.5068999999999999</v>
      </c>
      <c r="AB12" s="1781">
        <f>ROUND(SUMPRODUCT(PRODUCT(1+Q12:Q$27)),4)</f>
        <v>1.2557</v>
      </c>
      <c r="AC12" s="1783"/>
      <c r="AD12" s="1782">
        <f>ROUND(AVERAGE(I12:I$28)/100,4)</f>
        <v>2.4E-2</v>
      </c>
      <c r="AE12" s="1782">
        <f>ROUND(AVERAGE(J12:J$28)/100,4)</f>
        <v>1.66E-2</v>
      </c>
      <c r="AF12" s="1782">
        <f t="shared" si="10"/>
        <v>1.66E-2</v>
      </c>
      <c r="AG12" s="1782">
        <f>ROUND(AVERAGE(K12:K$28)/100,4)</f>
        <v>2.6499999999999999E-2</v>
      </c>
      <c r="AH12" s="1782">
        <f>ROUND(AVERAGE(L12:L$28)/100,4)</f>
        <v>1.43E-2</v>
      </c>
    </row>
    <row r="13" spans="1:34">
      <c r="A13" s="1455" t="s">
        <v>3023</v>
      </c>
      <c r="B13" s="1463">
        <v>439</v>
      </c>
      <c r="C13" s="1463">
        <v>327</v>
      </c>
      <c r="D13" s="1463">
        <f t="shared" si="3"/>
        <v>327</v>
      </c>
      <c r="E13" s="1463">
        <v>627</v>
      </c>
      <c r="F13" s="1464">
        <v>283</v>
      </c>
      <c r="G13" s="3389">
        <v>2017</v>
      </c>
      <c r="H13" s="1456">
        <v>4</v>
      </c>
      <c r="I13" s="1456">
        <v>1.71</v>
      </c>
      <c r="J13" s="1456">
        <v>1.78</v>
      </c>
      <c r="K13" s="1456">
        <v>1.71</v>
      </c>
      <c r="L13" s="1457">
        <v>1.43</v>
      </c>
      <c r="N13" s="1466">
        <f t="shared" si="11"/>
        <v>1.7100000000000001E-2</v>
      </c>
      <c r="O13" s="1467">
        <f t="shared" si="6"/>
        <v>1.78E-2</v>
      </c>
      <c r="P13" s="1467">
        <f t="shared" si="7"/>
        <v>1.7100000000000001E-2</v>
      </c>
      <c r="Q13" s="1467">
        <f t="shared" si="8"/>
        <v>1.43E-2</v>
      </c>
      <c r="R13" s="1468"/>
      <c r="S13" s="1469"/>
      <c r="T13" s="1470"/>
      <c r="U13" s="1470"/>
      <c r="V13" s="1470"/>
      <c r="X13" s="1453">
        <f>ROUND(SUMPRODUCT(PRODUCT(1+N13:N$27)),4)</f>
        <v>1.4274</v>
      </c>
      <c r="Y13" s="1453">
        <f>ROUND(SUMPRODUCT(PRODUCT(1+O13:O$27)),4)</f>
        <v>1.2685</v>
      </c>
      <c r="Z13" s="1453">
        <f t="shared" si="0"/>
        <v>1.2685</v>
      </c>
      <c r="AA13" s="1453">
        <f>ROUND(SUMPRODUCT(PRODUCT(1+P13:P$27)),4)</f>
        <v>1.4825999999999999</v>
      </c>
      <c r="AB13" s="1453">
        <f>ROUND(SUMPRODUCT(PRODUCT(1+Q13:Q$27)),4)</f>
        <v>1.2309000000000001</v>
      </c>
      <c r="AD13" s="1454">
        <f>ROUND(AVERAGE(I13:I$28)/100,4)</f>
        <v>2.4500000000000001E-2</v>
      </c>
      <c r="AE13" s="1454">
        <f>ROUND(AVERAGE(J13:J$28)/100,4)</f>
        <v>1.6500000000000001E-2</v>
      </c>
      <c r="AF13" s="1454">
        <f t="shared" si="1"/>
        <v>1.6500000000000001E-2</v>
      </c>
      <c r="AG13" s="1454">
        <f>ROUND(AVERAGE(K13:K$28)/100,4)</f>
        <v>2.7099999999999999E-2</v>
      </c>
      <c r="AH13" s="1454">
        <f>ROUND(AVERAGE(L13:L$28)/100,4)</f>
        <v>1.3899999999999999E-2</v>
      </c>
    </row>
    <row r="14" spans="1:34" s="1460" customFormat="1" ht="14.45" customHeight="1">
      <c r="A14" s="1455" t="s">
        <v>3024</v>
      </c>
      <c r="B14" s="1471">
        <f t="shared" ref="B14:C16" si="12">B15*(1+N14)</f>
        <v>431.80730811680002</v>
      </c>
      <c r="C14" s="1471">
        <f t="shared" si="12"/>
        <v>320.57880516480003</v>
      </c>
      <c r="D14" s="1471">
        <f t="shared" si="3"/>
        <v>320.57880516480003</v>
      </c>
      <c r="E14" s="1471">
        <f t="shared" ref="E14:F16" si="13">E15*(1+P14)</f>
        <v>615.96110553196797</v>
      </c>
      <c r="F14" s="1471">
        <f t="shared" si="13"/>
        <v>279.46777300108801</v>
      </c>
      <c r="G14" s="3384"/>
      <c r="H14" s="1458">
        <v>3</v>
      </c>
      <c r="I14" s="1458">
        <v>2.98</v>
      </c>
      <c r="J14" s="1458">
        <v>2.11</v>
      </c>
      <c r="K14" s="1458">
        <v>3.24</v>
      </c>
      <c r="L14" s="1472">
        <v>1.72</v>
      </c>
      <c r="M14" s="1465"/>
      <c r="N14" s="1466">
        <f t="shared" si="11"/>
        <v>2.98E-2</v>
      </c>
      <c r="O14" s="1467">
        <f t="shared" si="6"/>
        <v>2.1099999999999997E-2</v>
      </c>
      <c r="P14" s="1467">
        <f t="shared" si="7"/>
        <v>3.2400000000000005E-2</v>
      </c>
      <c r="Q14" s="1467">
        <f t="shared" si="8"/>
        <v>1.72E-2</v>
      </c>
      <c r="R14" s="1468"/>
      <c r="S14" s="1466"/>
      <c r="T14" s="1467"/>
      <c r="U14" s="1467"/>
      <c r="V14" s="1467"/>
      <c r="W14" s="1783"/>
      <c r="X14" s="1781">
        <f>ROUND(SUMPRODUCT(PRODUCT(1+N14:N$27)),4)</f>
        <v>1.4034</v>
      </c>
      <c r="Y14" s="1781">
        <f>ROUND(SUMPRODUCT(PRODUCT(1+O14:O$27)),4)</f>
        <v>1.2463</v>
      </c>
      <c r="Z14" s="1781">
        <f t="shared" si="0"/>
        <v>1.2463</v>
      </c>
      <c r="AA14" s="1781">
        <f>ROUND(SUMPRODUCT(PRODUCT(1+P14:P$27)),4)</f>
        <v>1.4577</v>
      </c>
      <c r="AB14" s="1781">
        <f>ROUND(SUMPRODUCT(PRODUCT(1+Q14:Q$27)),4)</f>
        <v>1.2136</v>
      </c>
      <c r="AC14" s="1783"/>
      <c r="AD14" s="1782">
        <f>ROUND(AVERAGE(I14:I$28)/100,4)</f>
        <v>2.4899999999999999E-2</v>
      </c>
      <c r="AE14" s="1782">
        <f>ROUND(AVERAGE(J14:J$28)/100,4)</f>
        <v>1.6400000000000001E-2</v>
      </c>
      <c r="AF14" s="1782">
        <f t="shared" si="1"/>
        <v>1.6400000000000001E-2</v>
      </c>
      <c r="AG14" s="1782">
        <f>ROUND(AVERAGE(K14:K$28)/100,4)</f>
        <v>2.7799999999999998E-2</v>
      </c>
      <c r="AH14" s="1782">
        <f>ROUND(AVERAGE(L14:L$28)/100,4)</f>
        <v>1.3899999999999999E-2</v>
      </c>
    </row>
    <row r="15" spans="1:34" s="1724" customFormat="1" ht="14.45" customHeight="1">
      <c r="A15" s="1455" t="s">
        <v>1381</v>
      </c>
      <c r="B15" s="1471">
        <f t="shared" si="12"/>
        <v>419.31181600000002</v>
      </c>
      <c r="C15" s="1471">
        <f t="shared" si="12"/>
        <v>313.95436800000004</v>
      </c>
      <c r="D15" s="1471">
        <f t="shared" si="3"/>
        <v>313.95436800000004</v>
      </c>
      <c r="E15" s="1471">
        <f t="shared" si="13"/>
        <v>596.63028431999999</v>
      </c>
      <c r="F15" s="1471">
        <f t="shared" si="13"/>
        <v>274.74220703999998</v>
      </c>
      <c r="G15" s="3384"/>
      <c r="H15" s="1459">
        <v>2</v>
      </c>
      <c r="I15" s="1459">
        <v>3.4</v>
      </c>
      <c r="J15" s="1459">
        <v>2</v>
      </c>
      <c r="K15" s="1459">
        <v>3.82</v>
      </c>
      <c r="L15" s="1473">
        <v>1.68</v>
      </c>
      <c r="M15" s="1465"/>
      <c r="N15" s="1466">
        <f t="shared" si="11"/>
        <v>3.4000000000000002E-2</v>
      </c>
      <c r="O15" s="1467">
        <f t="shared" si="6"/>
        <v>0.02</v>
      </c>
      <c r="P15" s="1467">
        <f t="shared" si="7"/>
        <v>3.8199999999999998E-2</v>
      </c>
      <c r="Q15" s="1467">
        <f t="shared" si="8"/>
        <v>1.6799999999999999E-2</v>
      </c>
      <c r="R15" s="1468"/>
      <c r="S15" s="1469"/>
      <c r="T15" s="1470"/>
      <c r="U15" s="1470"/>
      <c r="V15" s="1470"/>
      <c r="W15" s="1447"/>
      <c r="X15" s="1781">
        <f>ROUND(SUMPRODUCT(PRODUCT(1+N15:N$27)),4)</f>
        <v>1.3628</v>
      </c>
      <c r="Y15" s="1781">
        <f>ROUND(SUMPRODUCT(PRODUCT(1+O15:O$27)),4)</f>
        <v>1.2205999999999999</v>
      </c>
      <c r="Z15" s="1781">
        <f t="shared" si="0"/>
        <v>1.2205999999999999</v>
      </c>
      <c r="AA15" s="1781">
        <f>ROUND(SUMPRODUCT(PRODUCT(1+P15:P$27)),4)</f>
        <v>1.4118999999999999</v>
      </c>
      <c r="AB15" s="1781">
        <f>ROUND(SUMPRODUCT(PRODUCT(1+Q15:Q$27)),4)</f>
        <v>1.1930000000000001</v>
      </c>
      <c r="AC15" s="1447"/>
      <c r="AD15" s="1782">
        <f>ROUND(AVERAGE(I15:I$28)/100,4)</f>
        <v>2.46E-2</v>
      </c>
      <c r="AE15" s="1782">
        <f>ROUND(AVERAGE(J15:J$28)/100,4)</f>
        <v>1.6E-2</v>
      </c>
      <c r="AF15" s="1782">
        <f t="shared" si="1"/>
        <v>1.6E-2</v>
      </c>
      <c r="AG15" s="1782">
        <f>ROUND(AVERAGE(K15:K$28)/100,4)</f>
        <v>2.75E-2</v>
      </c>
      <c r="AH15" s="1782">
        <f>ROUND(AVERAGE(L15:L$28)/100,4)</f>
        <v>1.37E-2</v>
      </c>
    </row>
    <row r="16" spans="1:34" s="1460" customFormat="1" ht="15" customHeight="1" thickBot="1">
      <c r="A16" s="1455" t="s">
        <v>1157</v>
      </c>
      <c r="B16" s="1471">
        <f t="shared" si="12"/>
        <v>405.524</v>
      </c>
      <c r="C16" s="1471">
        <f t="shared" si="12"/>
        <v>307.79840000000002</v>
      </c>
      <c r="D16" s="1471">
        <f t="shared" si="3"/>
        <v>307.79840000000002</v>
      </c>
      <c r="E16" s="1471">
        <f t="shared" si="13"/>
        <v>574.67759999999998</v>
      </c>
      <c r="F16" s="1471">
        <f t="shared" si="13"/>
        <v>270.20280000000002</v>
      </c>
      <c r="G16" s="3393"/>
      <c r="H16" s="1458">
        <v>1</v>
      </c>
      <c r="I16" s="1458">
        <v>3.45</v>
      </c>
      <c r="J16" s="1458">
        <v>1.92</v>
      </c>
      <c r="K16" s="1458">
        <v>3.92</v>
      </c>
      <c r="L16" s="1472">
        <v>1.58</v>
      </c>
      <c r="M16" s="1465"/>
      <c r="N16" s="1466">
        <f t="shared" si="11"/>
        <v>3.4500000000000003E-2</v>
      </c>
      <c r="O16" s="1467">
        <f t="shared" ref="O16:Q31" si="14">J16/100</f>
        <v>1.9199999999999998E-2</v>
      </c>
      <c r="P16" s="1467">
        <f t="shared" si="14"/>
        <v>3.9199999999999999E-2</v>
      </c>
      <c r="Q16" s="1467">
        <f t="shared" si="14"/>
        <v>1.5800000000000002E-2</v>
      </c>
      <c r="R16" s="1468"/>
      <c r="S16" s="1466">
        <f>B16/B17-1</f>
        <v>3.4499999999999975E-2</v>
      </c>
      <c r="T16" s="1467">
        <f>C16/C17-1</f>
        <v>1.9200000000000106E-2</v>
      </c>
      <c r="U16" s="1467">
        <f>D16/D17-1</f>
        <v>1.9200000000000106E-2</v>
      </c>
      <c r="V16" s="1467">
        <f>E16/E17-1</f>
        <v>3.9199999999999902E-2</v>
      </c>
      <c r="W16" s="1783"/>
      <c r="X16" s="1781">
        <f>ROUND(SUMPRODUCT(PRODUCT(1+N16:N$27)),4)</f>
        <v>1.3180000000000001</v>
      </c>
      <c r="Y16" s="1781">
        <f>ROUND(SUMPRODUCT(PRODUCT(1+O16:O$27)),4)</f>
        <v>1.1966000000000001</v>
      </c>
      <c r="Z16" s="1781">
        <f t="shared" si="0"/>
        <v>1.1966000000000001</v>
      </c>
      <c r="AA16" s="1781">
        <f>ROUND(SUMPRODUCT(PRODUCT(1+P16:P$27)),4)</f>
        <v>1.36</v>
      </c>
      <c r="AB16" s="1781">
        <f>ROUND(SUMPRODUCT(PRODUCT(1+Q16:Q$27)),4)</f>
        <v>1.1733</v>
      </c>
      <c r="AC16" s="1783"/>
      <c r="AD16" s="1782">
        <f>ROUND(AVERAGE(I16:I$28)/100,4)</f>
        <v>2.3900000000000001E-2</v>
      </c>
      <c r="AE16" s="1782">
        <f>ROUND(AVERAGE(J16:J$28)/100,4)</f>
        <v>1.5699999999999999E-2</v>
      </c>
      <c r="AF16" s="1782">
        <f t="shared" si="1"/>
        <v>1.5699999999999999E-2</v>
      </c>
      <c r="AG16" s="1782">
        <f>ROUND(AVERAGE(K16:K$28)/100,4)</f>
        <v>2.6599999999999999E-2</v>
      </c>
      <c r="AH16" s="1782">
        <f>ROUND(AVERAGE(L16:L$28)/100,4)</f>
        <v>1.34E-2</v>
      </c>
    </row>
    <row r="17" spans="1:34">
      <c r="A17" s="1455" t="s">
        <v>154</v>
      </c>
      <c r="B17" s="1463">
        <v>392</v>
      </c>
      <c r="C17" s="1463">
        <v>302</v>
      </c>
      <c r="D17" s="1463">
        <f t="shared" si="3"/>
        <v>302</v>
      </c>
      <c r="E17" s="1463">
        <v>553</v>
      </c>
      <c r="F17" s="1464">
        <v>266</v>
      </c>
      <c r="G17" s="3389">
        <v>2016</v>
      </c>
      <c r="H17" s="1456">
        <v>4</v>
      </c>
      <c r="I17" s="1456">
        <v>4.5599999999999996</v>
      </c>
      <c r="J17" s="1456">
        <v>2.15</v>
      </c>
      <c r="K17" s="1456">
        <v>5.32</v>
      </c>
      <c r="L17" s="1457">
        <v>1.57</v>
      </c>
      <c r="N17" s="1466">
        <f t="shared" si="11"/>
        <v>4.5599999999999995E-2</v>
      </c>
      <c r="O17" s="1467">
        <f t="shared" si="14"/>
        <v>2.1499999999999998E-2</v>
      </c>
      <c r="P17" s="1467">
        <f t="shared" si="14"/>
        <v>5.3200000000000004E-2</v>
      </c>
      <c r="Q17" s="1467">
        <f t="shared" si="14"/>
        <v>1.5700000000000002E-2</v>
      </c>
      <c r="R17" s="1468"/>
      <c r="S17" s="1469"/>
      <c r="T17" s="1470"/>
      <c r="U17" s="1470"/>
      <c r="V17" s="1470"/>
      <c r="X17" s="1453">
        <f>ROUND(SUMPRODUCT(PRODUCT(1+N17:N$27)),4)</f>
        <v>1.274</v>
      </c>
      <c r="Y17" s="1453">
        <f>ROUND(SUMPRODUCT(PRODUCT(1+O17:O$27)),4)</f>
        <v>1.1740999999999999</v>
      </c>
      <c r="Z17" s="1453">
        <f t="shared" si="0"/>
        <v>1.1740999999999999</v>
      </c>
      <c r="AA17" s="1453">
        <f>ROUND(SUMPRODUCT(PRODUCT(1+P17:P$27)),4)</f>
        <v>1.3087</v>
      </c>
      <c r="AB17" s="1453">
        <f>ROUND(SUMPRODUCT(PRODUCT(1+Q17:Q$27)),4)</f>
        <v>1.1551</v>
      </c>
      <c r="AD17" s="1454">
        <f>ROUND(AVERAGE(I17:I$28)/100,4)</f>
        <v>2.3E-2</v>
      </c>
      <c r="AE17" s="1454">
        <f>ROUND(AVERAGE(J17:J$28)/100,4)</f>
        <v>1.55E-2</v>
      </c>
      <c r="AF17" s="1454">
        <f t="shared" si="1"/>
        <v>1.55E-2</v>
      </c>
      <c r="AG17" s="1454">
        <f>ROUND(AVERAGE(K17:K$28)/100,4)</f>
        <v>2.5600000000000001E-2</v>
      </c>
      <c r="AH17" s="1454">
        <f>ROUND(AVERAGE(L17:L$28)/100,4)</f>
        <v>1.32E-2</v>
      </c>
    </row>
    <row r="18" spans="1:34">
      <c r="A18" s="1455" t="s">
        <v>153</v>
      </c>
      <c r="B18" s="1471">
        <f t="shared" ref="B18:C20" si="15">B17/(1+N17)</f>
        <v>374.90436113236416</v>
      </c>
      <c r="C18" s="1471">
        <f t="shared" si="15"/>
        <v>295.64366128242779</v>
      </c>
      <c r="D18" s="1471">
        <f t="shared" ref="D18:D77" si="16">C18</f>
        <v>295.64366128242779</v>
      </c>
      <c r="E18" s="1471">
        <f t="shared" ref="E18:F20" si="17">E17/(1+P17)</f>
        <v>525.06646410938095</v>
      </c>
      <c r="F18" s="1471">
        <f t="shared" si="17"/>
        <v>261.88835286009646</v>
      </c>
      <c r="G18" s="3384"/>
      <c r="H18" s="1458">
        <v>3</v>
      </c>
      <c r="I18" s="1458">
        <v>4.12</v>
      </c>
      <c r="J18" s="1458">
        <v>2</v>
      </c>
      <c r="K18" s="1458">
        <v>4.79</v>
      </c>
      <c r="L18" s="1472">
        <v>1.97</v>
      </c>
      <c r="N18" s="1466">
        <f t="shared" ref="N18:Q52" si="18">I18/100</f>
        <v>4.1200000000000001E-2</v>
      </c>
      <c r="O18" s="1467">
        <f t="shared" si="14"/>
        <v>0.02</v>
      </c>
      <c r="P18" s="1467">
        <f t="shared" si="14"/>
        <v>4.7899999999999998E-2</v>
      </c>
      <c r="Q18" s="1467">
        <f t="shared" si="14"/>
        <v>1.9699999999999999E-2</v>
      </c>
      <c r="R18" s="1468"/>
      <c r="S18" s="1466"/>
      <c r="T18" s="1467"/>
      <c r="U18" s="1467"/>
      <c r="V18" s="1467"/>
      <c r="X18" s="1453">
        <f>ROUND(SUMPRODUCT(PRODUCT(1+N18:N$27)),4)</f>
        <v>1.2184999999999999</v>
      </c>
      <c r="Y18" s="1453">
        <f>ROUND(SUMPRODUCT(PRODUCT(1+O18:O$27)),4)</f>
        <v>1.1494</v>
      </c>
      <c r="Z18" s="1453">
        <f t="shared" si="0"/>
        <v>1.1494</v>
      </c>
      <c r="AA18" s="1453">
        <f>ROUND(SUMPRODUCT(PRODUCT(1+P18:P$27)),4)</f>
        <v>1.2425999999999999</v>
      </c>
      <c r="AB18" s="1453">
        <f>ROUND(SUMPRODUCT(PRODUCT(1+Q18:Q$27)),4)</f>
        <v>1.1372</v>
      </c>
      <c r="AD18" s="1454">
        <f>ROUND(AVERAGE(I18:I$28)/100,4)</f>
        <v>2.0899999999999998E-2</v>
      </c>
      <c r="AE18" s="1454">
        <f>ROUND(AVERAGE(J18:J$28)/100,4)</f>
        <v>1.49E-2</v>
      </c>
      <c r="AF18" s="1454">
        <f t="shared" si="1"/>
        <v>1.49E-2</v>
      </c>
      <c r="AG18" s="1454">
        <f>ROUND(AVERAGE(K18:K$28)/100,4)</f>
        <v>2.3099999999999999E-2</v>
      </c>
      <c r="AH18" s="1454">
        <f>ROUND(AVERAGE(L18:L$28)/100,4)</f>
        <v>1.2999999999999999E-2</v>
      </c>
    </row>
    <row r="19" spans="1:34">
      <c r="A19" s="1455" t="s">
        <v>143</v>
      </c>
      <c r="B19" s="1471">
        <f t="shared" si="15"/>
        <v>360.06949782209392</v>
      </c>
      <c r="C19" s="1471">
        <f t="shared" si="15"/>
        <v>289.84672674747821</v>
      </c>
      <c r="D19" s="1471">
        <f t="shared" si="16"/>
        <v>289.84672674747821</v>
      </c>
      <c r="E19" s="1471">
        <f t="shared" si="17"/>
        <v>501.06543001181495</v>
      </c>
      <c r="F19" s="1471">
        <f t="shared" si="17"/>
        <v>256.82882500744967</v>
      </c>
      <c r="G19" s="3384"/>
      <c r="H19" s="1459">
        <v>2</v>
      </c>
      <c r="I19" s="1459">
        <v>3.85</v>
      </c>
      <c r="J19" s="1459">
        <v>1.95</v>
      </c>
      <c r="K19" s="1459">
        <v>4.4800000000000004</v>
      </c>
      <c r="L19" s="1473">
        <v>1.41</v>
      </c>
      <c r="N19" s="1466">
        <f t="shared" si="18"/>
        <v>3.85E-2</v>
      </c>
      <c r="O19" s="1467">
        <f t="shared" si="14"/>
        <v>1.95E-2</v>
      </c>
      <c r="P19" s="1467">
        <f t="shared" si="14"/>
        <v>4.4800000000000006E-2</v>
      </c>
      <c r="Q19" s="1467">
        <f t="shared" si="14"/>
        <v>1.41E-2</v>
      </c>
      <c r="R19" s="1468"/>
      <c r="S19" s="1466"/>
      <c r="T19" s="1467"/>
      <c r="U19" s="1467"/>
      <c r="V19" s="1467"/>
      <c r="X19" s="1453">
        <f>ROUND(SUMPRODUCT(PRODUCT(1+N19:N$27)),4)</f>
        <v>1.1702999999999999</v>
      </c>
      <c r="Y19" s="1453">
        <f>ROUND(SUMPRODUCT(PRODUCT(1+O19:O$27)),4)</f>
        <v>1.1269</v>
      </c>
      <c r="Z19" s="1453">
        <f t="shared" si="0"/>
        <v>1.1269</v>
      </c>
      <c r="AA19" s="1453">
        <f>ROUND(SUMPRODUCT(PRODUCT(1+P19:P$27)),4)</f>
        <v>1.1858</v>
      </c>
      <c r="AB19" s="1453">
        <f>ROUND(SUMPRODUCT(PRODUCT(1+Q19:Q$27)),4)</f>
        <v>1.1152</v>
      </c>
      <c r="AD19" s="1454">
        <f>ROUND(AVERAGE(I19:I$28)/100,4)</f>
        <v>1.89E-2</v>
      </c>
      <c r="AE19" s="1454">
        <f>ROUND(AVERAGE(J19:J$28)/100,4)</f>
        <v>1.44E-2</v>
      </c>
      <c r="AF19" s="1454">
        <f t="shared" si="1"/>
        <v>1.44E-2</v>
      </c>
      <c r="AG19" s="1454">
        <f>ROUND(AVERAGE(K19:K$28)/100,4)</f>
        <v>2.06E-2</v>
      </c>
      <c r="AH19" s="1454">
        <f>ROUND(AVERAGE(L19:L$28)/100,4)</f>
        <v>1.23E-2</v>
      </c>
    </row>
    <row r="20" spans="1:34" ht="13.5" thickBot="1">
      <c r="A20" s="1455" t="s">
        <v>152</v>
      </c>
      <c r="B20" s="1471">
        <f t="shared" si="15"/>
        <v>346.720748986128</v>
      </c>
      <c r="C20" s="1471">
        <f t="shared" si="15"/>
        <v>284.30282172386285</v>
      </c>
      <c r="D20" s="1471">
        <f t="shared" si="16"/>
        <v>284.30282172386285</v>
      </c>
      <c r="E20" s="1471">
        <f t="shared" si="17"/>
        <v>479.58023546306947</v>
      </c>
      <c r="F20" s="1471">
        <f t="shared" si="17"/>
        <v>253.25788877571213</v>
      </c>
      <c r="G20" s="3385"/>
      <c r="H20" s="1458">
        <v>1</v>
      </c>
      <c r="I20" s="1458">
        <v>4.09</v>
      </c>
      <c r="J20" s="1458">
        <v>2.93</v>
      </c>
      <c r="K20" s="1458">
        <v>4.54</v>
      </c>
      <c r="L20" s="1472">
        <v>1.48</v>
      </c>
      <c r="N20" s="1466">
        <f t="shared" si="18"/>
        <v>4.0899999999999999E-2</v>
      </c>
      <c r="O20" s="1467">
        <f t="shared" si="14"/>
        <v>2.9300000000000003E-2</v>
      </c>
      <c r="P20" s="1467">
        <f t="shared" si="14"/>
        <v>4.5400000000000003E-2</v>
      </c>
      <c r="Q20" s="1467">
        <f t="shared" si="14"/>
        <v>1.4800000000000001E-2</v>
      </c>
      <c r="R20" s="1468"/>
      <c r="S20" s="1474">
        <f>B20/B21-1</f>
        <v>4.1203450408792808E-2</v>
      </c>
      <c r="T20" s="1475">
        <f>C20/C21-1</f>
        <v>2.6363977342465095E-2</v>
      </c>
      <c r="U20" s="1475">
        <f>E20/E21-1</f>
        <v>4.4837114298626357E-2</v>
      </c>
      <c r="V20" s="1475">
        <f>F20/F21-1</f>
        <v>1.7099954922538574E-2</v>
      </c>
      <c r="X20" s="1453">
        <f>ROUND(SUMPRODUCT(PRODUCT(1+N20:N$27)),4)</f>
        <v>1.1269</v>
      </c>
      <c r="Y20" s="1453">
        <f>ROUND(SUMPRODUCT(PRODUCT(1+O20:O$27)),4)</f>
        <v>1.1052999999999999</v>
      </c>
      <c r="Z20" s="1453">
        <f t="shared" si="0"/>
        <v>1.1052999999999999</v>
      </c>
      <c r="AA20" s="1453">
        <f>ROUND(SUMPRODUCT(PRODUCT(1+P20:P$27)),4)</f>
        <v>1.1349</v>
      </c>
      <c r="AB20" s="1453">
        <f>ROUND(SUMPRODUCT(PRODUCT(1+Q20:Q$27)),4)</f>
        <v>1.0996999999999999</v>
      </c>
      <c r="AD20" s="1454">
        <f>ROUND(AVERAGE(I20:I$28)/100,4)</f>
        <v>1.67E-2</v>
      </c>
      <c r="AE20" s="1454">
        <f>ROUND(AVERAGE(J20:J$28)/100,4)</f>
        <v>1.38E-2</v>
      </c>
      <c r="AF20" s="1454">
        <f t="shared" si="1"/>
        <v>1.38E-2</v>
      </c>
      <c r="AG20" s="1454">
        <f>ROUND(AVERAGE(K20:K$28)/100,4)</f>
        <v>1.7899999999999999E-2</v>
      </c>
      <c r="AH20" s="1454">
        <f>ROUND(AVERAGE(L20:L$28)/100,4)</f>
        <v>1.21E-2</v>
      </c>
    </row>
    <row r="21" spans="1:34" ht="13.5" thickBot="1">
      <c r="A21" s="1455" t="s">
        <v>151</v>
      </c>
      <c r="B21" s="1463">
        <v>333</v>
      </c>
      <c r="C21" s="1463">
        <v>277</v>
      </c>
      <c r="D21" s="1463">
        <f t="shared" si="16"/>
        <v>277</v>
      </c>
      <c r="E21" s="1463">
        <v>459</v>
      </c>
      <c r="F21" s="1464">
        <v>249</v>
      </c>
      <c r="G21" s="3383">
        <v>2015</v>
      </c>
      <c r="H21" s="1476">
        <v>4</v>
      </c>
      <c r="I21" s="1476">
        <v>1.63</v>
      </c>
      <c r="J21" s="1476">
        <v>1.1100000000000001</v>
      </c>
      <c r="K21" s="1476">
        <v>1.77</v>
      </c>
      <c r="L21" s="1477">
        <v>1.89</v>
      </c>
      <c r="N21" s="1478">
        <f t="shared" si="18"/>
        <v>1.6299999999999999E-2</v>
      </c>
      <c r="O21" s="1479">
        <f t="shared" si="14"/>
        <v>1.11E-2</v>
      </c>
      <c r="P21" s="1479">
        <f t="shared" si="14"/>
        <v>1.77E-2</v>
      </c>
      <c r="Q21" s="1479">
        <f t="shared" si="14"/>
        <v>1.89E-2</v>
      </c>
      <c r="R21" s="1468"/>
      <c r="X21" s="1453">
        <f>ROUND(SUMPRODUCT(PRODUCT(1+N21:N$27)),4)</f>
        <v>1.0826</v>
      </c>
      <c r="Y21" s="1453">
        <f>ROUND(SUMPRODUCT(PRODUCT(1+O21:O$27)),4)</f>
        <v>1.0738000000000001</v>
      </c>
      <c r="Z21" s="1453">
        <f t="shared" si="0"/>
        <v>1.0738000000000001</v>
      </c>
      <c r="AA21" s="1453">
        <f>ROUND(SUMPRODUCT(PRODUCT(1+P21:P$27)),4)</f>
        <v>1.0855999999999999</v>
      </c>
      <c r="AB21" s="1453">
        <f>ROUND(SUMPRODUCT(PRODUCT(1+Q21:Q$27)),4)</f>
        <v>1.0837000000000001</v>
      </c>
      <c r="AD21" s="1454">
        <f>ROUND(AVERAGE(I21:I$28)/100,4)</f>
        <v>1.37E-2</v>
      </c>
      <c r="AE21" s="1454">
        <f>ROUND(AVERAGE(J21:J$28)/100,4)</f>
        <v>1.1900000000000001E-2</v>
      </c>
      <c r="AF21" s="1454">
        <f t="shared" si="1"/>
        <v>1.1900000000000001E-2</v>
      </c>
      <c r="AG21" s="1454">
        <f>ROUND(AVERAGE(K21:K$28)/100,4)</f>
        <v>1.4500000000000001E-2</v>
      </c>
      <c r="AH21" s="1454">
        <f>ROUND(AVERAGE(L21:L$28)/100,4)</f>
        <v>1.18E-2</v>
      </c>
    </row>
    <row r="22" spans="1:34">
      <c r="A22" s="1455" t="s">
        <v>150</v>
      </c>
      <c r="B22" s="1471">
        <f t="shared" ref="B22:C24" si="19">B21/(1+N21)</f>
        <v>327.65915576109415</v>
      </c>
      <c r="C22" s="1471">
        <f t="shared" si="19"/>
        <v>273.95905449510434</v>
      </c>
      <c r="D22" s="1471">
        <f t="shared" si="16"/>
        <v>273.95905449510434</v>
      </c>
      <c r="E22" s="1471">
        <f t="shared" ref="E22:F24" si="20">E21/(1+P21)</f>
        <v>451.01699911565294</v>
      </c>
      <c r="F22" s="1471">
        <f t="shared" si="20"/>
        <v>244.38119540681129</v>
      </c>
      <c r="G22" s="3384"/>
      <c r="H22" s="1481">
        <v>3</v>
      </c>
      <c r="I22" s="1481">
        <v>1.65</v>
      </c>
      <c r="J22" s="1481">
        <v>0.92</v>
      </c>
      <c r="K22" s="1481">
        <v>1.88</v>
      </c>
      <c r="L22" s="1482">
        <v>1.26</v>
      </c>
      <c r="N22" s="1466">
        <f t="shared" si="18"/>
        <v>1.6500000000000001E-2</v>
      </c>
      <c r="O22" s="1483">
        <f t="shared" si="14"/>
        <v>9.1999999999999998E-3</v>
      </c>
      <c r="P22" s="1483">
        <f t="shared" si="14"/>
        <v>1.8799999999999997E-2</v>
      </c>
      <c r="Q22" s="1483">
        <f t="shared" si="14"/>
        <v>1.26E-2</v>
      </c>
      <c r="R22" s="1468"/>
      <c r="S22" s="1466"/>
      <c r="T22" s="1467"/>
      <c r="U22" s="1467"/>
      <c r="V22" s="1467"/>
      <c r="X22" s="1453">
        <f>ROUND(SUMPRODUCT(PRODUCT(1+N22:N$27)),4)</f>
        <v>1.0651999999999999</v>
      </c>
      <c r="Y22" s="1453">
        <f>ROUND(SUMPRODUCT(PRODUCT(1+O22:O$27)),4)</f>
        <v>1.0621</v>
      </c>
      <c r="Z22" s="1453">
        <f t="shared" si="0"/>
        <v>1.0621</v>
      </c>
      <c r="AA22" s="1453">
        <f>ROUND(SUMPRODUCT(PRODUCT(1+P22:P$27)),4)</f>
        <v>1.0668</v>
      </c>
      <c r="AB22" s="1453">
        <f>ROUND(SUMPRODUCT(PRODUCT(1+Q22:Q$27)),4)</f>
        <v>1.0636000000000001</v>
      </c>
      <c r="AD22" s="1454">
        <f>ROUND(AVERAGE(I22:I$28)/100,4)</f>
        <v>1.3299999999999999E-2</v>
      </c>
      <c r="AE22" s="1454">
        <f>ROUND(AVERAGE(J22:J$28)/100,4)</f>
        <v>1.2E-2</v>
      </c>
      <c r="AF22" s="1454">
        <f t="shared" si="1"/>
        <v>1.2E-2</v>
      </c>
      <c r="AG22" s="1454">
        <f>ROUND(AVERAGE(K22:K$28)/100,4)</f>
        <v>1.4E-2</v>
      </c>
      <c r="AH22" s="1454">
        <f>ROUND(AVERAGE(L22:L$28)/100,4)</f>
        <v>1.0800000000000001E-2</v>
      </c>
    </row>
    <row r="23" spans="1:34">
      <c r="A23" s="1455" t="s">
        <v>149</v>
      </c>
      <c r="B23" s="1471">
        <f t="shared" si="19"/>
        <v>322.34053690220776</v>
      </c>
      <c r="C23" s="1471">
        <f t="shared" si="19"/>
        <v>271.46160770422546</v>
      </c>
      <c r="D23" s="1471">
        <f t="shared" si="16"/>
        <v>271.46160770422546</v>
      </c>
      <c r="E23" s="1471">
        <f t="shared" si="20"/>
        <v>442.69434542172456</v>
      </c>
      <c r="F23" s="1471">
        <f t="shared" si="20"/>
        <v>241.34030753190925</v>
      </c>
      <c r="G23" s="3384"/>
      <c r="H23" s="1459">
        <v>2</v>
      </c>
      <c r="I23" s="1459">
        <v>0.77</v>
      </c>
      <c r="J23" s="1459">
        <v>0.69</v>
      </c>
      <c r="K23" s="1459">
        <v>0.8</v>
      </c>
      <c r="L23" s="1473">
        <v>0.88</v>
      </c>
      <c r="N23" s="1466">
        <f t="shared" si="18"/>
        <v>7.7000000000000002E-3</v>
      </c>
      <c r="O23" s="1483">
        <f t="shared" si="14"/>
        <v>6.8999999999999999E-3</v>
      </c>
      <c r="P23" s="1483">
        <f t="shared" si="14"/>
        <v>8.0000000000000002E-3</v>
      </c>
      <c r="Q23" s="1483">
        <f t="shared" si="14"/>
        <v>8.8000000000000005E-3</v>
      </c>
      <c r="R23" s="1468"/>
      <c r="S23" s="1466"/>
      <c r="T23" s="1467"/>
      <c r="U23" s="1467"/>
      <c r="V23" s="1467"/>
      <c r="X23" s="1453">
        <f>ROUND(SUMPRODUCT(PRODUCT(1+N23:N$27)),4)</f>
        <v>1.048</v>
      </c>
      <c r="Y23" s="1453">
        <f>ROUND(SUMPRODUCT(PRODUCT(1+O23:O$27)),4)</f>
        <v>1.0524</v>
      </c>
      <c r="Z23" s="1453">
        <f t="shared" si="0"/>
        <v>1.0524</v>
      </c>
      <c r="AA23" s="1453">
        <f>ROUND(SUMPRODUCT(PRODUCT(1+P23:P$27)),4)</f>
        <v>1.0470999999999999</v>
      </c>
      <c r="AB23" s="1453">
        <f>ROUND(SUMPRODUCT(PRODUCT(1+Q23:Q$27)),4)</f>
        <v>1.0504</v>
      </c>
      <c r="AD23" s="1454">
        <f>ROUND(AVERAGE(I23:I$28)/100,4)</f>
        <v>1.2800000000000001E-2</v>
      </c>
      <c r="AE23" s="1454">
        <f>ROUND(AVERAGE(J23:J$28)/100,4)</f>
        <v>1.2500000000000001E-2</v>
      </c>
      <c r="AF23" s="1454">
        <f t="shared" si="1"/>
        <v>1.2500000000000001E-2</v>
      </c>
      <c r="AG23" s="1454">
        <f>ROUND(AVERAGE(K23:K$28)/100,4)</f>
        <v>1.32E-2</v>
      </c>
      <c r="AH23" s="1454">
        <f>ROUND(AVERAGE(L23:L$28)/100,4)</f>
        <v>1.0500000000000001E-2</v>
      </c>
    </row>
    <row r="24" spans="1:34">
      <c r="A24" s="1455" t="s">
        <v>148</v>
      </c>
      <c r="B24" s="1471">
        <f t="shared" si="19"/>
        <v>319.87748030386797</v>
      </c>
      <c r="C24" s="1471">
        <f t="shared" si="19"/>
        <v>269.60135833173649</v>
      </c>
      <c r="D24" s="1471">
        <f t="shared" si="16"/>
        <v>269.60135833173649</v>
      </c>
      <c r="E24" s="1471">
        <f t="shared" si="20"/>
        <v>439.18089823583784</v>
      </c>
      <c r="F24" s="1471">
        <f t="shared" si="20"/>
        <v>239.23503918706311</v>
      </c>
      <c r="G24" s="3385"/>
      <c r="H24" s="1458">
        <v>1</v>
      </c>
      <c r="I24" s="1458">
        <v>0.51</v>
      </c>
      <c r="J24" s="1458">
        <v>0.54</v>
      </c>
      <c r="K24" s="1458">
        <v>0.48</v>
      </c>
      <c r="L24" s="1472">
        <v>0.93</v>
      </c>
      <c r="N24" s="1474">
        <f t="shared" si="18"/>
        <v>5.1000000000000004E-3</v>
      </c>
      <c r="O24" s="1475">
        <f t="shared" si="14"/>
        <v>5.4000000000000003E-3</v>
      </c>
      <c r="P24" s="1475">
        <f t="shared" si="14"/>
        <v>4.7999999999999996E-3</v>
      </c>
      <c r="Q24" s="1475">
        <f t="shared" si="14"/>
        <v>9.300000000000001E-3</v>
      </c>
      <c r="R24" s="1468"/>
      <c r="S24" s="1474">
        <f>B24/B25-1</f>
        <v>5.9040261127922822E-3</v>
      </c>
      <c r="T24" s="1475">
        <f>C24/C25-1</f>
        <v>5.9752176557332781E-3</v>
      </c>
      <c r="U24" s="1475">
        <f>E24/E25-1</f>
        <v>4.9906138119859556E-3</v>
      </c>
      <c r="V24" s="1475">
        <f>F24/F25-1</f>
        <v>9.4305450930933787E-3</v>
      </c>
      <c r="X24" s="1453">
        <f>ROUND(SUMPRODUCT(PRODUCT(1+N24:N$27)),4)</f>
        <v>1.0399</v>
      </c>
      <c r="Y24" s="1453">
        <f>ROUND(SUMPRODUCT(PRODUCT(1+O24:O$27)),4)</f>
        <v>1.0451999999999999</v>
      </c>
      <c r="Z24" s="1453">
        <f t="shared" si="0"/>
        <v>1.0451999999999999</v>
      </c>
      <c r="AA24" s="1453">
        <f>ROUND(SUMPRODUCT(PRODUCT(1+P24:P$27)),4)</f>
        <v>1.0387999999999999</v>
      </c>
      <c r="AB24" s="1453">
        <f>ROUND(SUMPRODUCT(PRODUCT(1+Q24:Q$27)),4)</f>
        <v>1.0411999999999999</v>
      </c>
      <c r="AD24" s="1454">
        <f>ROUND(AVERAGE(I24:I$28)/100,4)</f>
        <v>1.38E-2</v>
      </c>
      <c r="AE24" s="1454">
        <f>ROUND(AVERAGE(J24:J$28)/100,4)</f>
        <v>1.3599999999999999E-2</v>
      </c>
      <c r="AF24" s="1454">
        <f t="shared" si="1"/>
        <v>1.3599999999999999E-2</v>
      </c>
      <c r="AG24" s="1454">
        <f>ROUND(AVERAGE(K24:K$28)/100,4)</f>
        <v>1.4200000000000001E-2</v>
      </c>
      <c r="AH24" s="1454">
        <f>ROUND(AVERAGE(L24:L$28)/100,4)</f>
        <v>1.0800000000000001E-2</v>
      </c>
    </row>
    <row r="25" spans="1:34" ht="13.5" thickBot="1">
      <c r="A25" s="1455" t="s">
        <v>147</v>
      </c>
      <c r="B25" s="1484">
        <v>318</v>
      </c>
      <c r="C25" s="1484">
        <v>268</v>
      </c>
      <c r="D25" s="1484">
        <f t="shared" si="16"/>
        <v>268</v>
      </c>
      <c r="E25" s="1484">
        <v>437</v>
      </c>
      <c r="F25" s="1485">
        <v>237</v>
      </c>
      <c r="G25" s="3383">
        <v>2014</v>
      </c>
      <c r="H25" s="1476">
        <v>4</v>
      </c>
      <c r="I25" s="1476">
        <v>0.21</v>
      </c>
      <c r="J25" s="1476">
        <v>0.41</v>
      </c>
      <c r="K25" s="1476">
        <v>0.12</v>
      </c>
      <c r="L25" s="1477">
        <v>0.89</v>
      </c>
      <c r="N25" s="1466">
        <f t="shared" si="18"/>
        <v>2.0999999999999999E-3</v>
      </c>
      <c r="O25" s="1467">
        <f t="shared" si="14"/>
        <v>4.0999999999999995E-3</v>
      </c>
      <c r="P25" s="1467">
        <f t="shared" si="14"/>
        <v>1.1999999999999999E-3</v>
      </c>
      <c r="Q25" s="1467">
        <f t="shared" si="14"/>
        <v>8.8999999999999999E-3</v>
      </c>
      <c r="R25" s="1468"/>
      <c r="S25" s="1469"/>
      <c r="T25" s="1470"/>
      <c r="U25" s="1470"/>
      <c r="V25" s="1470"/>
      <c r="X25" s="1453">
        <f>ROUND(SUMPRODUCT(PRODUCT(1+N25:N$27)),4)</f>
        <v>1.0347</v>
      </c>
      <c r="Y25" s="1453">
        <f>ROUND(SUMPRODUCT(PRODUCT(1+O25:O$27)),4)</f>
        <v>1.0395000000000001</v>
      </c>
      <c r="Z25" s="1453">
        <f t="shared" si="0"/>
        <v>1.0395000000000001</v>
      </c>
      <c r="AA25" s="1453">
        <f>ROUND(SUMPRODUCT(PRODUCT(1+P25:P$27)),4)</f>
        <v>1.0338000000000001</v>
      </c>
      <c r="AB25" s="1453">
        <f>ROUND(SUMPRODUCT(PRODUCT(1+Q25:Q$27)),4)</f>
        <v>1.0316000000000001</v>
      </c>
      <c r="AD25" s="1454">
        <f>ROUND(AVERAGE(I25:I$28)/100,4)</f>
        <v>1.6E-2</v>
      </c>
      <c r="AE25" s="1454">
        <f>ROUND(AVERAGE(J25:J$28)/100,4)</f>
        <v>1.5599999999999999E-2</v>
      </c>
      <c r="AF25" s="1454">
        <f t="shared" si="1"/>
        <v>1.5599999999999999E-2</v>
      </c>
      <c r="AG25" s="1454">
        <f>ROUND(AVERAGE(K25:K$28)/100,4)</f>
        <v>1.66E-2</v>
      </c>
      <c r="AH25" s="1454">
        <f>ROUND(AVERAGE(L25:L$28)/100,4)</f>
        <v>1.12E-2</v>
      </c>
    </row>
    <row r="26" spans="1:34">
      <c r="A26" s="1455" t="s">
        <v>146</v>
      </c>
      <c r="B26" s="1471">
        <f t="shared" ref="B26:C28" si="21">B25/(1+N25)</f>
        <v>317.33359944117353</v>
      </c>
      <c r="C26" s="1471">
        <f t="shared" si="21"/>
        <v>266.90568668459315</v>
      </c>
      <c r="D26" s="1471">
        <f t="shared" si="16"/>
        <v>266.90568668459315</v>
      </c>
      <c r="E26" s="1471">
        <f t="shared" ref="E26:F28" si="22">E25/(1+P25)</f>
        <v>436.47622852576905</v>
      </c>
      <c r="F26" s="1471">
        <f t="shared" si="22"/>
        <v>234.90930716622066</v>
      </c>
      <c r="G26" s="3384"/>
      <c r="H26" s="1486">
        <v>3</v>
      </c>
      <c r="I26" s="1486">
        <v>0.83</v>
      </c>
      <c r="J26" s="1486">
        <v>1.47</v>
      </c>
      <c r="K26" s="1486">
        <v>0.65</v>
      </c>
      <c r="L26" s="1487">
        <v>0.72</v>
      </c>
      <c r="N26" s="1466">
        <f t="shared" si="18"/>
        <v>8.3000000000000001E-3</v>
      </c>
      <c r="O26" s="1467">
        <f t="shared" si="14"/>
        <v>1.47E-2</v>
      </c>
      <c r="P26" s="1467">
        <f t="shared" si="14"/>
        <v>6.5000000000000006E-3</v>
      </c>
      <c r="Q26" s="1467">
        <f t="shared" si="14"/>
        <v>7.1999999999999998E-3</v>
      </c>
      <c r="R26" s="1468"/>
      <c r="S26" s="1466"/>
      <c r="T26" s="1467"/>
      <c r="U26" s="1467"/>
      <c r="V26" s="1467"/>
      <c r="X26" s="1453">
        <f>ROUND(SUMPRODUCT(PRODUCT(1+N26:N$27)),4)</f>
        <v>1.0325</v>
      </c>
      <c r="Y26" s="1453">
        <f>ROUND(SUMPRODUCT(PRODUCT(1+O26:O$27)),4)</f>
        <v>1.0353000000000001</v>
      </c>
      <c r="Z26" s="1453">
        <f>Y26</f>
        <v>1.0353000000000001</v>
      </c>
      <c r="AA26" s="1453">
        <f>ROUND(SUMPRODUCT(PRODUCT(1+P26:P$27)),4)</f>
        <v>1.0326</v>
      </c>
      <c r="AB26" s="1453">
        <f>ROUND(SUMPRODUCT(PRODUCT(1+Q26:Q$27)),4)</f>
        <v>1.0225</v>
      </c>
      <c r="AD26" s="1454">
        <f>ROUND(AVERAGE(I26:I$28)/100,4)</f>
        <v>2.07E-2</v>
      </c>
      <c r="AE26" s="1454">
        <f>ROUND(AVERAGE(J26:J$28)/100,4)</f>
        <v>1.95E-2</v>
      </c>
      <c r="AF26" s="1454">
        <f t="shared" si="1"/>
        <v>1.95E-2</v>
      </c>
      <c r="AG26" s="1454">
        <f>ROUND(AVERAGE(K26:K$28)/100,4)</f>
        <v>2.1700000000000001E-2</v>
      </c>
      <c r="AH26" s="1454">
        <f>ROUND(AVERAGE(L26:L$28)/100,4)</f>
        <v>1.2E-2</v>
      </c>
    </row>
    <row r="27" spans="1:34" ht="13.5" thickBot="1">
      <c r="A27" s="1455" t="s">
        <v>145</v>
      </c>
      <c r="B27" s="1471">
        <f t="shared" si="21"/>
        <v>314.72141172386546</v>
      </c>
      <c r="C27" s="1471">
        <f t="shared" si="21"/>
        <v>263.03901319069001</v>
      </c>
      <c r="D27" s="1471">
        <f t="shared" si="16"/>
        <v>263.03901319069001</v>
      </c>
      <c r="E27" s="1471">
        <f t="shared" si="22"/>
        <v>433.65745506782821</v>
      </c>
      <c r="F27" s="1471">
        <f t="shared" si="22"/>
        <v>233.23005080045735</v>
      </c>
      <c r="G27" s="3384"/>
      <c r="H27" s="1476">
        <v>2</v>
      </c>
      <c r="I27" s="1476">
        <v>2.4</v>
      </c>
      <c r="J27" s="1476">
        <v>2.0299999999999998</v>
      </c>
      <c r="K27" s="1476">
        <v>2.59</v>
      </c>
      <c r="L27" s="1477">
        <v>1.52</v>
      </c>
      <c r="N27" s="1466">
        <f t="shared" si="18"/>
        <v>2.4E-2</v>
      </c>
      <c r="O27" s="1467">
        <f t="shared" si="14"/>
        <v>2.0299999999999999E-2</v>
      </c>
      <c r="P27" s="1467">
        <f t="shared" si="14"/>
        <v>2.5899999999999999E-2</v>
      </c>
      <c r="Q27" s="1467">
        <f t="shared" si="14"/>
        <v>1.52E-2</v>
      </c>
      <c r="R27" s="1468"/>
      <c r="S27" s="1466"/>
      <c r="T27" s="1467"/>
      <c r="U27" s="1467"/>
      <c r="V27" s="1467"/>
      <c r="X27" s="1453">
        <f>1+N27</f>
        <v>1.024</v>
      </c>
      <c r="Y27" s="1453">
        <f>1+O27</f>
        <v>1.0203</v>
      </c>
      <c r="Z27" s="1453">
        <f>Y27</f>
        <v>1.0203</v>
      </c>
      <c r="AA27" s="1453">
        <f>1+P27</f>
        <v>1.0259</v>
      </c>
      <c r="AB27" s="1453">
        <f>1+Q27</f>
        <v>1.0152000000000001</v>
      </c>
      <c r="AD27" s="1454">
        <f>ROUND(AVERAGE(I27:I$28)/100,4)</f>
        <v>2.69E-2</v>
      </c>
      <c r="AE27" s="1454">
        <f>ROUND(AVERAGE(J27:J$28)/100,4)</f>
        <v>2.1899999999999999E-2</v>
      </c>
      <c r="AF27" s="1454">
        <f>AE27</f>
        <v>2.1899999999999999E-2</v>
      </c>
      <c r="AG27" s="1454">
        <f>ROUND(AVERAGE(K27:K$28)/100,4)</f>
        <v>2.9399999999999999E-2</v>
      </c>
      <c r="AH27" s="1454">
        <f>ROUND(AVERAGE(L27:L$28)/100,4)</f>
        <v>1.44E-2</v>
      </c>
    </row>
    <row r="28" spans="1:34" s="1492" customFormat="1" ht="13.5" thickBot="1">
      <c r="A28" s="1488" t="s">
        <v>144</v>
      </c>
      <c r="B28" s="1489">
        <f t="shared" si="21"/>
        <v>307.34512863658733</v>
      </c>
      <c r="C28" s="1489">
        <f t="shared" si="21"/>
        <v>257.80556031626975</v>
      </c>
      <c r="D28" s="1489">
        <f t="shared" si="16"/>
        <v>257.80556031626975</v>
      </c>
      <c r="E28" s="1489">
        <f t="shared" si="22"/>
        <v>422.70928459677179</v>
      </c>
      <c r="F28" s="1489">
        <f t="shared" si="22"/>
        <v>229.73803270336617</v>
      </c>
      <c r="G28" s="3385"/>
      <c r="H28" s="1490">
        <v>1</v>
      </c>
      <c r="I28" s="1490">
        <v>2.97</v>
      </c>
      <c r="J28" s="1490">
        <v>2.34</v>
      </c>
      <c r="K28" s="1490">
        <v>3.28</v>
      </c>
      <c r="L28" s="1491">
        <v>1.36</v>
      </c>
      <c r="N28" s="1493">
        <f t="shared" si="18"/>
        <v>2.9700000000000001E-2</v>
      </c>
      <c r="O28" s="1494">
        <f t="shared" si="14"/>
        <v>2.3399999999999997E-2</v>
      </c>
      <c r="P28" s="1494">
        <f t="shared" si="14"/>
        <v>3.2799999999999996E-2</v>
      </c>
      <c r="Q28" s="1494">
        <f t="shared" si="14"/>
        <v>1.3600000000000001E-2</v>
      </c>
      <c r="R28" s="1495"/>
      <c r="S28" s="1496">
        <f>B28/B29-1</f>
        <v>2.7910129219355539E-2</v>
      </c>
      <c r="T28" s="1497">
        <f>C28/C29-1</f>
        <v>2.3037937762975247E-2</v>
      </c>
      <c r="U28" s="1497">
        <f>E28/E29-1</f>
        <v>3.3519033243940788E-2</v>
      </c>
      <c r="V28" s="1497">
        <f>F28/F29-1</f>
        <v>1.2061818076502862E-2</v>
      </c>
      <c r="W28" s="1498" t="s">
        <v>1158</v>
      </c>
      <c r="X28" s="1499">
        <v>1</v>
      </c>
      <c r="Y28" s="1499">
        <v>1</v>
      </c>
      <c r="Z28" s="1499">
        <v>1</v>
      </c>
      <c r="AA28" s="1499">
        <v>1</v>
      </c>
      <c r="AB28" s="1499">
        <v>1</v>
      </c>
      <c r="AD28" s="1720">
        <f>I28/100</f>
        <v>2.9700000000000001E-2</v>
      </c>
      <c r="AE28" s="1720">
        <f>J28/100</f>
        <v>2.3399999999999997E-2</v>
      </c>
      <c r="AF28" s="1720">
        <f>AE28</f>
        <v>2.3399999999999997E-2</v>
      </c>
      <c r="AG28" s="1720">
        <f>K28/100</f>
        <v>3.2799999999999996E-2</v>
      </c>
      <c r="AH28" s="1720">
        <f>L28/100</f>
        <v>1.3600000000000001E-2</v>
      </c>
    </row>
    <row r="29" spans="1:34" ht="13.5" thickBot="1">
      <c r="A29" s="1455" t="s">
        <v>1159</v>
      </c>
      <c r="B29" s="1463">
        <v>299</v>
      </c>
      <c r="C29" s="1463">
        <v>252</v>
      </c>
      <c r="D29" s="1463">
        <f t="shared" si="16"/>
        <v>252</v>
      </c>
      <c r="E29" s="1463">
        <v>409</v>
      </c>
      <c r="F29" s="1464">
        <v>227</v>
      </c>
      <c r="G29" s="3390">
        <v>2013</v>
      </c>
      <c r="H29" s="1500">
        <v>4</v>
      </c>
      <c r="I29" s="1500">
        <v>1.83</v>
      </c>
      <c r="J29" s="1500">
        <v>1.68</v>
      </c>
      <c r="K29" s="1500">
        <v>1.97</v>
      </c>
      <c r="L29" s="1501">
        <v>0.87</v>
      </c>
      <c r="N29" s="1478">
        <f t="shared" si="18"/>
        <v>1.83E-2</v>
      </c>
      <c r="O29" s="1479">
        <f t="shared" si="14"/>
        <v>1.6799999999999999E-2</v>
      </c>
      <c r="P29" s="1479">
        <f t="shared" si="14"/>
        <v>1.9699999999999999E-2</v>
      </c>
      <c r="Q29" s="1479">
        <f t="shared" si="14"/>
        <v>8.6999999999999994E-3</v>
      </c>
      <c r="R29" s="1468"/>
      <c r="S29" s="1469"/>
      <c r="T29" s="1470"/>
      <c r="U29" s="1470"/>
      <c r="V29" s="1470"/>
      <c r="X29" s="1470"/>
      <c r="Y29" s="1470"/>
      <c r="Z29" s="1470"/>
    </row>
    <row r="30" spans="1:34">
      <c r="A30" s="1455" t="s">
        <v>1160</v>
      </c>
      <c r="B30" s="1471">
        <f t="shared" ref="B30:C32" si="23">B29/(1+N29)</f>
        <v>293.62663262299913</v>
      </c>
      <c r="C30" s="1471">
        <f t="shared" si="23"/>
        <v>247.83634933123525</v>
      </c>
      <c r="D30" s="1471">
        <f t="shared" si="16"/>
        <v>247.83634933123525</v>
      </c>
      <c r="E30" s="1471">
        <f t="shared" ref="E30:F32" si="24">E29/(1+P29)</f>
        <v>401.09836226341076</v>
      </c>
      <c r="F30" s="1471">
        <f t="shared" si="24"/>
        <v>225.04213343908003</v>
      </c>
      <c r="G30" s="3391"/>
      <c r="H30" s="1481">
        <v>3</v>
      </c>
      <c r="I30" s="1481">
        <v>1.86</v>
      </c>
      <c r="J30" s="1481">
        <v>1.72</v>
      </c>
      <c r="K30" s="1481">
        <v>1.98</v>
      </c>
      <c r="L30" s="1482">
        <v>0.88</v>
      </c>
      <c r="N30" s="1466">
        <f t="shared" si="18"/>
        <v>1.8600000000000002E-2</v>
      </c>
      <c r="O30" s="1483">
        <f t="shared" si="14"/>
        <v>1.72E-2</v>
      </c>
      <c r="P30" s="1483">
        <f t="shared" si="14"/>
        <v>1.9799999999999998E-2</v>
      </c>
      <c r="Q30" s="1483">
        <f t="shared" si="14"/>
        <v>8.8000000000000005E-3</v>
      </c>
      <c r="R30" s="1468"/>
      <c r="S30" s="1466"/>
      <c r="T30" s="1467"/>
      <c r="U30" s="1467"/>
      <c r="V30" s="1467"/>
    </row>
    <row r="31" spans="1:34">
      <c r="A31" s="1455" t="s">
        <v>1161</v>
      </c>
      <c r="B31" s="1471">
        <f t="shared" si="23"/>
        <v>288.2649053828776</v>
      </c>
      <c r="C31" s="1471">
        <f t="shared" si="23"/>
        <v>243.64564425013293</v>
      </c>
      <c r="D31" s="1471">
        <f t="shared" si="16"/>
        <v>243.64564425013293</v>
      </c>
      <c r="E31" s="1471">
        <f t="shared" si="24"/>
        <v>393.31080825986544</v>
      </c>
      <c r="F31" s="1471">
        <f t="shared" si="24"/>
        <v>223.07903790551154</v>
      </c>
      <c r="G31" s="3391"/>
      <c r="H31" s="1459">
        <v>2</v>
      </c>
      <c r="I31" s="1459">
        <v>2.04</v>
      </c>
      <c r="J31" s="1459">
        <v>2.33</v>
      </c>
      <c r="K31" s="1459">
        <v>2.0699999999999998</v>
      </c>
      <c r="L31" s="1473">
        <v>0.69</v>
      </c>
      <c r="N31" s="1466">
        <f t="shared" si="18"/>
        <v>2.0400000000000001E-2</v>
      </c>
      <c r="O31" s="1483">
        <f t="shared" si="14"/>
        <v>2.3300000000000001E-2</v>
      </c>
      <c r="P31" s="1483">
        <f t="shared" si="14"/>
        <v>2.07E-2</v>
      </c>
      <c r="Q31" s="1483">
        <f t="shared" si="14"/>
        <v>6.8999999999999999E-3</v>
      </c>
      <c r="R31" s="1468"/>
      <c r="S31" s="1466"/>
      <c r="T31" s="1467"/>
      <c r="U31" s="1467"/>
      <c r="V31" s="1467"/>
      <c r="X31" s="1502"/>
      <c r="Y31" s="1503"/>
    </row>
    <row r="32" spans="1:34">
      <c r="A32" s="1455" t="s">
        <v>1162</v>
      </c>
      <c r="B32" s="1471">
        <f t="shared" si="23"/>
        <v>282.50186729015837</v>
      </c>
      <c r="C32" s="1471">
        <f t="shared" si="23"/>
        <v>238.09796174155468</v>
      </c>
      <c r="D32" s="1471">
        <f t="shared" si="16"/>
        <v>238.09796174155468</v>
      </c>
      <c r="E32" s="1471">
        <f t="shared" si="24"/>
        <v>385.33438646014054</v>
      </c>
      <c r="F32" s="1471">
        <f t="shared" si="24"/>
        <v>221.55034055567739</v>
      </c>
      <c r="G32" s="3392"/>
      <c r="H32" s="1458">
        <v>1</v>
      </c>
      <c r="I32" s="1458">
        <v>1.67</v>
      </c>
      <c r="J32" s="1458">
        <v>1.31</v>
      </c>
      <c r="K32" s="1458">
        <v>1.85</v>
      </c>
      <c r="L32" s="1472">
        <v>0.96</v>
      </c>
      <c r="N32" s="1474">
        <f t="shared" si="18"/>
        <v>1.67E-2</v>
      </c>
      <c r="O32" s="1475">
        <f t="shared" si="18"/>
        <v>1.3100000000000001E-2</v>
      </c>
      <c r="P32" s="1475">
        <f t="shared" si="18"/>
        <v>1.8500000000000003E-2</v>
      </c>
      <c r="Q32" s="1475">
        <f t="shared" si="18"/>
        <v>9.5999999999999992E-3</v>
      </c>
      <c r="R32" s="1468"/>
      <c r="S32" s="1474">
        <f>B32/B33-1</f>
        <v>1.6193767230785472E-2</v>
      </c>
      <c r="T32" s="1475">
        <f>C32/C33-1</f>
        <v>1.7512657015190891E-2</v>
      </c>
      <c r="U32" s="1475">
        <f>E32/E33-1</f>
        <v>1.6713420739157048E-2</v>
      </c>
      <c r="V32" s="1475">
        <f>F32/F33-1</f>
        <v>7.0470025258062563E-3</v>
      </c>
      <c r="X32" s="1504"/>
      <c r="Y32" s="1454"/>
      <c r="Z32" s="1454"/>
    </row>
    <row r="33" spans="1:26" ht="13.5" thickBot="1">
      <c r="A33" s="1455" t="s">
        <v>1163</v>
      </c>
      <c r="B33" s="1505">
        <v>278</v>
      </c>
      <c r="C33" s="1505">
        <v>234</v>
      </c>
      <c r="D33" s="1505">
        <f t="shared" si="16"/>
        <v>234</v>
      </c>
      <c r="E33" s="1505">
        <v>379</v>
      </c>
      <c r="F33" s="1506">
        <v>220</v>
      </c>
      <c r="G33" s="3383">
        <v>2012</v>
      </c>
      <c r="H33" s="1476">
        <v>4</v>
      </c>
      <c r="I33" s="1476">
        <v>0.91</v>
      </c>
      <c r="J33" s="1476">
        <v>0.68</v>
      </c>
      <c r="K33" s="1476">
        <v>0.98</v>
      </c>
      <c r="L33" s="1477">
        <v>0.9</v>
      </c>
      <c r="N33" s="1466">
        <f t="shared" si="18"/>
        <v>9.1000000000000004E-3</v>
      </c>
      <c r="O33" s="1467">
        <f t="shared" si="18"/>
        <v>6.8000000000000005E-3</v>
      </c>
      <c r="P33" s="1467">
        <f t="shared" si="18"/>
        <v>9.7999999999999997E-3</v>
      </c>
      <c r="Q33" s="1467">
        <f t="shared" si="18"/>
        <v>9.0000000000000011E-3</v>
      </c>
      <c r="R33" s="1468"/>
      <c r="S33" s="1469"/>
      <c r="T33" s="1470"/>
      <c r="U33" s="1470"/>
      <c r="V33" s="1470"/>
      <c r="X33" s="1470"/>
      <c r="Y33" s="1470"/>
      <c r="Z33" s="1470"/>
    </row>
    <row r="34" spans="1:26">
      <c r="A34" s="1455" t="s">
        <v>1164</v>
      </c>
      <c r="B34" s="1471">
        <f>B33/(1+N33)</f>
        <v>275.49301357645425</v>
      </c>
      <c r="C34" s="1471">
        <f>C33/(1+O33)</f>
        <v>232.41954707985698</v>
      </c>
      <c r="D34" s="1471">
        <f t="shared" si="16"/>
        <v>232.41954707985698</v>
      </c>
      <c r="E34" s="1471">
        <f t="shared" ref="E34:F36" si="25">E33/(1+P33)</f>
        <v>375.32184591008121</v>
      </c>
      <c r="F34" s="1471">
        <f t="shared" si="25"/>
        <v>218.03766105054513</v>
      </c>
      <c r="G34" s="3384"/>
      <c r="H34" s="1481">
        <v>3</v>
      </c>
      <c r="I34" s="1481">
        <v>0.09</v>
      </c>
      <c r="J34" s="1481">
        <v>0.28999999999999998</v>
      </c>
      <c r="K34" s="1481">
        <v>-0.01</v>
      </c>
      <c r="L34" s="1482">
        <v>0.57999999999999996</v>
      </c>
      <c r="N34" s="1466">
        <f t="shared" si="18"/>
        <v>8.9999999999999998E-4</v>
      </c>
      <c r="O34" s="1467">
        <f t="shared" si="18"/>
        <v>2.8999999999999998E-3</v>
      </c>
      <c r="P34" s="1467">
        <f t="shared" si="18"/>
        <v>-1E-4</v>
      </c>
      <c r="Q34" s="1467">
        <f t="shared" si="18"/>
        <v>5.7999999999999996E-3</v>
      </c>
      <c r="R34" s="1468"/>
      <c r="S34" s="1466"/>
      <c r="T34" s="1467"/>
      <c r="U34" s="1467"/>
      <c r="V34" s="1467"/>
    </row>
    <row r="35" spans="1:26">
      <c r="A35" s="1455" t="s">
        <v>1165</v>
      </c>
      <c r="B35" s="1471">
        <f>B34/(1+N34)</f>
        <v>275.24529281292263</v>
      </c>
      <c r="C35" s="1471">
        <f>C34/(1+O34)</f>
        <v>231.74747938962707</v>
      </c>
      <c r="D35" s="1471">
        <f t="shared" si="16"/>
        <v>231.74747938962707</v>
      </c>
      <c r="E35" s="1471">
        <f t="shared" si="25"/>
        <v>375.35938184826603</v>
      </c>
      <c r="F35" s="1471">
        <f t="shared" si="25"/>
        <v>216.78033510692495</v>
      </c>
      <c r="G35" s="3384"/>
      <c r="H35" s="1459">
        <v>2</v>
      </c>
      <c r="I35" s="1459">
        <v>0.02</v>
      </c>
      <c r="J35" s="1459">
        <v>0.12</v>
      </c>
      <c r="K35" s="1459">
        <v>-0.08</v>
      </c>
      <c r="L35" s="1473">
        <v>1.24</v>
      </c>
      <c r="N35" s="1466">
        <f t="shared" si="18"/>
        <v>2.0000000000000001E-4</v>
      </c>
      <c r="O35" s="1467">
        <f t="shared" si="18"/>
        <v>1.1999999999999999E-3</v>
      </c>
      <c r="P35" s="1467">
        <f t="shared" si="18"/>
        <v>-8.0000000000000004E-4</v>
      </c>
      <c r="Q35" s="1467">
        <f t="shared" si="18"/>
        <v>1.24E-2</v>
      </c>
      <c r="R35" s="1468"/>
      <c r="S35" s="1466"/>
      <c r="T35" s="1467"/>
      <c r="U35" s="1467"/>
      <c r="V35" s="1467"/>
    </row>
    <row r="36" spans="1:26" ht="13.5" thickBot="1">
      <c r="A36" s="1455" t="s">
        <v>1166</v>
      </c>
      <c r="B36" s="1471">
        <f>B35/(1+N35)</f>
        <v>275.19025476197027</v>
      </c>
      <c r="C36" s="1507">
        <v>232</v>
      </c>
      <c r="D36" s="1507">
        <f t="shared" si="16"/>
        <v>232</v>
      </c>
      <c r="E36" s="1471">
        <f t="shared" si="25"/>
        <v>375.65990977608692</v>
      </c>
      <c r="F36" s="1471">
        <f t="shared" si="25"/>
        <v>214.12518283971252</v>
      </c>
      <c r="G36" s="3385"/>
      <c r="H36" s="1458">
        <v>1</v>
      </c>
      <c r="I36" s="1458">
        <v>0.02</v>
      </c>
      <c r="J36" s="1458">
        <v>0.13</v>
      </c>
      <c r="K36" s="1458">
        <v>-0.04</v>
      </c>
      <c r="L36" s="1472">
        <v>0.46</v>
      </c>
      <c r="N36" s="1466">
        <f t="shared" si="18"/>
        <v>2.0000000000000001E-4</v>
      </c>
      <c r="O36" s="1467">
        <f t="shared" si="18"/>
        <v>1.2999999999999999E-3</v>
      </c>
      <c r="P36" s="1467">
        <f t="shared" si="18"/>
        <v>-4.0000000000000002E-4</v>
      </c>
      <c r="Q36" s="1467">
        <f t="shared" si="18"/>
        <v>4.5999999999999999E-3</v>
      </c>
      <c r="R36" s="1468"/>
      <c r="S36" s="1474">
        <f>B36/B37-1</f>
        <v>6.9183549807361189E-4</v>
      </c>
      <c r="T36" s="1475">
        <f>C36/C37-1</f>
        <v>0</v>
      </c>
      <c r="U36" s="1475">
        <f>E36/E37-1</f>
        <v>-9.0449527636460303E-4</v>
      </c>
      <c r="V36" s="1475">
        <f>F36/F37-1</f>
        <v>5.2825485432512753E-3</v>
      </c>
      <c r="X36" s="1454"/>
      <c r="Y36" s="1454"/>
      <c r="Z36" s="1454"/>
    </row>
    <row r="37" spans="1:26" ht="13.5" thickBot="1">
      <c r="A37" s="1455" t="s">
        <v>1167</v>
      </c>
      <c r="B37" s="1463">
        <v>275</v>
      </c>
      <c r="C37" s="1463">
        <v>232</v>
      </c>
      <c r="D37" s="1463">
        <f t="shared" si="16"/>
        <v>232</v>
      </c>
      <c r="E37" s="1463">
        <v>376</v>
      </c>
      <c r="F37" s="1464">
        <v>213</v>
      </c>
      <c r="G37" s="3383">
        <v>2011</v>
      </c>
      <c r="H37" s="1476">
        <v>4</v>
      </c>
      <c r="I37" s="1476">
        <v>-0.2</v>
      </c>
      <c r="J37" s="1476">
        <v>0.04</v>
      </c>
      <c r="K37" s="1476">
        <v>-0.34</v>
      </c>
      <c r="L37" s="1477">
        <v>0.46</v>
      </c>
      <c r="N37" s="1478">
        <f t="shared" si="18"/>
        <v>-2E-3</v>
      </c>
      <c r="O37" s="1479">
        <f t="shared" si="18"/>
        <v>4.0000000000000002E-4</v>
      </c>
      <c r="P37" s="1479">
        <f t="shared" si="18"/>
        <v>-3.4000000000000002E-3</v>
      </c>
      <c r="Q37" s="1479">
        <f t="shared" si="18"/>
        <v>4.5999999999999999E-3</v>
      </c>
      <c r="R37" s="1468"/>
      <c r="S37" s="1469"/>
      <c r="T37" s="1470"/>
      <c r="U37" s="1470"/>
      <c r="V37" s="1470"/>
      <c r="X37" s="1470"/>
      <c r="Y37" s="1470"/>
      <c r="Z37" s="1470"/>
    </row>
    <row r="38" spans="1:26">
      <c r="A38" s="1455" t="s">
        <v>1168</v>
      </c>
      <c r="B38" s="1471">
        <f t="shared" ref="B38:C40" si="26">B37/(1+N37)</f>
        <v>275.55110220440883</v>
      </c>
      <c r="C38" s="1471">
        <f t="shared" si="26"/>
        <v>231.90723710515795</v>
      </c>
      <c r="D38" s="1471">
        <f t="shared" si="16"/>
        <v>231.90723710515795</v>
      </c>
      <c r="E38" s="1471">
        <f t="shared" ref="E38:F40" si="27">E37/(1+P37)</f>
        <v>377.28276138872161</v>
      </c>
      <c r="F38" s="1471">
        <f t="shared" si="27"/>
        <v>212.02468644236512</v>
      </c>
      <c r="G38" s="3384">
        <v>2011</v>
      </c>
      <c r="H38" s="1481">
        <v>3</v>
      </c>
      <c r="I38" s="1481">
        <v>0.13</v>
      </c>
      <c r="J38" s="1481">
        <v>0.75</v>
      </c>
      <c r="K38" s="1481">
        <v>-0.08</v>
      </c>
      <c r="L38" s="1482">
        <v>0.53</v>
      </c>
      <c r="N38" s="1466">
        <f t="shared" si="18"/>
        <v>1.2999999999999999E-3</v>
      </c>
      <c r="O38" s="1483">
        <f t="shared" si="18"/>
        <v>7.4999999999999997E-3</v>
      </c>
      <c r="P38" s="1483">
        <f t="shared" si="18"/>
        <v>-8.0000000000000004E-4</v>
      </c>
      <c r="Q38" s="1483">
        <f t="shared" si="18"/>
        <v>5.3E-3</v>
      </c>
      <c r="R38" s="1468"/>
      <c r="S38" s="1466"/>
      <c r="T38" s="1467"/>
      <c r="U38" s="1467"/>
      <c r="V38" s="1467"/>
    </row>
    <row r="39" spans="1:26">
      <c r="A39" s="1455" t="s">
        <v>1169</v>
      </c>
      <c r="B39" s="1471">
        <f t="shared" si="26"/>
        <v>275.19335084830601</v>
      </c>
      <c r="C39" s="1471">
        <f t="shared" si="26"/>
        <v>230.18088050139744</v>
      </c>
      <c r="D39" s="1471">
        <f t="shared" si="16"/>
        <v>230.18088050139744</v>
      </c>
      <c r="E39" s="1471">
        <f t="shared" si="27"/>
        <v>377.58482925212331</v>
      </c>
      <c r="F39" s="1471">
        <f t="shared" si="27"/>
        <v>210.90687997847917</v>
      </c>
      <c r="G39" s="3384">
        <v>2011</v>
      </c>
      <c r="H39" s="1459">
        <v>2</v>
      </c>
      <c r="I39" s="1459">
        <v>-0.4</v>
      </c>
      <c r="J39" s="1459">
        <v>0.17</v>
      </c>
      <c r="K39" s="1459">
        <v>-0.57999999999999996</v>
      </c>
      <c r="L39" s="1473">
        <v>-0.2</v>
      </c>
      <c r="N39" s="1466">
        <f t="shared" si="18"/>
        <v>-4.0000000000000001E-3</v>
      </c>
      <c r="O39" s="1483">
        <f t="shared" si="18"/>
        <v>1.7000000000000001E-3</v>
      </c>
      <c r="P39" s="1483">
        <f t="shared" si="18"/>
        <v>-5.7999999999999996E-3</v>
      </c>
      <c r="Q39" s="1483">
        <f t="shared" si="18"/>
        <v>-2E-3</v>
      </c>
      <c r="R39" s="1468"/>
      <c r="S39" s="1466"/>
      <c r="T39" s="1467"/>
      <c r="U39" s="1467"/>
      <c r="V39" s="1467"/>
    </row>
    <row r="40" spans="1:26" ht="13.5" thickBot="1">
      <c r="A40" s="1455" t="s">
        <v>1170</v>
      </c>
      <c r="B40" s="1471">
        <f t="shared" si="26"/>
        <v>276.29854502841971</v>
      </c>
      <c r="C40" s="1471">
        <f t="shared" si="26"/>
        <v>229.79023709833027</v>
      </c>
      <c r="D40" s="1471">
        <f t="shared" si="16"/>
        <v>229.79023709833027</v>
      </c>
      <c r="E40" s="1471">
        <f t="shared" si="27"/>
        <v>379.78759731655936</v>
      </c>
      <c r="F40" s="1471">
        <f t="shared" si="27"/>
        <v>211.32953905659235</v>
      </c>
      <c r="G40" s="3385">
        <v>2011</v>
      </c>
      <c r="H40" s="1458">
        <v>1</v>
      </c>
      <c r="I40" s="1458">
        <v>2.65</v>
      </c>
      <c r="J40" s="1458">
        <v>3.76</v>
      </c>
      <c r="K40" s="1458">
        <v>1.89</v>
      </c>
      <c r="L40" s="1472">
        <v>7.95</v>
      </c>
      <c r="N40" s="1474">
        <f t="shared" si="18"/>
        <v>2.6499999999999999E-2</v>
      </c>
      <c r="O40" s="1475">
        <f t="shared" si="18"/>
        <v>3.7599999999999995E-2</v>
      </c>
      <c r="P40" s="1475">
        <f t="shared" si="18"/>
        <v>1.89E-2</v>
      </c>
      <c r="Q40" s="1475">
        <f t="shared" si="18"/>
        <v>7.9500000000000001E-2</v>
      </c>
      <c r="R40" s="1468"/>
      <c r="S40" s="1474">
        <f>B40/B41-1</f>
        <v>2.713213765211786E-2</v>
      </c>
      <c r="T40" s="1475">
        <f>C40/C41-1</f>
        <v>3.9774828499231862E-2</v>
      </c>
      <c r="U40" s="1475">
        <f>E40/E41-1</f>
        <v>1.8197311840641772E-2</v>
      </c>
      <c r="V40" s="1475">
        <f>F40/F41-1</f>
        <v>7.8211933962205826E-2</v>
      </c>
      <c r="X40" s="1454"/>
      <c r="Y40" s="1454"/>
      <c r="Z40" s="1454"/>
    </row>
    <row r="41" spans="1:26" ht="13.5" thickBot="1">
      <c r="A41" s="1455" t="s">
        <v>1171</v>
      </c>
      <c r="B41" s="1463">
        <v>269</v>
      </c>
      <c r="C41" s="1463">
        <v>221</v>
      </c>
      <c r="D41" s="1463">
        <f t="shared" si="16"/>
        <v>221</v>
      </c>
      <c r="E41" s="1463">
        <v>373</v>
      </c>
      <c r="F41" s="1464">
        <v>196</v>
      </c>
      <c r="G41" s="3383">
        <v>2010</v>
      </c>
      <c r="H41" s="1476">
        <v>4</v>
      </c>
      <c r="I41" s="1476">
        <v>5.72</v>
      </c>
      <c r="J41" s="1476">
        <v>6.57</v>
      </c>
      <c r="K41" s="1476">
        <v>5.72</v>
      </c>
      <c r="L41" s="1477">
        <v>2.72</v>
      </c>
      <c r="N41" s="1466">
        <f t="shared" si="18"/>
        <v>5.7200000000000001E-2</v>
      </c>
      <c r="O41" s="1467">
        <f t="shared" si="18"/>
        <v>6.5700000000000008E-2</v>
      </c>
      <c r="P41" s="1467">
        <f t="shared" si="18"/>
        <v>5.7200000000000001E-2</v>
      </c>
      <c r="Q41" s="1467">
        <f t="shared" si="18"/>
        <v>2.7200000000000002E-2</v>
      </c>
      <c r="R41" s="1468"/>
      <c r="S41" s="1469"/>
      <c r="T41" s="1470"/>
      <c r="U41" s="1470"/>
      <c r="V41" s="1470"/>
      <c r="X41" s="1470"/>
      <c r="Y41" s="1470"/>
      <c r="Z41" s="1470"/>
    </row>
    <row r="42" spans="1:26">
      <c r="A42" s="1455" t="s">
        <v>1172</v>
      </c>
      <c r="B42" s="1471">
        <f t="shared" ref="B42:C44" si="28">B41/(1+N41)</f>
        <v>254.44570563753314</v>
      </c>
      <c r="C42" s="1471">
        <f t="shared" si="28"/>
        <v>207.37543398705074</v>
      </c>
      <c r="D42" s="1471">
        <f t="shared" si="16"/>
        <v>207.37543398705074</v>
      </c>
      <c r="E42" s="1471">
        <f t="shared" ref="E42:F44" si="29">E41/(1+P41)</f>
        <v>352.81876655315932</v>
      </c>
      <c r="F42" s="1471">
        <f t="shared" si="29"/>
        <v>190.809968847352</v>
      </c>
      <c r="G42" s="3384">
        <v>2010</v>
      </c>
      <c r="H42" s="1481">
        <v>3</v>
      </c>
      <c r="I42" s="1481">
        <v>4.7300000000000004</v>
      </c>
      <c r="J42" s="1481">
        <v>3.9</v>
      </c>
      <c r="K42" s="1481">
        <v>5.03</v>
      </c>
      <c r="L42" s="1482">
        <v>4.21</v>
      </c>
      <c r="N42" s="1466">
        <f t="shared" si="18"/>
        <v>4.7300000000000002E-2</v>
      </c>
      <c r="O42" s="1467">
        <f t="shared" si="18"/>
        <v>3.9E-2</v>
      </c>
      <c r="P42" s="1467">
        <f t="shared" si="18"/>
        <v>5.0300000000000004E-2</v>
      </c>
      <c r="Q42" s="1467">
        <f t="shared" si="18"/>
        <v>4.2099999999999999E-2</v>
      </c>
      <c r="R42" s="1468"/>
      <c r="S42" s="1466"/>
      <c r="T42" s="1467"/>
      <c r="U42" s="1467"/>
      <c r="V42" s="1467"/>
    </row>
    <row r="43" spans="1:26">
      <c r="A43" s="1455" t="s">
        <v>1173</v>
      </c>
      <c r="B43" s="1471">
        <f t="shared" si="28"/>
        <v>242.95398227588385</v>
      </c>
      <c r="C43" s="1471">
        <f t="shared" si="28"/>
        <v>199.59137053614126</v>
      </c>
      <c r="D43" s="1471">
        <f t="shared" si="16"/>
        <v>199.59137053614126</v>
      </c>
      <c r="E43" s="1471">
        <f t="shared" si="29"/>
        <v>335.92189522342125</v>
      </c>
      <c r="F43" s="1471">
        <f t="shared" si="29"/>
        <v>183.10139991109489</v>
      </c>
      <c r="G43" s="3384">
        <v>2010</v>
      </c>
      <c r="H43" s="1459">
        <v>2</v>
      </c>
      <c r="I43" s="1459">
        <v>4.6900000000000004</v>
      </c>
      <c r="J43" s="1459">
        <v>3.55</v>
      </c>
      <c r="K43" s="1459">
        <v>5.07</v>
      </c>
      <c r="L43" s="1473">
        <v>4.2300000000000004</v>
      </c>
      <c r="N43" s="1466">
        <f t="shared" si="18"/>
        <v>4.6900000000000004E-2</v>
      </c>
      <c r="O43" s="1467">
        <f t="shared" si="18"/>
        <v>3.5499999999999997E-2</v>
      </c>
      <c r="P43" s="1467">
        <f t="shared" si="18"/>
        <v>5.0700000000000002E-2</v>
      </c>
      <c r="Q43" s="1467">
        <f t="shared" si="18"/>
        <v>4.2300000000000004E-2</v>
      </c>
      <c r="R43" s="1468"/>
      <c r="S43" s="1466"/>
      <c r="T43" s="1467"/>
      <c r="U43" s="1467"/>
      <c r="V43" s="1467"/>
    </row>
    <row r="44" spans="1:26" ht="13.5" thickBot="1">
      <c r="A44" s="1455" t="s">
        <v>1174</v>
      </c>
      <c r="B44" s="1471">
        <f t="shared" si="28"/>
        <v>232.06990378821649</v>
      </c>
      <c r="C44" s="1471">
        <f t="shared" si="28"/>
        <v>192.74878854286936</v>
      </c>
      <c r="D44" s="1471">
        <f t="shared" si="16"/>
        <v>192.74878854286936</v>
      </c>
      <c r="E44" s="1471">
        <f t="shared" si="29"/>
        <v>319.71247284992984</v>
      </c>
      <c r="F44" s="1471">
        <f t="shared" si="29"/>
        <v>175.67053622862409</v>
      </c>
      <c r="G44" s="3385">
        <v>2010</v>
      </c>
      <c r="H44" s="1458">
        <v>1</v>
      </c>
      <c r="I44" s="1458">
        <v>5.4</v>
      </c>
      <c r="J44" s="1458">
        <v>3.2</v>
      </c>
      <c r="K44" s="1458">
        <v>6.16</v>
      </c>
      <c r="L44" s="1472">
        <v>4.51</v>
      </c>
      <c r="N44" s="1466">
        <f t="shared" si="18"/>
        <v>5.4000000000000006E-2</v>
      </c>
      <c r="O44" s="1467">
        <f t="shared" si="18"/>
        <v>3.2000000000000001E-2</v>
      </c>
      <c r="P44" s="1467">
        <f t="shared" si="18"/>
        <v>6.1600000000000002E-2</v>
      </c>
      <c r="Q44" s="1467">
        <f t="shared" si="18"/>
        <v>4.5100000000000001E-2</v>
      </c>
      <c r="R44" s="1468"/>
      <c r="S44" s="1474">
        <f>B44/B45-1</f>
        <v>5.4863199037347599E-2</v>
      </c>
      <c r="T44" s="1475">
        <f>C44/C45-1</f>
        <v>3.0742184721226584E-2</v>
      </c>
      <c r="U44" s="1475">
        <f>E44/E45-1</f>
        <v>6.2167683886810154E-2</v>
      </c>
      <c r="V44" s="1475">
        <f>F44/F45-1</f>
        <v>4.5657953741810031E-2</v>
      </c>
      <c r="X44" s="1454"/>
      <c r="Y44" s="1454"/>
      <c r="Z44" s="1454"/>
    </row>
    <row r="45" spans="1:26" ht="13.5" thickBot="1">
      <c r="A45" s="1455" t="s">
        <v>1175</v>
      </c>
      <c r="B45" s="1463">
        <v>220</v>
      </c>
      <c r="C45" s="1463">
        <v>187</v>
      </c>
      <c r="D45" s="1463">
        <f t="shared" si="16"/>
        <v>187</v>
      </c>
      <c r="E45" s="1463">
        <v>301</v>
      </c>
      <c r="F45" s="1464">
        <v>168</v>
      </c>
      <c r="G45" s="3383">
        <v>2009</v>
      </c>
      <c r="H45" s="1476">
        <v>4</v>
      </c>
      <c r="I45" s="1476">
        <v>2.2999999999999998</v>
      </c>
      <c r="J45" s="1476">
        <v>1.04</v>
      </c>
      <c r="K45" s="1476">
        <v>2.84</v>
      </c>
      <c r="L45" s="1477">
        <v>0.67</v>
      </c>
      <c r="N45" s="1478">
        <f t="shared" si="18"/>
        <v>2.3E-2</v>
      </c>
      <c r="O45" s="1479">
        <f t="shared" si="18"/>
        <v>1.04E-2</v>
      </c>
      <c r="P45" s="1479">
        <f t="shared" si="18"/>
        <v>2.8399999999999998E-2</v>
      </c>
      <c r="Q45" s="1479">
        <f t="shared" si="18"/>
        <v>6.7000000000000002E-3</v>
      </c>
      <c r="R45" s="1468"/>
      <c r="S45" s="1469"/>
      <c r="T45" s="1470"/>
      <c r="U45" s="1470"/>
      <c r="V45" s="1470"/>
      <c r="X45" s="1470"/>
      <c r="Y45" s="1470"/>
      <c r="Z45" s="1470"/>
    </row>
    <row r="46" spans="1:26">
      <c r="A46" s="1455" t="s">
        <v>1176</v>
      </c>
      <c r="B46" s="1471">
        <f t="shared" ref="B46:C48" si="30">B45/(1+N45)</f>
        <v>215.05376344086022</v>
      </c>
      <c r="C46" s="1471">
        <f t="shared" si="30"/>
        <v>185.0752177355503</v>
      </c>
      <c r="D46" s="1471">
        <f t="shared" si="16"/>
        <v>185.0752177355503</v>
      </c>
      <c r="E46" s="1471">
        <f t="shared" ref="E46:F48" si="31">E45/(1+P45)</f>
        <v>292.68767016725008</v>
      </c>
      <c r="F46" s="1471">
        <f t="shared" si="31"/>
        <v>166.88189132810174</v>
      </c>
      <c r="G46" s="3384">
        <v>2009</v>
      </c>
      <c r="H46" s="1481">
        <v>3</v>
      </c>
      <c r="I46" s="1481">
        <v>2.1</v>
      </c>
      <c r="J46" s="1481">
        <v>1.86</v>
      </c>
      <c r="K46" s="1481">
        <v>2.29</v>
      </c>
      <c r="L46" s="1482">
        <v>0.85</v>
      </c>
      <c r="N46" s="1466">
        <f t="shared" si="18"/>
        <v>2.1000000000000001E-2</v>
      </c>
      <c r="O46" s="1483">
        <f t="shared" si="18"/>
        <v>1.8600000000000002E-2</v>
      </c>
      <c r="P46" s="1483">
        <f t="shared" si="18"/>
        <v>2.29E-2</v>
      </c>
      <c r="Q46" s="1483">
        <f t="shared" si="18"/>
        <v>8.5000000000000006E-3</v>
      </c>
      <c r="R46" s="1468"/>
      <c r="S46" s="1466"/>
      <c r="T46" s="1467"/>
      <c r="U46" s="1467"/>
      <c r="V46" s="1467"/>
    </row>
    <row r="47" spans="1:26">
      <c r="A47" s="1455" t="s">
        <v>1177</v>
      </c>
      <c r="B47" s="1471">
        <f t="shared" si="30"/>
        <v>210.630522469011</v>
      </c>
      <c r="C47" s="1471">
        <f t="shared" si="30"/>
        <v>181.69567812247232</v>
      </c>
      <c r="D47" s="1471">
        <f t="shared" si="16"/>
        <v>181.69567812247232</v>
      </c>
      <c r="E47" s="1471">
        <f t="shared" si="31"/>
        <v>286.13517466736738</v>
      </c>
      <c r="F47" s="1471">
        <f t="shared" si="31"/>
        <v>165.47535084591149</v>
      </c>
      <c r="G47" s="3384">
        <v>2009</v>
      </c>
      <c r="H47" s="1459">
        <v>2</v>
      </c>
      <c r="I47" s="1459">
        <v>0.86</v>
      </c>
      <c r="J47" s="1459">
        <v>-1.1299999999999999</v>
      </c>
      <c r="K47" s="1459">
        <v>1.79</v>
      </c>
      <c r="L47" s="1473">
        <v>-2.0699999999999998</v>
      </c>
      <c r="N47" s="1466">
        <f t="shared" si="18"/>
        <v>8.6E-3</v>
      </c>
      <c r="O47" s="1483">
        <f t="shared" si="18"/>
        <v>-1.1299999999999999E-2</v>
      </c>
      <c r="P47" s="1483">
        <f t="shared" si="18"/>
        <v>1.7899999999999999E-2</v>
      </c>
      <c r="Q47" s="1483">
        <f t="shared" si="18"/>
        <v>-2.07E-2</v>
      </c>
      <c r="R47" s="1468"/>
      <c r="S47" s="1466"/>
      <c r="T47" s="1467"/>
      <c r="U47" s="1467"/>
      <c r="V47" s="1467"/>
    </row>
    <row r="48" spans="1:26">
      <c r="A48" s="1455" t="s">
        <v>1178</v>
      </c>
      <c r="B48" s="1471">
        <f t="shared" si="30"/>
        <v>208.83454537875372</v>
      </c>
      <c r="C48" s="1471">
        <f t="shared" si="30"/>
        <v>183.77230517090351</v>
      </c>
      <c r="D48" s="1471">
        <f t="shared" si="16"/>
        <v>183.77230517090351</v>
      </c>
      <c r="E48" s="1471">
        <f t="shared" si="31"/>
        <v>281.10342338870947</v>
      </c>
      <c r="F48" s="1471">
        <f t="shared" si="31"/>
        <v>168.97309388942256</v>
      </c>
      <c r="G48" s="3385">
        <v>2009</v>
      </c>
      <c r="H48" s="1458">
        <v>1</v>
      </c>
      <c r="I48" s="1458">
        <v>-2.64</v>
      </c>
      <c r="J48" s="1458">
        <v>-2.5299999999999998</v>
      </c>
      <c r="K48" s="1458">
        <v>-3.02</v>
      </c>
      <c r="L48" s="1472">
        <v>1.52</v>
      </c>
      <c r="N48" s="1474">
        <f t="shared" si="18"/>
        <v>-2.64E-2</v>
      </c>
      <c r="O48" s="1475">
        <f t="shared" si="18"/>
        <v>-2.53E-2</v>
      </c>
      <c r="P48" s="1475">
        <f t="shared" si="18"/>
        <v>-3.0200000000000001E-2</v>
      </c>
      <c r="Q48" s="1475">
        <f t="shared" si="18"/>
        <v>1.52E-2</v>
      </c>
      <c r="R48" s="1468"/>
      <c r="S48" s="1474">
        <f>B48/B49-1</f>
        <v>-2.4137638417038754E-2</v>
      </c>
      <c r="T48" s="1475">
        <f>C48/C49-1</f>
        <v>-2.248773845264096E-2</v>
      </c>
      <c r="U48" s="1475">
        <f>E48/E49-1</f>
        <v>-2.7323794502735366E-2</v>
      </c>
      <c r="V48" s="1475">
        <f>F48/F49-1</f>
        <v>1.7910204153148035E-2</v>
      </c>
      <c r="X48" s="1454"/>
      <c r="Y48" s="1454"/>
      <c r="Z48" s="1454"/>
    </row>
    <row r="49" spans="1:26" ht="13.5" thickBot="1">
      <c r="A49" s="1455" t="s">
        <v>1179</v>
      </c>
      <c r="B49" s="1505">
        <v>214</v>
      </c>
      <c r="C49" s="1505">
        <v>188</v>
      </c>
      <c r="D49" s="1505">
        <f t="shared" si="16"/>
        <v>188</v>
      </c>
      <c r="E49" s="1505">
        <v>289</v>
      </c>
      <c r="F49" s="1506">
        <v>166</v>
      </c>
      <c r="G49" s="3383">
        <v>2008</v>
      </c>
      <c r="H49" s="1476">
        <v>4</v>
      </c>
      <c r="I49" s="1476">
        <v>1.73</v>
      </c>
      <c r="J49" s="1476">
        <v>0.03</v>
      </c>
      <c r="K49" s="1476">
        <v>2.59</v>
      </c>
      <c r="L49" s="1477">
        <v>-1.66</v>
      </c>
      <c r="N49" s="1466">
        <f t="shared" si="18"/>
        <v>1.7299999999999999E-2</v>
      </c>
      <c r="O49" s="1467">
        <f t="shared" si="18"/>
        <v>2.9999999999999997E-4</v>
      </c>
      <c r="P49" s="1467">
        <f t="shared" si="18"/>
        <v>2.5899999999999999E-2</v>
      </c>
      <c r="Q49" s="1467">
        <f t="shared" si="18"/>
        <v>-1.66E-2</v>
      </c>
      <c r="R49" s="1468"/>
      <c r="S49" s="1469"/>
      <c r="T49" s="1470"/>
      <c r="U49" s="1470"/>
      <c r="V49" s="1470"/>
      <c r="X49" s="1470"/>
      <c r="Y49" s="1470"/>
      <c r="Z49" s="1470"/>
    </row>
    <row r="50" spans="1:26">
      <c r="A50" s="1455" t="s">
        <v>1180</v>
      </c>
      <c r="B50" s="1471">
        <f t="shared" ref="B50:C52" si="32">B49/(1+N49)</f>
        <v>210.36075887152265</v>
      </c>
      <c r="C50" s="1471">
        <f t="shared" si="32"/>
        <v>187.94361691492554</v>
      </c>
      <c r="D50" s="1471">
        <f t="shared" si="16"/>
        <v>187.94361691492554</v>
      </c>
      <c r="E50" s="1471">
        <f t="shared" ref="E50:F52" si="33">E49/(1+P49)</f>
        <v>281.70386977288234</v>
      </c>
      <c r="F50" s="1471">
        <f t="shared" si="33"/>
        <v>168.80211511083994</v>
      </c>
      <c r="G50" s="3384">
        <v>2008</v>
      </c>
      <c r="H50" s="1481">
        <v>3</v>
      </c>
      <c r="I50" s="1481">
        <v>1.96</v>
      </c>
      <c r="J50" s="1481">
        <v>2.36</v>
      </c>
      <c r="K50" s="1481">
        <v>1.82</v>
      </c>
      <c r="L50" s="1482">
        <v>2.2200000000000002</v>
      </c>
      <c r="N50" s="1466">
        <f t="shared" si="18"/>
        <v>1.9599999999999999E-2</v>
      </c>
      <c r="O50" s="1467">
        <f t="shared" si="18"/>
        <v>2.3599999999999999E-2</v>
      </c>
      <c r="P50" s="1467">
        <f t="shared" si="18"/>
        <v>1.8200000000000001E-2</v>
      </c>
      <c r="Q50" s="1467">
        <f t="shared" si="18"/>
        <v>2.2200000000000001E-2</v>
      </c>
      <c r="R50" s="1468"/>
      <c r="S50" s="1466"/>
      <c r="T50" s="1467"/>
      <c r="U50" s="1467"/>
      <c r="V50" s="1467"/>
    </row>
    <row r="51" spans="1:26">
      <c r="A51" s="1455" t="s">
        <v>1181</v>
      </c>
      <c r="B51" s="1471">
        <f t="shared" si="32"/>
        <v>206.31694671589116</v>
      </c>
      <c r="C51" s="1471">
        <f t="shared" si="32"/>
        <v>183.61041121036101</v>
      </c>
      <c r="D51" s="1471">
        <f t="shared" si="16"/>
        <v>183.61041121036101</v>
      </c>
      <c r="E51" s="1471">
        <f t="shared" si="33"/>
        <v>276.66850301795557</v>
      </c>
      <c r="F51" s="1471">
        <f t="shared" si="33"/>
        <v>165.1360938278614</v>
      </c>
      <c r="G51" s="3384">
        <v>2008</v>
      </c>
      <c r="H51" s="1459">
        <v>2</v>
      </c>
      <c r="I51" s="1459">
        <v>4.93</v>
      </c>
      <c r="J51" s="1459">
        <v>7.38</v>
      </c>
      <c r="K51" s="1459">
        <v>3.98</v>
      </c>
      <c r="L51" s="1473">
        <v>6.86</v>
      </c>
      <c r="N51" s="1466">
        <f t="shared" si="18"/>
        <v>4.9299999999999997E-2</v>
      </c>
      <c r="O51" s="1467">
        <f t="shared" si="18"/>
        <v>7.3800000000000004E-2</v>
      </c>
      <c r="P51" s="1467">
        <f t="shared" si="18"/>
        <v>3.9800000000000002E-2</v>
      </c>
      <c r="Q51" s="1467">
        <f t="shared" si="18"/>
        <v>6.8600000000000008E-2</v>
      </c>
      <c r="R51" s="1468"/>
      <c r="S51" s="1466"/>
      <c r="T51" s="1467"/>
      <c r="U51" s="1467"/>
      <c r="V51" s="1467"/>
    </row>
    <row r="52" spans="1:26" s="1511" customFormat="1" ht="13.5" thickBot="1">
      <c r="A52" s="1455" t="s">
        <v>1182</v>
      </c>
      <c r="B52" s="1508">
        <f t="shared" si="32"/>
        <v>196.62341248059772</v>
      </c>
      <c r="C52" s="1508">
        <f t="shared" si="32"/>
        <v>170.99125648199012</v>
      </c>
      <c r="D52" s="1508">
        <f t="shared" si="16"/>
        <v>170.99125648199012</v>
      </c>
      <c r="E52" s="1508">
        <f t="shared" si="33"/>
        <v>266.07857570490052</v>
      </c>
      <c r="F52" s="1508">
        <f t="shared" si="33"/>
        <v>154.53499328828505</v>
      </c>
      <c r="G52" s="3385">
        <v>2008</v>
      </c>
      <c r="H52" s="1509">
        <v>1</v>
      </c>
      <c r="I52" s="1509">
        <v>4.1399999999999997</v>
      </c>
      <c r="J52" s="1509">
        <v>3.45</v>
      </c>
      <c r="K52" s="1509">
        <v>4.95</v>
      </c>
      <c r="L52" s="1510">
        <v>4.82</v>
      </c>
      <c r="N52" s="1512">
        <f t="shared" si="18"/>
        <v>4.1399999999999999E-2</v>
      </c>
      <c r="O52" s="1513">
        <f t="shared" si="18"/>
        <v>3.4500000000000003E-2</v>
      </c>
      <c r="P52" s="1513">
        <f t="shared" si="18"/>
        <v>4.9500000000000002E-2</v>
      </c>
      <c r="Q52" s="1513">
        <f t="shared" si="18"/>
        <v>4.82E-2</v>
      </c>
      <c r="R52" s="1514"/>
      <c r="S52" s="1512">
        <f>B52/B53-1</f>
        <v>4.5869215322328349E-2</v>
      </c>
      <c r="T52" s="1513">
        <f>C52/C53-1</f>
        <v>3.6310645345394743E-2</v>
      </c>
      <c r="U52" s="1513">
        <f>E52/E53-1</f>
        <v>4.7553447657088688E-2</v>
      </c>
      <c r="V52" s="1513">
        <f>F52/F53-1</f>
        <v>4.4155360055980086E-2</v>
      </c>
      <c r="X52" s="1515"/>
      <c r="Y52" s="1515"/>
      <c r="Z52" s="1515"/>
    </row>
    <row r="53" spans="1:26" ht="13.5" thickBot="1">
      <c r="A53" s="1455" t="s">
        <v>1183</v>
      </c>
      <c r="B53" s="1463">
        <v>188</v>
      </c>
      <c r="C53" s="1463">
        <v>165</v>
      </c>
      <c r="D53" s="1463">
        <f t="shared" si="16"/>
        <v>165</v>
      </c>
      <c r="E53" s="1463">
        <v>254</v>
      </c>
      <c r="F53" s="1464">
        <v>148</v>
      </c>
      <c r="G53" s="3383">
        <v>2007</v>
      </c>
      <c r="H53" s="1516">
        <v>4</v>
      </c>
      <c r="I53" s="1516">
        <v>5.51</v>
      </c>
      <c r="J53" s="1516">
        <v>4.8899999999999997</v>
      </c>
      <c r="K53" s="1516">
        <v>6.43</v>
      </c>
      <c r="L53" s="1517">
        <v>5.36</v>
      </c>
      <c r="N53" s="1518">
        <f t="shared" ref="N53:O56" si="34">B53/B54-1</f>
        <v>4.1339718365245526E-2</v>
      </c>
      <c r="O53" s="1519">
        <f t="shared" si="34"/>
        <v>4.0324492593776018E-2</v>
      </c>
      <c r="P53" s="1519">
        <f t="shared" ref="P53:Q56" si="35">E53/E54-1</f>
        <v>6.1625555347990968E-2</v>
      </c>
      <c r="Q53" s="1519">
        <f t="shared" si="35"/>
        <v>4.6757569250590603E-2</v>
      </c>
      <c r="R53" s="1468"/>
      <c r="S53" s="1469"/>
      <c r="T53" s="1470"/>
      <c r="U53" s="1470"/>
      <c r="V53" s="1470"/>
      <c r="X53" s="1470"/>
      <c r="Y53" s="1470"/>
      <c r="Z53" s="1470"/>
    </row>
    <row r="54" spans="1:26">
      <c r="A54" s="1455" t="s">
        <v>1184</v>
      </c>
      <c r="B54" s="1471">
        <f t="shared" ref="B54:C56" si="36">B55+(B$53-B$57)*I54/SUM(I$53:I$56)</f>
        <v>180.5366651097618</v>
      </c>
      <c r="C54" s="1471">
        <f t="shared" si="36"/>
        <v>158.60435967302453</v>
      </c>
      <c r="D54" s="1471">
        <f t="shared" si="16"/>
        <v>158.60435967302453</v>
      </c>
      <c r="E54" s="1471">
        <f t="shared" ref="E54:F56" si="37">E55+(E$53-E$57)*K54/SUM(K$53:K$56)</f>
        <v>239.25573260785075</v>
      </c>
      <c r="F54" s="1471">
        <f t="shared" si="37"/>
        <v>141.38899430740037</v>
      </c>
      <c r="G54" s="3384">
        <v>2007</v>
      </c>
      <c r="H54" s="1481">
        <v>3</v>
      </c>
      <c r="I54" s="1481">
        <v>8.65</v>
      </c>
      <c r="J54" s="1481">
        <v>8.06</v>
      </c>
      <c r="K54" s="1481">
        <v>9.94</v>
      </c>
      <c r="L54" s="1482">
        <v>5.8</v>
      </c>
      <c r="N54" s="1518">
        <f t="shared" si="34"/>
        <v>6.940217571740015E-2</v>
      </c>
      <c r="O54" s="1519">
        <f t="shared" si="34"/>
        <v>7.1197482471153428E-2</v>
      </c>
      <c r="P54" s="1519">
        <f t="shared" si="35"/>
        <v>0.10529679922579582</v>
      </c>
      <c r="Q54" s="1519">
        <f t="shared" si="35"/>
        <v>5.3292245059512133E-2</v>
      </c>
      <c r="R54" s="1468"/>
      <c r="S54" s="1466"/>
      <c r="T54" s="1467"/>
      <c r="U54" s="1467"/>
      <c r="V54" s="1467"/>
      <c r="X54" s="1520"/>
      <c r="Y54" s="1520"/>
      <c r="Z54" s="1520"/>
    </row>
    <row r="55" spans="1:26">
      <c r="A55" s="1455" t="s">
        <v>1185</v>
      </c>
      <c r="B55" s="1471">
        <f t="shared" si="36"/>
        <v>168.82017748715555</v>
      </c>
      <c r="C55" s="1471">
        <f t="shared" si="36"/>
        <v>148.06267029972753</v>
      </c>
      <c r="D55" s="1471">
        <f t="shared" si="16"/>
        <v>148.06267029972753</v>
      </c>
      <c r="E55" s="1471">
        <f t="shared" si="37"/>
        <v>216.46288379323747</v>
      </c>
      <c r="F55" s="1471">
        <f t="shared" si="37"/>
        <v>134.23529411764704</v>
      </c>
      <c r="G55" s="3384">
        <v>2007</v>
      </c>
      <c r="H55" s="1459">
        <v>2</v>
      </c>
      <c r="I55" s="1459">
        <v>3.67</v>
      </c>
      <c r="J55" s="1459">
        <v>2.3199999999999998</v>
      </c>
      <c r="K55" s="1459">
        <v>5.0199999999999996</v>
      </c>
      <c r="L55" s="1473">
        <v>6.71</v>
      </c>
      <c r="N55" s="1518">
        <f t="shared" si="34"/>
        <v>3.0339138143848032E-2</v>
      </c>
      <c r="O55" s="1519">
        <f t="shared" si="34"/>
        <v>2.0922341588790472E-2</v>
      </c>
      <c r="P55" s="1519">
        <f t="shared" si="35"/>
        <v>5.6164796592717003E-2</v>
      </c>
      <c r="Q55" s="1519">
        <f t="shared" si="35"/>
        <v>6.5704536723887319E-2</v>
      </c>
      <c r="R55" s="1468"/>
      <c r="S55" s="1466"/>
      <c r="T55" s="1467"/>
      <c r="U55" s="1467"/>
      <c r="V55" s="1467"/>
      <c r="X55" s="1520"/>
      <c r="Y55" s="1520"/>
      <c r="Z55" s="1520"/>
    </row>
    <row r="56" spans="1:26">
      <c r="A56" s="1455" t="s">
        <v>1186</v>
      </c>
      <c r="B56" s="1471">
        <f t="shared" si="36"/>
        <v>163.84913591779542</v>
      </c>
      <c r="C56" s="1471">
        <f t="shared" si="36"/>
        <v>145.0283378746594</v>
      </c>
      <c r="D56" s="1471">
        <f t="shared" si="16"/>
        <v>145.0283378746594</v>
      </c>
      <c r="E56" s="1471">
        <f t="shared" si="37"/>
        <v>204.95180722891567</v>
      </c>
      <c r="F56" s="1471">
        <f t="shared" si="37"/>
        <v>125.95920303605313</v>
      </c>
      <c r="G56" s="3385">
        <v>2007</v>
      </c>
      <c r="H56" s="1458">
        <v>1</v>
      </c>
      <c r="I56" s="1458">
        <v>3.58</v>
      </c>
      <c r="J56" s="1458">
        <v>3.08</v>
      </c>
      <c r="K56" s="1458">
        <v>4.34</v>
      </c>
      <c r="L56" s="1472">
        <v>3.21</v>
      </c>
      <c r="N56" s="1521">
        <f t="shared" si="34"/>
        <v>3.0497710174814063E-2</v>
      </c>
      <c r="O56" s="1522">
        <f t="shared" si="34"/>
        <v>2.8569772160704998E-2</v>
      </c>
      <c r="P56" s="1522">
        <f t="shared" si="35"/>
        <v>5.1034908866234296E-2</v>
      </c>
      <c r="Q56" s="1522">
        <f t="shared" si="35"/>
        <v>3.245248390207478E-2</v>
      </c>
      <c r="R56" s="1468"/>
      <c r="S56" s="1474">
        <f>B56/B57-1</f>
        <v>3.0497710174814063E-2</v>
      </c>
      <c r="T56" s="1475">
        <f>C56/C57-1</f>
        <v>2.8569772160704998E-2</v>
      </c>
      <c r="U56" s="1475">
        <f>E56/E57-1</f>
        <v>5.1034908866234296E-2</v>
      </c>
      <c r="V56" s="1475">
        <f>F56/F57-1</f>
        <v>3.245248390207478E-2</v>
      </c>
      <c r="X56" s="1520"/>
      <c r="Y56" s="1520"/>
      <c r="Z56" s="1520"/>
    </row>
    <row r="57" spans="1:26" ht="13.5" thickBot="1">
      <c r="A57" s="1455" t="s">
        <v>1187</v>
      </c>
      <c r="B57" s="1484">
        <v>159</v>
      </c>
      <c r="C57" s="1484">
        <v>141</v>
      </c>
      <c r="D57" s="1484">
        <f t="shared" si="16"/>
        <v>141</v>
      </c>
      <c r="E57" s="1484">
        <v>195</v>
      </c>
      <c r="F57" s="1485">
        <v>122</v>
      </c>
      <c r="G57" s="3383">
        <v>2006</v>
      </c>
      <c r="H57" s="1476">
        <v>4</v>
      </c>
      <c r="I57" s="1476">
        <v>3.79</v>
      </c>
      <c r="J57" s="1476">
        <v>2.21</v>
      </c>
      <c r="K57" s="1476">
        <v>5.65</v>
      </c>
      <c r="L57" s="1477">
        <v>5.41</v>
      </c>
      <c r="N57" s="1518">
        <f t="shared" ref="N57:O60" si="38">I57/SUM(I$57:I$60)*(B$57/B$61-1)</f>
        <v>7.245466462748526E-2</v>
      </c>
      <c r="O57" s="1519">
        <f t="shared" si="38"/>
        <v>2.3237230038062766E-2</v>
      </c>
      <c r="P57" s="1519">
        <f t="shared" ref="P57:Q60" si="39">K57/SUM(K$57:K$60)*(E$57/E$61-1)</f>
        <v>0.16146893866323722</v>
      </c>
      <c r="Q57" s="1519">
        <f t="shared" si="39"/>
        <v>5.0755230321793784E-2</v>
      </c>
      <c r="R57" s="1468"/>
      <c r="S57" s="1469"/>
      <c r="T57" s="1470"/>
      <c r="U57" s="1470"/>
      <c r="V57" s="1470"/>
      <c r="X57" s="1520"/>
      <c r="Y57" s="1520"/>
      <c r="Z57" s="1520"/>
    </row>
    <row r="58" spans="1:26">
      <c r="A58" s="1455" t="s">
        <v>1188</v>
      </c>
      <c r="B58" s="1471">
        <f t="shared" ref="B58:C60" si="40">B59+(B$57-B$61)*I58/SUM(I$57:I$60)</f>
        <v>149.00125628140702</v>
      </c>
      <c r="C58" s="1471">
        <f t="shared" si="40"/>
        <v>137.95592286501378</v>
      </c>
      <c r="D58" s="1471">
        <f t="shared" si="16"/>
        <v>137.95592286501378</v>
      </c>
      <c r="E58" s="1471">
        <f t="shared" ref="E58:F60" si="41">E59+(E$57-E$61)*K58/SUM(K$57:K$60)</f>
        <v>169.97231450719823</v>
      </c>
      <c r="F58" s="1471">
        <f t="shared" si="41"/>
        <v>116.21390374331551</v>
      </c>
      <c r="G58" s="3384">
        <v>2006</v>
      </c>
      <c r="H58" s="1481">
        <v>3</v>
      </c>
      <c r="I58" s="1481">
        <v>0.92</v>
      </c>
      <c r="J58" s="1481">
        <v>1.08</v>
      </c>
      <c r="K58" s="1481">
        <v>0.73</v>
      </c>
      <c r="L58" s="1482">
        <v>1.08</v>
      </c>
      <c r="N58" s="1518">
        <f t="shared" si="38"/>
        <v>1.7587939698492462E-2</v>
      </c>
      <c r="O58" s="1519">
        <f t="shared" si="38"/>
        <v>1.1355750425840628E-2</v>
      </c>
      <c r="P58" s="1519">
        <f t="shared" si="39"/>
        <v>2.0862358446754544E-2</v>
      </c>
      <c r="Q58" s="1519">
        <f t="shared" si="39"/>
        <v>1.0132282578103011E-2</v>
      </c>
      <c r="R58" s="1468"/>
      <c r="S58" s="1466"/>
      <c r="T58" s="1467"/>
      <c r="U58" s="1467"/>
      <c r="V58" s="1467"/>
      <c r="X58" s="1520"/>
      <c r="Y58" s="1520"/>
      <c r="Z58" s="1520"/>
    </row>
    <row r="59" spans="1:26">
      <c r="A59" s="1455" t="s">
        <v>1189</v>
      </c>
      <c r="B59" s="1471">
        <f t="shared" si="40"/>
        <v>146.57412060301507</v>
      </c>
      <c r="C59" s="1471">
        <f t="shared" si="40"/>
        <v>136.46831955922866</v>
      </c>
      <c r="D59" s="1471">
        <f t="shared" si="16"/>
        <v>136.46831955922866</v>
      </c>
      <c r="E59" s="1471">
        <f t="shared" si="41"/>
        <v>166.73864894795128</v>
      </c>
      <c r="F59" s="1471">
        <f t="shared" si="41"/>
        <v>115.05882352941177</v>
      </c>
      <c r="G59" s="3384">
        <v>2006</v>
      </c>
      <c r="H59" s="1459">
        <v>2</v>
      </c>
      <c r="I59" s="1459">
        <v>0.96</v>
      </c>
      <c r="J59" s="1459">
        <v>0.25</v>
      </c>
      <c r="K59" s="1459">
        <v>1.9</v>
      </c>
      <c r="L59" s="1473">
        <v>0.95</v>
      </c>
      <c r="N59" s="1518">
        <f t="shared" si="38"/>
        <v>1.8352632728861701E-2</v>
      </c>
      <c r="O59" s="1519">
        <f t="shared" si="38"/>
        <v>2.6286459319075526E-3</v>
      </c>
      <c r="P59" s="1519">
        <f t="shared" si="39"/>
        <v>5.4299289107991269E-2</v>
      </c>
      <c r="Q59" s="1519">
        <f t="shared" si="39"/>
        <v>8.9126559714794995E-3</v>
      </c>
      <c r="R59" s="1468"/>
      <c r="S59" s="1466"/>
      <c r="T59" s="1467"/>
      <c r="U59" s="1467"/>
      <c r="V59" s="1467"/>
      <c r="X59" s="1520"/>
      <c r="Y59" s="1520"/>
      <c r="Z59" s="1520"/>
    </row>
    <row r="60" spans="1:26">
      <c r="A60" s="1455" t="s">
        <v>1190</v>
      </c>
      <c r="B60" s="1471">
        <f t="shared" si="40"/>
        <v>144.04145728643215</v>
      </c>
      <c r="C60" s="1471">
        <f t="shared" si="40"/>
        <v>136.12396694214877</v>
      </c>
      <c r="D60" s="1471">
        <f t="shared" si="16"/>
        <v>136.12396694214877</v>
      </c>
      <c r="E60" s="1471">
        <f t="shared" si="41"/>
        <v>158.32225913621264</v>
      </c>
      <c r="F60" s="1471">
        <f t="shared" si="41"/>
        <v>114.04278074866311</v>
      </c>
      <c r="G60" s="3385">
        <v>2006</v>
      </c>
      <c r="H60" s="1458">
        <v>1</v>
      </c>
      <c r="I60" s="1458">
        <v>2.29</v>
      </c>
      <c r="J60" s="1458">
        <v>3.72</v>
      </c>
      <c r="K60" s="1458">
        <v>0.75</v>
      </c>
      <c r="L60" s="1472">
        <v>0.04</v>
      </c>
      <c r="N60" s="1521">
        <f t="shared" si="38"/>
        <v>4.3778675988638847E-2</v>
      </c>
      <c r="O60" s="1522">
        <f t="shared" si="38"/>
        <v>3.9114251466784385E-2</v>
      </c>
      <c r="P60" s="1522">
        <f t="shared" si="39"/>
        <v>2.1433929911049188E-2</v>
      </c>
      <c r="Q60" s="1522">
        <f t="shared" si="39"/>
        <v>3.7526972511492629E-4</v>
      </c>
      <c r="R60" s="1468"/>
      <c r="S60" s="1474">
        <f>B60/B61-1</f>
        <v>4.3778675988638716E-2</v>
      </c>
      <c r="T60" s="1475">
        <f>C60/C61-1</f>
        <v>3.91142514667846E-2</v>
      </c>
      <c r="U60" s="1475">
        <f>E60/E61-1</f>
        <v>2.143392991104931E-2</v>
      </c>
      <c r="V60" s="1475">
        <f>F60/F61-1</f>
        <v>3.7526972511492396E-4</v>
      </c>
      <c r="X60" s="1520"/>
      <c r="Y60" s="1520"/>
      <c r="Z60" s="1520"/>
    </row>
    <row r="61" spans="1:26" ht="13.5" thickBot="1">
      <c r="A61" s="1455" t="s">
        <v>1191</v>
      </c>
      <c r="B61" s="1484">
        <v>138</v>
      </c>
      <c r="C61" s="1484">
        <v>131</v>
      </c>
      <c r="D61" s="1484">
        <f t="shared" si="16"/>
        <v>131</v>
      </c>
      <c r="E61" s="1484">
        <v>155</v>
      </c>
      <c r="F61" s="1485">
        <v>114</v>
      </c>
      <c r="G61" s="3383">
        <v>2005</v>
      </c>
      <c r="H61" s="1476">
        <v>4</v>
      </c>
      <c r="I61" s="1476">
        <v>3.29</v>
      </c>
      <c r="J61" s="1476">
        <v>1.44</v>
      </c>
      <c r="K61" s="1476">
        <v>0.66</v>
      </c>
      <c r="L61" s="1477">
        <v>7.78</v>
      </c>
      <c r="N61" s="1518">
        <f t="shared" ref="N61:O64" si="42">I61/SUM(I$61:I$64)*(B$61/B$65-1)</f>
        <v>9.9404603216919935E-2</v>
      </c>
      <c r="O61" s="1519">
        <f t="shared" si="42"/>
        <v>4.7636550760861554E-2</v>
      </c>
      <c r="P61" s="1519">
        <f t="shared" ref="P61:Q64" si="43">K61/SUM(K$61:K$64)*(E$61/E$65-1)</f>
        <v>8.3756345177664976E-2</v>
      </c>
      <c r="Q61" s="1519">
        <f t="shared" si="43"/>
        <v>5.2148766661559584E-2</v>
      </c>
      <c r="R61" s="1468"/>
      <c r="S61" s="1469"/>
      <c r="T61" s="1470"/>
      <c r="U61" s="1470"/>
      <c r="V61" s="1470"/>
      <c r="X61" s="1520"/>
      <c r="Y61" s="1520"/>
      <c r="Z61" s="1520"/>
    </row>
    <row r="62" spans="1:26">
      <c r="A62" s="1455" t="s">
        <v>1192</v>
      </c>
      <c r="B62" s="1471">
        <f t="shared" ref="B62:C64" si="44">B63+(B$61-B$65)*I62/SUM(I$61:I$64)</f>
        <v>125.9720430107527</v>
      </c>
      <c r="C62" s="1471">
        <f t="shared" si="44"/>
        <v>125.1883408071749</v>
      </c>
      <c r="D62" s="1471">
        <f t="shared" si="16"/>
        <v>125.1883408071749</v>
      </c>
      <c r="E62" s="1471">
        <f t="shared" ref="E62:F64" si="45">E63+(E$61-E$65)*K62/SUM(K$61:K$64)</f>
        <v>144.61421319796952</v>
      </c>
      <c r="F62" s="1471">
        <f t="shared" si="45"/>
        <v>108.42008196721311</v>
      </c>
      <c r="G62" s="3384">
        <v>2005</v>
      </c>
      <c r="H62" s="1481">
        <v>3</v>
      </c>
      <c r="I62" s="1481">
        <v>0.46</v>
      </c>
      <c r="J62" s="1481">
        <v>0.32</v>
      </c>
      <c r="K62" s="1481">
        <v>0.42</v>
      </c>
      <c r="L62" s="1482">
        <v>0.64</v>
      </c>
      <c r="N62" s="1518">
        <f t="shared" si="42"/>
        <v>1.3898515951301874E-2</v>
      </c>
      <c r="O62" s="1519">
        <f t="shared" si="42"/>
        <v>1.0585900169080346E-2</v>
      </c>
      <c r="P62" s="1519">
        <f t="shared" si="43"/>
        <v>5.3299492385786795E-2</v>
      </c>
      <c r="Q62" s="1519">
        <f t="shared" si="43"/>
        <v>4.2898728359123568E-3</v>
      </c>
      <c r="R62" s="1468"/>
      <c r="S62" s="1466"/>
      <c r="T62" s="1467"/>
      <c r="U62" s="1467"/>
      <c r="V62" s="1467"/>
      <c r="X62" s="1520"/>
      <c r="Y62" s="1520"/>
      <c r="Z62" s="1520"/>
    </row>
    <row r="63" spans="1:26">
      <c r="A63" s="1455" t="s">
        <v>1193</v>
      </c>
      <c r="B63" s="1471">
        <f t="shared" si="44"/>
        <v>124.29032258064517</v>
      </c>
      <c r="C63" s="1471">
        <f t="shared" si="44"/>
        <v>123.8968609865471</v>
      </c>
      <c r="D63" s="1471">
        <f t="shared" si="16"/>
        <v>123.8968609865471</v>
      </c>
      <c r="E63" s="1471">
        <f t="shared" si="45"/>
        <v>138.00507614213197</v>
      </c>
      <c r="F63" s="1471">
        <f t="shared" si="45"/>
        <v>107.96106557377048</v>
      </c>
      <c r="G63" s="3384">
        <v>2005</v>
      </c>
      <c r="H63" s="1459">
        <v>2</v>
      </c>
      <c r="I63" s="1459">
        <v>0.47</v>
      </c>
      <c r="J63" s="1459">
        <v>0.1</v>
      </c>
      <c r="K63" s="1459">
        <v>0.52</v>
      </c>
      <c r="L63" s="1473">
        <v>0.79</v>
      </c>
      <c r="N63" s="1518">
        <f t="shared" si="42"/>
        <v>1.420065760241713E-2</v>
      </c>
      <c r="O63" s="1519">
        <f t="shared" si="42"/>
        <v>3.3080938028376083E-3</v>
      </c>
      <c r="P63" s="1519">
        <f t="shared" si="43"/>
        <v>6.598984771573603E-2</v>
      </c>
      <c r="Q63" s="1519">
        <f t="shared" si="43"/>
        <v>5.2953117818293153E-3</v>
      </c>
      <c r="R63" s="1468"/>
      <c r="S63" s="1466"/>
      <c r="T63" s="1467"/>
      <c r="U63" s="1467"/>
      <c r="V63" s="1467"/>
      <c r="X63" s="1520"/>
      <c r="Y63" s="1520"/>
      <c r="Z63" s="1520"/>
    </row>
    <row r="64" spans="1:26">
      <c r="A64" s="1455" t="s">
        <v>1194</v>
      </c>
      <c r="B64" s="1471">
        <f t="shared" si="44"/>
        <v>122.57204301075269</v>
      </c>
      <c r="C64" s="1471">
        <f t="shared" si="44"/>
        <v>123.4932735426009</v>
      </c>
      <c r="D64" s="1471">
        <f t="shared" si="16"/>
        <v>123.4932735426009</v>
      </c>
      <c r="E64" s="1471">
        <f t="shared" si="45"/>
        <v>129.82233502538071</v>
      </c>
      <c r="F64" s="1471">
        <f t="shared" si="45"/>
        <v>107.39446721311475</v>
      </c>
      <c r="G64" s="3385">
        <v>2005</v>
      </c>
      <c r="H64" s="1458">
        <v>1</v>
      </c>
      <c r="I64" s="1458">
        <v>0.43</v>
      </c>
      <c r="J64" s="1458">
        <v>0.37</v>
      </c>
      <c r="K64" s="1458">
        <v>0.37</v>
      </c>
      <c r="L64" s="1472">
        <v>0.55000000000000004</v>
      </c>
      <c r="N64" s="1521">
        <f t="shared" si="42"/>
        <v>1.2992090997956099E-2</v>
      </c>
      <c r="O64" s="1522">
        <f t="shared" si="42"/>
        <v>1.2239947070499151E-2</v>
      </c>
      <c r="P64" s="1522">
        <f t="shared" si="43"/>
        <v>4.6954314720812178E-2</v>
      </c>
      <c r="Q64" s="1522">
        <f t="shared" si="43"/>
        <v>3.6866094683621815E-3</v>
      </c>
      <c r="R64" s="1468"/>
      <c r="S64" s="1474">
        <f>B64/B65-1</f>
        <v>1.2992090997956174E-2</v>
      </c>
      <c r="T64" s="1475">
        <f>C64/C65-1</f>
        <v>1.2239947070499246E-2</v>
      </c>
      <c r="U64" s="1475">
        <f>E64/E65-1</f>
        <v>4.695431472081224E-2</v>
      </c>
      <c r="V64" s="1475">
        <f>F64/F65-1</f>
        <v>3.6866094683620787E-3</v>
      </c>
      <c r="X64" s="1520"/>
      <c r="Y64" s="1520"/>
      <c r="Z64" s="1520"/>
    </row>
    <row r="65" spans="1:26" ht="13.5" thickBot="1">
      <c r="A65" s="1455" t="s">
        <v>1195</v>
      </c>
      <c r="B65" s="1505">
        <v>121</v>
      </c>
      <c r="C65" s="1505">
        <v>122</v>
      </c>
      <c r="D65" s="1505">
        <f t="shared" si="16"/>
        <v>122</v>
      </c>
      <c r="E65" s="1505">
        <v>124</v>
      </c>
      <c r="F65" s="1506">
        <v>107</v>
      </c>
      <c r="G65" s="3383">
        <v>2004</v>
      </c>
      <c r="H65" s="1476">
        <v>4</v>
      </c>
      <c r="I65" s="1476">
        <v>0.33</v>
      </c>
      <c r="J65" s="1476">
        <v>0.5</v>
      </c>
      <c r="K65" s="1476">
        <v>0.5</v>
      </c>
      <c r="L65" s="1477">
        <v>0</v>
      </c>
      <c r="N65" s="1518">
        <f t="shared" ref="N65:O68" si="46">I65/SUM(I$65:I$68)*(B$65/B$69-1)</f>
        <v>1.3391770148526898E-2</v>
      </c>
      <c r="O65" s="1519">
        <f t="shared" si="46"/>
        <v>1.063264221158958E-2</v>
      </c>
      <c r="P65" s="1519">
        <f t="shared" ref="P65:Q68" si="47">K65/SUM(K$65:K$68)*(E$65/E$69-1)</f>
        <v>2.2244466688911134E-2</v>
      </c>
      <c r="Q65" s="1519">
        <f t="shared" si="47"/>
        <v>0</v>
      </c>
      <c r="R65" s="1468"/>
      <c r="S65" s="1469"/>
      <c r="T65" s="1470"/>
      <c r="U65" s="1470"/>
      <c r="V65" s="1470"/>
      <c r="X65" s="1520"/>
      <c r="Y65" s="1520"/>
      <c r="Z65" s="1520"/>
    </row>
    <row r="66" spans="1:26">
      <c r="A66" s="1455" t="s">
        <v>1196</v>
      </c>
      <c r="B66" s="1471">
        <f t="shared" ref="B66:C68" si="48">B67+(B$65-B$69)*I66/SUM(I$65:I$68)</f>
        <v>119.51351351351352</v>
      </c>
      <c r="C66" s="1471">
        <f t="shared" si="48"/>
        <v>120.7878787878788</v>
      </c>
      <c r="D66" s="1471">
        <f t="shared" si="16"/>
        <v>120.7878787878788</v>
      </c>
      <c r="E66" s="1471">
        <f t="shared" ref="E66:F68" si="49">E67+(E$65-E$69)*K66/SUM(K$65:K$68)</f>
        <v>121.5975975975976</v>
      </c>
      <c r="F66" s="1471">
        <f t="shared" si="49"/>
        <v>107</v>
      </c>
      <c r="G66" s="3384">
        <v>2004</v>
      </c>
      <c r="H66" s="1481">
        <v>3</v>
      </c>
      <c r="I66" s="1481">
        <v>0.56000000000000005</v>
      </c>
      <c r="J66" s="1481">
        <v>0.8</v>
      </c>
      <c r="K66" s="1481">
        <v>0.83</v>
      </c>
      <c r="L66" s="1482">
        <v>0.06</v>
      </c>
      <c r="N66" s="1518">
        <f t="shared" si="46"/>
        <v>2.2725428130833527E-2</v>
      </c>
      <c r="O66" s="1519">
        <f t="shared" si="46"/>
        <v>1.7012227538543329E-2</v>
      </c>
      <c r="P66" s="1519">
        <f t="shared" si="47"/>
        <v>3.6925814703592477E-2</v>
      </c>
      <c r="Q66" s="1519">
        <f t="shared" si="47"/>
        <v>2.8846153846153744E-2</v>
      </c>
      <c r="R66" s="1468"/>
      <c r="S66" s="1466"/>
      <c r="T66" s="1467"/>
      <c r="U66" s="1467"/>
      <c r="V66" s="1467"/>
      <c r="X66" s="1520"/>
      <c r="Y66" s="1520"/>
      <c r="Z66" s="1520"/>
    </row>
    <row r="67" spans="1:26">
      <c r="A67" s="1455" t="s">
        <v>1197</v>
      </c>
      <c r="B67" s="1471">
        <f t="shared" si="48"/>
        <v>116.99099099099099</v>
      </c>
      <c r="C67" s="1471">
        <f t="shared" si="48"/>
        <v>118.84848484848486</v>
      </c>
      <c r="D67" s="1471">
        <f t="shared" si="16"/>
        <v>118.84848484848486</v>
      </c>
      <c r="E67" s="1471">
        <f t="shared" si="49"/>
        <v>117.60960960960961</v>
      </c>
      <c r="F67" s="1471">
        <f t="shared" si="49"/>
        <v>104</v>
      </c>
      <c r="G67" s="3384">
        <v>2004</v>
      </c>
      <c r="H67" s="1459">
        <v>2</v>
      </c>
      <c r="I67" s="1459">
        <v>1</v>
      </c>
      <c r="J67" s="1459">
        <v>1.5</v>
      </c>
      <c r="K67" s="1459">
        <v>1.5</v>
      </c>
      <c r="L67" s="1473">
        <v>0</v>
      </c>
      <c r="N67" s="1518">
        <f t="shared" si="46"/>
        <v>4.0581121662202721E-2</v>
      </c>
      <c r="O67" s="1519">
        <f t="shared" si="46"/>
        <v>3.1897926634768738E-2</v>
      </c>
      <c r="P67" s="1519">
        <f t="shared" si="47"/>
        <v>6.6733400066733395E-2</v>
      </c>
      <c r="Q67" s="1519">
        <f t="shared" si="47"/>
        <v>0</v>
      </c>
      <c r="R67" s="1468"/>
      <c r="S67" s="1466"/>
      <c r="T67" s="1467"/>
      <c r="U67" s="1467"/>
      <c r="V67" s="1467"/>
      <c r="X67" s="1520"/>
      <c r="Y67" s="1520"/>
      <c r="Z67" s="1520"/>
    </row>
    <row r="68" spans="1:26" s="1511" customFormat="1" ht="13.5" thickBot="1">
      <c r="A68" s="1455" t="s">
        <v>1198</v>
      </c>
      <c r="B68" s="1508">
        <f t="shared" si="48"/>
        <v>112.48648648648648</v>
      </c>
      <c r="C68" s="1508">
        <f t="shared" si="48"/>
        <v>115.21212121212122</v>
      </c>
      <c r="D68" s="1508">
        <f t="shared" si="16"/>
        <v>115.21212121212122</v>
      </c>
      <c r="E68" s="1508">
        <f t="shared" si="49"/>
        <v>110.4024024024024</v>
      </c>
      <c r="F68" s="1508">
        <f t="shared" si="49"/>
        <v>104</v>
      </c>
      <c r="G68" s="3385">
        <v>2004</v>
      </c>
      <c r="H68" s="1509">
        <v>1</v>
      </c>
      <c r="I68" s="1509">
        <v>0.33</v>
      </c>
      <c r="J68" s="1509">
        <v>0.5</v>
      </c>
      <c r="K68" s="1509">
        <v>0.5</v>
      </c>
      <c r="L68" s="1510">
        <v>0</v>
      </c>
      <c r="N68" s="1523">
        <f t="shared" si="46"/>
        <v>1.3391770148526898E-2</v>
      </c>
      <c r="O68" s="1524">
        <f t="shared" si="46"/>
        <v>1.063264221158958E-2</v>
      </c>
      <c r="P68" s="1524">
        <f t="shared" si="47"/>
        <v>2.2244466688911134E-2</v>
      </c>
      <c r="Q68" s="1524">
        <f t="shared" si="47"/>
        <v>0</v>
      </c>
      <c r="R68" s="1514"/>
      <c r="S68" s="1512">
        <f>B68/B69-1</f>
        <v>1.3391770148526883E-2</v>
      </c>
      <c r="T68" s="1513">
        <f>C68/C69-1</f>
        <v>1.063264221158966E-2</v>
      </c>
      <c r="U68" s="1513">
        <f>E68/E69-1</f>
        <v>2.2244466688911224E-2</v>
      </c>
      <c r="V68" s="1513">
        <f>F68/F69-1</f>
        <v>0</v>
      </c>
      <c r="X68" s="1525"/>
      <c r="Y68" s="1525"/>
      <c r="Z68" s="1525"/>
    </row>
    <row r="69" spans="1:26" ht="13.5" thickBot="1">
      <c r="A69" s="1455" t="s">
        <v>1199</v>
      </c>
      <c r="B69" s="1526">
        <v>111</v>
      </c>
      <c r="C69" s="1526">
        <v>114</v>
      </c>
      <c r="D69" s="1526">
        <f t="shared" si="16"/>
        <v>114</v>
      </c>
      <c r="E69" s="1526">
        <v>108</v>
      </c>
      <c r="F69" s="1527">
        <v>104</v>
      </c>
      <c r="G69" s="3383">
        <v>2003</v>
      </c>
      <c r="H69" s="1516">
        <v>4</v>
      </c>
      <c r="I69" s="1528"/>
      <c r="J69" s="1528"/>
      <c r="K69" s="1528"/>
      <c r="L69" s="1528"/>
      <c r="N69" s="1529"/>
      <c r="O69" s="1528"/>
      <c r="P69" s="1528"/>
      <c r="Q69" s="1528"/>
      <c r="S69" s="1529"/>
      <c r="T69" s="1528"/>
      <c r="U69" s="1528"/>
      <c r="V69" s="1528"/>
      <c r="X69" s="1520"/>
      <c r="Y69" s="1520"/>
      <c r="Z69" s="1520"/>
    </row>
    <row r="70" spans="1:26">
      <c r="A70" s="1455" t="s">
        <v>1200</v>
      </c>
      <c r="B70" s="1530">
        <f t="shared" ref="B70:C72" si="50">B71+(B$69-B$73)/4</f>
        <v>109.75</v>
      </c>
      <c r="C70" s="1530">
        <f t="shared" si="50"/>
        <v>112.25</v>
      </c>
      <c r="D70" s="1530">
        <f t="shared" si="16"/>
        <v>112.25</v>
      </c>
      <c r="E70" s="1530">
        <f t="shared" ref="E70:F72" si="51">E71+(E$69-E$73)/4</f>
        <v>107.25</v>
      </c>
      <c r="F70" s="1530">
        <f t="shared" si="51"/>
        <v>103.5</v>
      </c>
      <c r="G70" s="3384">
        <v>2003</v>
      </c>
      <c r="H70" s="1481">
        <v>3</v>
      </c>
      <c r="I70" s="1528"/>
      <c r="J70" s="1528"/>
      <c r="K70" s="1528"/>
      <c r="L70" s="1528"/>
      <c r="X70" s="1520"/>
      <c r="Y70" s="1520"/>
      <c r="Z70" s="1520"/>
    </row>
    <row r="71" spans="1:26">
      <c r="A71" s="1455" t="s">
        <v>1201</v>
      </c>
      <c r="B71" s="1530">
        <f t="shared" si="50"/>
        <v>108.5</v>
      </c>
      <c r="C71" s="1530">
        <f t="shared" si="50"/>
        <v>110.5</v>
      </c>
      <c r="D71" s="1530">
        <f t="shared" si="16"/>
        <v>110.5</v>
      </c>
      <c r="E71" s="1530">
        <f t="shared" si="51"/>
        <v>106.5</v>
      </c>
      <c r="F71" s="1530">
        <f t="shared" si="51"/>
        <v>103</v>
      </c>
      <c r="G71" s="3384">
        <v>2003</v>
      </c>
      <c r="H71" s="1459">
        <v>2</v>
      </c>
      <c r="I71" s="1528"/>
      <c r="J71" s="1528"/>
      <c r="K71" s="1528"/>
      <c r="L71" s="1528"/>
      <c r="X71" s="1520"/>
      <c r="Y71" s="1520"/>
      <c r="Z71" s="1520"/>
    </row>
    <row r="72" spans="1:26" ht="13.5" thickBot="1">
      <c r="A72" s="1455" t="s">
        <v>1202</v>
      </c>
      <c r="B72" s="1530">
        <f t="shared" si="50"/>
        <v>107.25</v>
      </c>
      <c r="C72" s="1530">
        <f t="shared" si="50"/>
        <v>108.75</v>
      </c>
      <c r="D72" s="1530">
        <f t="shared" si="16"/>
        <v>108.75</v>
      </c>
      <c r="E72" s="1530">
        <f t="shared" si="51"/>
        <v>105.75</v>
      </c>
      <c r="F72" s="1530">
        <f t="shared" si="51"/>
        <v>102.5</v>
      </c>
      <c r="G72" s="3385">
        <v>2003</v>
      </c>
      <c r="H72" s="1531">
        <v>1</v>
      </c>
      <c r="I72" s="1528"/>
      <c r="J72" s="1528"/>
      <c r="K72" s="1528"/>
      <c r="L72" s="1528"/>
      <c r="S72" s="1466"/>
      <c r="T72" s="1467"/>
      <c r="U72" s="1467"/>
      <c r="X72" s="1520"/>
      <c r="Y72" s="1520"/>
      <c r="Z72" s="1520"/>
    </row>
    <row r="73" spans="1:26" ht="13.5" thickBot="1">
      <c r="A73" s="1455" t="s">
        <v>1203</v>
      </c>
      <c r="B73" s="1532">
        <v>106</v>
      </c>
      <c r="C73" s="1532">
        <v>107</v>
      </c>
      <c r="D73" s="1532">
        <f t="shared" si="16"/>
        <v>107</v>
      </c>
      <c r="E73" s="1532">
        <v>105</v>
      </c>
      <c r="F73" s="1533">
        <v>102</v>
      </c>
      <c r="G73" s="3383">
        <v>2002</v>
      </c>
      <c r="H73" s="1476">
        <v>4</v>
      </c>
      <c r="I73" s="1528"/>
      <c r="J73" s="1528"/>
      <c r="K73" s="1528"/>
      <c r="L73" s="1528"/>
      <c r="N73" s="1529"/>
      <c r="O73" s="1528"/>
      <c r="P73" s="1528"/>
      <c r="Q73" s="1528"/>
      <c r="S73" s="1529"/>
      <c r="T73" s="1528"/>
      <c r="U73" s="1528"/>
      <c r="V73" s="1528"/>
      <c r="X73" s="1520"/>
      <c r="Y73" s="1520"/>
      <c r="Z73" s="1520"/>
    </row>
    <row r="74" spans="1:26">
      <c r="A74" s="1455" t="s">
        <v>1204</v>
      </c>
      <c r="B74" s="1530">
        <f t="shared" ref="B74:C76" si="52">B75+(B$73-B$77)/4</f>
        <v>105</v>
      </c>
      <c r="C74" s="1530">
        <f t="shared" si="52"/>
        <v>106</v>
      </c>
      <c r="D74" s="1530">
        <f t="shared" si="16"/>
        <v>106</v>
      </c>
      <c r="E74" s="1530">
        <f t="shared" ref="E74:F76" si="53">E75+(E$73-E$77)/4</f>
        <v>104.5</v>
      </c>
      <c r="F74" s="1530">
        <f t="shared" si="53"/>
        <v>101.5</v>
      </c>
      <c r="G74" s="3384">
        <v>2002</v>
      </c>
      <c r="H74" s="1481">
        <v>3</v>
      </c>
      <c r="I74" s="1528"/>
      <c r="J74" s="1528"/>
      <c r="K74" s="1528"/>
      <c r="L74" s="1528"/>
      <c r="X74" s="1520"/>
      <c r="Y74" s="1520"/>
      <c r="Z74" s="1520"/>
    </row>
    <row r="75" spans="1:26">
      <c r="A75" s="1455" t="s">
        <v>1205</v>
      </c>
      <c r="B75" s="1530">
        <f t="shared" si="52"/>
        <v>104</v>
      </c>
      <c r="C75" s="1530">
        <f t="shared" si="52"/>
        <v>105</v>
      </c>
      <c r="D75" s="1530">
        <f t="shared" si="16"/>
        <v>105</v>
      </c>
      <c r="E75" s="1530">
        <f t="shared" si="53"/>
        <v>104</v>
      </c>
      <c r="F75" s="1530">
        <f t="shared" si="53"/>
        <v>101</v>
      </c>
      <c r="G75" s="3384">
        <v>2002</v>
      </c>
      <c r="H75" s="1459">
        <v>2</v>
      </c>
      <c r="I75" s="1528"/>
      <c r="J75" s="1528"/>
      <c r="K75" s="1528"/>
      <c r="L75" s="1528"/>
      <c r="X75" s="1520"/>
      <c r="Y75" s="1520"/>
      <c r="Z75" s="1520"/>
    </row>
    <row r="76" spans="1:26" s="1492" customFormat="1" ht="13.5" thickBot="1">
      <c r="A76" s="1488" t="s">
        <v>1206</v>
      </c>
      <c r="B76" s="1534">
        <f t="shared" si="52"/>
        <v>103</v>
      </c>
      <c r="C76" s="1534">
        <f t="shared" si="52"/>
        <v>104</v>
      </c>
      <c r="D76" s="1534">
        <f t="shared" si="16"/>
        <v>104</v>
      </c>
      <c r="E76" s="1534">
        <f t="shared" si="53"/>
        <v>103.5</v>
      </c>
      <c r="F76" s="1534">
        <f t="shared" si="53"/>
        <v>100.5</v>
      </c>
      <c r="G76" s="3385">
        <v>2002</v>
      </c>
      <c r="H76" s="1535">
        <v>1</v>
      </c>
      <c r="I76" s="1536"/>
      <c r="J76" s="1536"/>
      <c r="K76" s="1536"/>
      <c r="L76" s="1536"/>
      <c r="N76" s="1537"/>
      <c r="S76" s="1537"/>
      <c r="X76" s="1538"/>
      <c r="Y76" s="1538"/>
      <c r="Z76" s="1538"/>
    </row>
    <row r="77" spans="1:26" ht="13.5" thickBot="1">
      <c r="B77" s="1539">
        <v>102</v>
      </c>
      <c r="C77" s="1540">
        <v>103</v>
      </c>
      <c r="D77" s="1540">
        <f t="shared" si="16"/>
        <v>103</v>
      </c>
      <c r="E77" s="1540">
        <v>103</v>
      </c>
      <c r="F77" s="1541">
        <v>100</v>
      </c>
      <c r="I77" s="1528"/>
      <c r="J77" s="1528"/>
      <c r="K77" s="1528"/>
      <c r="L77" s="1528"/>
      <c r="N77" s="1529"/>
      <c r="O77" s="1528"/>
      <c r="P77" s="1528"/>
      <c r="Q77" s="1528"/>
      <c r="S77" s="1529"/>
      <c r="T77" s="1528"/>
      <c r="U77" s="1528"/>
      <c r="V77" s="1528"/>
      <c r="X77" s="1470"/>
      <c r="Y77" s="1470"/>
      <c r="Z77" s="1470"/>
    </row>
    <row r="79" spans="1:26" s="1543" customFormat="1">
      <c r="A79" s="1542" t="s">
        <v>1207</v>
      </c>
      <c r="G79" s="1544"/>
      <c r="N79" s="1544"/>
      <c r="S79" s="1544"/>
    </row>
    <row r="80" spans="1:26" s="1543" customFormat="1">
      <c r="A80" s="1543" t="s">
        <v>1208</v>
      </c>
      <c r="G80" s="1544"/>
      <c r="N80" s="1544"/>
      <c r="S80" s="1544"/>
    </row>
    <row r="81" spans="1:22" s="1543" customFormat="1">
      <c r="A81" s="1543" t="s">
        <v>1209</v>
      </c>
      <c r="G81" s="1544"/>
      <c r="I81" s="1545"/>
      <c r="J81" s="1545"/>
      <c r="K81" s="1545"/>
      <c r="L81" s="1545"/>
      <c r="N81" s="1546"/>
      <c r="O81" s="1545"/>
      <c r="P81" s="1545"/>
      <c r="Q81" s="1545"/>
      <c r="S81" s="1546"/>
      <c r="T81" s="1545"/>
      <c r="U81" s="1545"/>
      <c r="V81" s="1545"/>
    </row>
    <row r="82" spans="1:22" s="1543" customFormat="1">
      <c r="A82" s="1543" t="s">
        <v>1210</v>
      </c>
      <c r="G82" s="1544"/>
      <c r="N82" s="1544"/>
      <c r="S82" s="1544"/>
    </row>
    <row r="89" spans="1:22" ht="13.5" thickBot="1"/>
    <row r="90" spans="1:22">
      <c r="G90" s="1465"/>
      <c r="S90" s="1547" t="s">
        <v>1211</v>
      </c>
      <c r="T90" s="1548" t="s">
        <v>1212</v>
      </c>
      <c r="U90" s="1548" t="s">
        <v>1213</v>
      </c>
      <c r="V90" s="1548" t="s">
        <v>1214</v>
      </c>
    </row>
    <row r="91" spans="1:22">
      <c r="G91" s="1465"/>
      <c r="N91" s="1469"/>
      <c r="O91" s="1470"/>
      <c r="P91" s="1470"/>
      <c r="Q91" s="1470"/>
      <c r="S91" s="1549">
        <v>2006</v>
      </c>
      <c r="T91" s="1550">
        <v>15.1</v>
      </c>
      <c r="U91" s="1550">
        <v>7.43</v>
      </c>
      <c r="V91" s="1550">
        <v>26.26</v>
      </c>
    </row>
    <row r="92" spans="1:22">
      <c r="G92" s="1465"/>
      <c r="N92" s="1469"/>
      <c r="O92" s="1470"/>
      <c r="P92" s="1470"/>
      <c r="Q92" s="1470"/>
      <c r="S92" s="1551">
        <v>2005</v>
      </c>
      <c r="T92" s="1552">
        <v>13.9</v>
      </c>
      <c r="U92" s="1552">
        <v>7.49</v>
      </c>
      <c r="V92" s="1552">
        <v>24.92</v>
      </c>
    </row>
    <row r="93" spans="1:22">
      <c r="G93" s="1465"/>
      <c r="N93" s="1469"/>
      <c r="O93" s="1470"/>
      <c r="P93" s="1470"/>
      <c r="Q93" s="1470"/>
      <c r="S93" s="1549">
        <v>2004</v>
      </c>
      <c r="T93" s="1550">
        <v>9.48</v>
      </c>
      <c r="U93" s="1550">
        <v>7.2</v>
      </c>
      <c r="V93" s="1550">
        <v>14.68</v>
      </c>
    </row>
    <row r="94" spans="1:22">
      <c r="G94" s="1465"/>
      <c r="N94" s="1469"/>
      <c r="O94" s="1470"/>
      <c r="P94" s="1470"/>
      <c r="Q94" s="1470"/>
      <c r="S94" s="1551">
        <v>2003</v>
      </c>
      <c r="T94" s="1552">
        <v>4.5</v>
      </c>
      <c r="U94" s="1552">
        <v>6.12</v>
      </c>
      <c r="V94" s="1552">
        <v>2.34</v>
      </c>
    </row>
    <row r="95" spans="1:22" ht="13.5" thickBot="1">
      <c r="G95" s="1465"/>
      <c r="N95" s="1469"/>
      <c r="O95" s="1470"/>
      <c r="P95" s="1470"/>
      <c r="Q95" s="1470"/>
      <c r="S95" s="1553">
        <v>2002</v>
      </c>
      <c r="T95" s="1554">
        <v>3.59</v>
      </c>
      <c r="U95" s="1554">
        <v>4.54</v>
      </c>
      <c r="V95" s="1554">
        <v>2.5499999999999998</v>
      </c>
    </row>
    <row r="96" spans="1: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row r="111" spans="7:19">
      <c r="G111" s="1465"/>
      <c r="N111" s="1469"/>
      <c r="O111" s="1470"/>
      <c r="P111" s="1470"/>
      <c r="Q111" s="1470"/>
      <c r="S111" s="1465"/>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6"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1"/>
    <col min="46" max="16384" width="9" style="136"/>
  </cols>
  <sheetData>
    <row r="1" spans="1:45" ht="14.25" customHeight="1" thickBot="1">
      <c r="A1" s="152"/>
      <c r="B1" s="1198" t="s">
        <v>2994</v>
      </c>
      <c r="C1" s="3395" t="s">
        <v>2995</v>
      </c>
      <c r="D1" s="3396"/>
      <c r="E1" s="3396"/>
      <c r="F1" s="3396"/>
      <c r="G1" s="3396"/>
      <c r="H1" s="3396"/>
      <c r="I1" s="3396"/>
      <c r="J1" s="3396"/>
      <c r="K1" s="3396"/>
      <c r="L1" s="3396"/>
      <c r="M1" s="3396"/>
      <c r="N1" s="3396"/>
      <c r="O1" s="3396"/>
      <c r="P1" s="3396"/>
      <c r="Q1" s="3396"/>
      <c r="R1" s="3396"/>
      <c r="S1" s="3397"/>
      <c r="T1" s="1198" t="s">
        <v>2996</v>
      </c>
    </row>
    <row r="2" spans="1:45" s="704" customFormat="1">
      <c r="A2" s="1199"/>
      <c r="B2" s="700" t="s">
        <v>2997</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R2" si="1">M3&amp;"(含)"&amp;"-"&amp;N3</f>
        <v>(含)-</v>
      </c>
      <c r="N2" s="702" t="str">
        <f t="shared" si="1"/>
        <v>(含)-</v>
      </c>
      <c r="O2" s="702" t="str">
        <f t="shared" si="1"/>
        <v>(含)-</v>
      </c>
      <c r="P2" s="702" t="str">
        <f t="shared" si="1"/>
        <v>(含)-</v>
      </c>
      <c r="Q2" s="702" t="str">
        <f t="shared" si="1"/>
        <v>(含)-</v>
      </c>
      <c r="R2" s="702" t="str">
        <f t="shared" si="1"/>
        <v>(含)-</v>
      </c>
      <c r="S2" s="1200" t="str">
        <f>S3&amp;"(含)"&amp;"-"</f>
        <v>(含)-</v>
      </c>
      <c r="T2" s="703"/>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c r="A3" s="1201"/>
      <c r="B3" s="705"/>
      <c r="C3" s="706"/>
      <c r="D3" s="707"/>
      <c r="E3" s="707"/>
      <c r="F3" s="1697"/>
      <c r="G3" s="1697"/>
      <c r="H3" s="1697"/>
      <c r="I3" s="1697"/>
      <c r="J3" s="1697"/>
      <c r="K3" s="1697"/>
      <c r="L3" s="1698"/>
      <c r="M3" s="1699"/>
      <c r="N3" s="1699"/>
      <c r="O3" s="1697"/>
      <c r="P3" s="1697"/>
      <c r="Q3" s="1697"/>
      <c r="R3" s="1697"/>
      <c r="S3" s="1700"/>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09"/>
      <c r="B5" s="1762" t="s">
        <v>2998</v>
      </c>
      <c r="C5" s="1210"/>
      <c r="D5" s="1211"/>
      <c r="E5" s="1211"/>
      <c r="F5" s="1704"/>
      <c r="G5" s="1704"/>
      <c r="H5" s="1704"/>
      <c r="I5" s="1704"/>
      <c r="J5" s="1704"/>
      <c r="K5" s="1704"/>
      <c r="L5" s="1705"/>
      <c r="M5" s="1706"/>
      <c r="N5" s="1706"/>
      <c r="O5" s="1704"/>
      <c r="P5" s="1704"/>
      <c r="Q5" s="1704"/>
      <c r="R5" s="1704"/>
      <c r="S5" s="1707"/>
      <c r="T5" s="1213"/>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09"/>
      <c r="B6" s="1110"/>
      <c r="C6" s="1116">
        <v>100</v>
      </c>
      <c r="D6" s="1113">
        <f>C6-$T5</f>
        <v>100</v>
      </c>
      <c r="E6" s="1113">
        <f t="shared" ref="E6:S6" si="2">D6-$T5</f>
        <v>100</v>
      </c>
      <c r="F6" s="1708">
        <f t="shared" si="2"/>
        <v>100</v>
      </c>
      <c r="G6" s="1708">
        <f t="shared" si="2"/>
        <v>100</v>
      </c>
      <c r="H6" s="1708">
        <f t="shared" si="2"/>
        <v>100</v>
      </c>
      <c r="I6" s="1708">
        <f t="shared" si="2"/>
        <v>100</v>
      </c>
      <c r="J6" s="1708">
        <f t="shared" si="2"/>
        <v>100</v>
      </c>
      <c r="K6" s="1708">
        <f t="shared" si="2"/>
        <v>100</v>
      </c>
      <c r="L6" s="1708">
        <f t="shared" si="2"/>
        <v>100</v>
      </c>
      <c r="M6" s="1708">
        <f t="shared" si="2"/>
        <v>100</v>
      </c>
      <c r="N6" s="1708">
        <f t="shared" si="2"/>
        <v>100</v>
      </c>
      <c r="O6" s="1708">
        <f t="shared" si="2"/>
        <v>100</v>
      </c>
      <c r="P6" s="1708">
        <f t="shared" si="2"/>
        <v>100</v>
      </c>
      <c r="Q6" s="1708">
        <f t="shared" si="2"/>
        <v>100</v>
      </c>
      <c r="R6" s="1708">
        <f t="shared" si="2"/>
        <v>100</v>
      </c>
      <c r="S6" s="1708">
        <f t="shared" si="2"/>
        <v>100</v>
      </c>
      <c r="T6" s="1112"/>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09"/>
      <c r="B7" s="1763" t="s">
        <v>2999</v>
      </c>
      <c r="C7" s="1115"/>
      <c r="D7" s="1109"/>
      <c r="E7" s="1109"/>
      <c r="F7" s="1709"/>
      <c r="G7" s="1709"/>
      <c r="H7" s="1709"/>
      <c r="I7" s="1709"/>
      <c r="J7" s="1709"/>
      <c r="K7" s="1709"/>
      <c r="L7" s="1709"/>
      <c r="M7" s="1710"/>
      <c r="N7" s="1711"/>
      <c r="O7" s="1712"/>
      <c r="P7" s="1713"/>
      <c r="Q7" s="1714"/>
      <c r="R7" s="1715"/>
      <c r="S7" s="1716"/>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09"/>
      <c r="B8" s="1110"/>
      <c r="C8" s="1116">
        <v>100</v>
      </c>
      <c r="D8" s="1113">
        <f>C8-$T7</f>
        <v>100</v>
      </c>
      <c r="E8" s="1113">
        <f t="shared" ref="E8:S8" si="3">D8-$T7</f>
        <v>100</v>
      </c>
      <c r="F8" s="1708">
        <f t="shared" si="3"/>
        <v>100</v>
      </c>
      <c r="G8" s="1708">
        <f t="shared" si="3"/>
        <v>100</v>
      </c>
      <c r="H8" s="1708">
        <f t="shared" si="3"/>
        <v>100</v>
      </c>
      <c r="I8" s="1708">
        <f t="shared" si="3"/>
        <v>100</v>
      </c>
      <c r="J8" s="1708">
        <f t="shared" si="3"/>
        <v>100</v>
      </c>
      <c r="K8" s="1708">
        <f t="shared" si="3"/>
        <v>100</v>
      </c>
      <c r="L8" s="1708">
        <f t="shared" si="3"/>
        <v>100</v>
      </c>
      <c r="M8" s="1708">
        <f t="shared" si="3"/>
        <v>100</v>
      </c>
      <c r="N8" s="1708">
        <f t="shared" si="3"/>
        <v>100</v>
      </c>
      <c r="O8" s="1708">
        <f t="shared" si="3"/>
        <v>100</v>
      </c>
      <c r="P8" s="1708">
        <f t="shared" si="3"/>
        <v>100</v>
      </c>
      <c r="Q8" s="1708">
        <f t="shared" si="3"/>
        <v>100</v>
      </c>
      <c r="R8" s="1708">
        <f t="shared" si="3"/>
        <v>100</v>
      </c>
      <c r="S8" s="1708">
        <f t="shared" si="3"/>
        <v>100</v>
      </c>
      <c r="T8" s="1112"/>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09"/>
      <c r="B9" s="1763" t="s">
        <v>3000</v>
      </c>
      <c r="C9" s="1115"/>
      <c r="D9" s="1109"/>
      <c r="E9" s="1109"/>
      <c r="F9" s="1709"/>
      <c r="G9" s="1709"/>
      <c r="H9" s="1709"/>
      <c r="I9" s="1709"/>
      <c r="J9" s="1709"/>
      <c r="K9" s="1709"/>
      <c r="L9" s="1717"/>
      <c r="M9" s="1710"/>
      <c r="N9" s="1711"/>
      <c r="O9" s="1712"/>
      <c r="P9" s="1713"/>
      <c r="Q9" s="1714"/>
      <c r="R9" s="1715"/>
      <c r="S9" s="1716"/>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09"/>
      <c r="B10" s="1203"/>
      <c r="C10" s="1214">
        <v>100</v>
      </c>
      <c r="D10" s="1215">
        <f>C10-$T9</f>
        <v>100</v>
      </c>
      <c r="E10" s="1215">
        <f t="shared" ref="E10:S10" si="4">D10-$T9</f>
        <v>100</v>
      </c>
      <c r="F10" s="1718">
        <f t="shared" si="4"/>
        <v>100</v>
      </c>
      <c r="G10" s="1718">
        <f t="shared" si="4"/>
        <v>100</v>
      </c>
      <c r="H10" s="1718">
        <f t="shared" si="4"/>
        <v>100</v>
      </c>
      <c r="I10" s="1718">
        <f t="shared" si="4"/>
        <v>100</v>
      </c>
      <c r="J10" s="1718">
        <f t="shared" si="4"/>
        <v>100</v>
      </c>
      <c r="K10" s="1718">
        <f t="shared" si="4"/>
        <v>100</v>
      </c>
      <c r="L10" s="1718">
        <f t="shared" si="4"/>
        <v>100</v>
      </c>
      <c r="M10" s="1718">
        <f t="shared" si="4"/>
        <v>100</v>
      </c>
      <c r="N10" s="1718">
        <f t="shared" si="4"/>
        <v>100</v>
      </c>
      <c r="O10" s="1718">
        <f t="shared" si="4"/>
        <v>100</v>
      </c>
      <c r="P10" s="1718">
        <f t="shared" si="4"/>
        <v>100</v>
      </c>
      <c r="Q10" s="1718">
        <f t="shared" si="4"/>
        <v>100</v>
      </c>
      <c r="R10" s="1718">
        <f t="shared" si="4"/>
        <v>100</v>
      </c>
      <c r="S10" s="1718">
        <f t="shared" si="4"/>
        <v>100</v>
      </c>
      <c r="T10" s="1208"/>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09"/>
      <c r="B11" s="1762" t="s">
        <v>3001</v>
      </c>
      <c r="C11" s="1210"/>
      <c r="D11" s="1211"/>
      <c r="E11" s="1211"/>
      <c r="F11" s="1211"/>
      <c r="G11" s="1211"/>
      <c r="H11" s="1211"/>
      <c r="I11" s="1211"/>
      <c r="J11" s="1211"/>
      <c r="K11" s="1211"/>
      <c r="L11" s="1211"/>
      <c r="M11" s="1212"/>
      <c r="N11" s="1216"/>
      <c r="O11" s="1217"/>
      <c r="P11" s="1218"/>
      <c r="Q11" s="1219"/>
      <c r="R11" s="1220"/>
      <c r="S11" s="1221"/>
      <c r="T11" s="1213"/>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09"/>
      <c r="B12" s="1110"/>
      <c r="C12" s="1116">
        <v>100</v>
      </c>
      <c r="D12" s="1113">
        <f>C12-$T11</f>
        <v>100</v>
      </c>
      <c r="E12" s="1113">
        <f t="shared" ref="E12:S12" si="5">D12-$T11</f>
        <v>100</v>
      </c>
      <c r="F12" s="1113">
        <f t="shared" si="5"/>
        <v>100</v>
      </c>
      <c r="G12" s="1113">
        <f t="shared" si="5"/>
        <v>100</v>
      </c>
      <c r="H12" s="1113">
        <f t="shared" si="5"/>
        <v>100</v>
      </c>
      <c r="I12" s="1113">
        <f t="shared" si="5"/>
        <v>100</v>
      </c>
      <c r="J12" s="1113">
        <f t="shared" si="5"/>
        <v>100</v>
      </c>
      <c r="K12" s="1113">
        <f t="shared" si="5"/>
        <v>100</v>
      </c>
      <c r="L12" s="1113">
        <f t="shared" si="5"/>
        <v>100</v>
      </c>
      <c r="M12" s="1113">
        <f t="shared" si="5"/>
        <v>100</v>
      </c>
      <c r="N12" s="1113">
        <f t="shared" si="5"/>
        <v>100</v>
      </c>
      <c r="O12" s="1113">
        <f t="shared" si="5"/>
        <v>100</v>
      </c>
      <c r="P12" s="1113">
        <f t="shared" si="5"/>
        <v>100</v>
      </c>
      <c r="Q12" s="1113">
        <f t="shared" si="5"/>
        <v>100</v>
      </c>
      <c r="R12" s="1113">
        <f>Q12-$T11</f>
        <v>100</v>
      </c>
      <c r="S12" s="1113">
        <f t="shared" si="5"/>
        <v>100</v>
      </c>
      <c r="T12" s="1112"/>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09"/>
      <c r="B13" s="1762" t="s">
        <v>3002</v>
      </c>
      <c r="C13" s="1210"/>
      <c r="D13" s="1211"/>
      <c r="E13" s="1211"/>
      <c r="F13" s="1211"/>
      <c r="G13" s="1211"/>
      <c r="H13" s="1211"/>
      <c r="I13" s="1211"/>
      <c r="J13" s="1211"/>
      <c r="K13" s="1211"/>
      <c r="L13" s="1211"/>
      <c r="M13" s="1212"/>
      <c r="N13" s="1216"/>
      <c r="O13" s="1217"/>
      <c r="P13" s="1218"/>
      <c r="Q13" s="1219"/>
      <c r="R13" s="1220"/>
      <c r="S13" s="1221"/>
      <c r="T13" s="1222"/>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09"/>
      <c r="B15" s="1762" t="s">
        <v>3003</v>
      </c>
      <c r="C15" s="1210"/>
      <c r="D15" s="1211"/>
      <c r="E15" s="1211"/>
      <c r="F15" s="1211"/>
      <c r="G15" s="1211"/>
      <c r="H15" s="1211"/>
      <c r="I15" s="1211"/>
      <c r="J15" s="1211"/>
      <c r="K15" s="1211"/>
      <c r="L15" s="1211"/>
      <c r="M15" s="1212"/>
      <c r="N15" s="1216"/>
      <c r="O15" s="1217"/>
      <c r="P15" s="1218"/>
      <c r="Q15" s="1219"/>
      <c r="R15" s="1220"/>
      <c r="S15" s="1221"/>
      <c r="T15" s="1222"/>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4" customFormat="1">
      <c r="A17" s="2898" t="s">
        <v>3004</v>
      </c>
      <c r="B17" s="2899" t="s">
        <v>3005</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2"/>
      <c r="AS17" s="792"/>
    </row>
    <row r="18" spans="1:45" s="704"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2"/>
      <c r="AS18" s="792"/>
    </row>
    <row r="19" spans="1:45">
      <c r="A19" s="135"/>
      <c r="B19" s="165"/>
      <c r="C19" s="165"/>
      <c r="D19" s="2900" t="s">
        <v>3006</v>
      </c>
      <c r="E19" s="1785"/>
      <c r="F19" s="1785"/>
      <c r="G19" s="1785"/>
      <c r="H19" s="1274"/>
      <c r="I19" s="165"/>
      <c r="J19" s="165"/>
      <c r="K19" s="165"/>
      <c r="L19" s="165"/>
      <c r="M19" s="165"/>
      <c r="N19" s="165"/>
      <c r="O19" s="165"/>
      <c r="P19" s="165"/>
      <c r="Q19" s="165"/>
      <c r="R19" s="784"/>
      <c r="S19" s="135"/>
    </row>
    <row r="20" spans="1:45" ht="16.5" thickBot="1">
      <c r="A20" s="712" t="s">
        <v>3007</v>
      </c>
      <c r="B20" s="335" t="e">
        <f ca="1">IF(D20="——",S22,S22-F20)</f>
        <v>#REF!</v>
      </c>
      <c r="C20" s="165"/>
      <c r="D20" s="2901" t="s">
        <v>3008</v>
      </c>
      <c r="E20" s="1786"/>
      <c r="F20" s="1198" t="e">
        <f ca="1">SUMIF(INDIRECT("'"&amp;H20&amp;"'"&amp;"!A:A"),"承租人权益价值",INDIRECT("'"&amp;H20&amp;"'"&amp;"!c:c"))</f>
        <v>#REF!</v>
      </c>
      <c r="G20" s="1198" t="s">
        <v>3009</v>
      </c>
      <c r="H20" s="2902"/>
      <c r="I20" s="165"/>
      <c r="J20" s="165"/>
      <c r="K20" s="165"/>
      <c r="L20" s="165"/>
      <c r="M20" s="165"/>
      <c r="N20" s="165"/>
      <c r="O20" s="165"/>
      <c r="P20" s="165"/>
      <c r="Q20" s="165"/>
      <c r="R20" s="784"/>
      <c r="S20" s="135"/>
    </row>
    <row r="21" spans="1:45" ht="15.75">
      <c r="A21" s="712" t="s">
        <v>3010</v>
      </c>
      <c r="B21" s="335">
        <f>R22</f>
        <v>10000</v>
      </c>
      <c r="C21" s="165"/>
      <c r="D21" s="165"/>
      <c r="E21" s="165"/>
      <c r="F21" s="165"/>
      <c r="G21" s="165"/>
      <c r="H21" s="165"/>
      <c r="I21" s="165"/>
      <c r="J21" s="165"/>
      <c r="K21" s="165"/>
      <c r="L21" s="165"/>
      <c r="M21" s="165"/>
      <c r="N21" s="165"/>
      <c r="O21" s="165"/>
      <c r="P21" s="165"/>
      <c r="Q21" s="165"/>
      <c r="R21" s="784"/>
      <c r="S21" s="135"/>
    </row>
    <row r="22" spans="1:45">
      <c r="A22" s="358" t="s">
        <v>3011</v>
      </c>
      <c r="B22" s="24">
        <f>SUM(B24:B10000)</f>
        <v>100</v>
      </c>
      <c r="C22" s="3252" t="s">
        <v>33</v>
      </c>
      <c r="D22" s="3253"/>
      <c r="E22" s="3253"/>
      <c r="F22" s="3253"/>
      <c r="G22" s="3253"/>
      <c r="H22" s="3253"/>
      <c r="I22" s="3253"/>
      <c r="J22" s="3253"/>
      <c r="K22" s="3253"/>
      <c r="L22" s="3253"/>
      <c r="M22" s="3253"/>
      <c r="N22" s="3253"/>
      <c r="O22" s="3253"/>
      <c r="P22" s="3253"/>
      <c r="Q22" s="3394"/>
      <c r="R22" s="713">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4" t="s">
        <v>3015</v>
      </c>
      <c r="S23" s="11" t="s">
        <v>3016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9" customFormat="1">
      <c r="A24" s="715" t="s">
        <v>3017</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6">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6"/>
        <v>0</v>
      </c>
    </row>
    <row r="26" spans="1:45">
      <c r="A26" s="156"/>
      <c r="B26" s="59"/>
      <c r="C26" s="24">
        <f t="shared" ref="C26:C89" si="7">IF(B26="",1,(LOOKUP(B26,$3:$3,$4:$4)-LOOKUP($B$24,$3:$3,$4:$4)+100)/100)</f>
        <v>1</v>
      </c>
      <c r="D26" s="717"/>
      <c r="E26" s="24">
        <f t="shared" ref="E26:E89" si="8">(SUMIF($5:$5,D26,$6:$6)-SUMIF($5:$5,$D$24,$6:$6)+100)/100</f>
        <v>1</v>
      </c>
      <c r="F26" s="717"/>
      <c r="G26" s="24">
        <f t="shared" ref="G26:G89" si="9">(SUMIF($7:$7,F26,$8:$8)-SUMIF($7:$7,$F$24,$8:$8)+100)/100</f>
        <v>1</v>
      </c>
      <c r="H26" s="717"/>
      <c r="I26" s="24">
        <f t="shared" ref="I26:I89" si="10">(SUMIF($9:$9,H26,$10:$10)-SUMIF($9:$9,$H$24,$10:$10)+100)/100</f>
        <v>1</v>
      </c>
      <c r="J26" s="717"/>
      <c r="K26" s="24">
        <f t="shared" ref="K26:K89" si="11">(SUMIF($11:$11,J26,$12:$12)-SUMIF($11:$11,$J$24,$12:$12)+100)/100</f>
        <v>1</v>
      </c>
      <c r="L26" s="717"/>
      <c r="M26" s="24">
        <f t="shared" ref="M26:M89" si="12">(SUMIF($13:$13,L26,$14:$14)-SUMIF($13:$13,$L$24,$14:$14)+100)/100</f>
        <v>1</v>
      </c>
      <c r="N26" s="717"/>
      <c r="O26" s="24">
        <f t="shared" ref="O26:O89" si="13">(SUMIF($15:$15,N26,$16:$16)-SUMIF($15:$15,$N$24,$16:$16)+100)/100</f>
        <v>1</v>
      </c>
      <c r="P26" s="717"/>
      <c r="Q26" s="24">
        <f t="shared" ref="Q26:Q89" si="14">(SUMIF($17:$17,P26,$18:$18)-SUMIF($17:$17,$P$24,$18:$18)+100)/100</f>
        <v>1</v>
      </c>
      <c r="R26" s="713">
        <f t="shared" ref="R26:R89" si="15">IF(B26="",0,ROUND($R$24*C26*E26*G26*I26*K26*M26*O26*Q26,0))</f>
        <v>0</v>
      </c>
      <c r="S26" s="358">
        <f t="shared" si="6"/>
        <v>0</v>
      </c>
    </row>
    <row r="27" spans="1:45">
      <c r="A27" s="156"/>
      <c r="B27" s="59"/>
      <c r="C27" s="24">
        <f t="shared" si="7"/>
        <v>1</v>
      </c>
      <c r="D27" s="717"/>
      <c r="E27" s="24">
        <f t="shared" si="8"/>
        <v>1</v>
      </c>
      <c r="F27" s="717"/>
      <c r="G27" s="24">
        <f t="shared" si="9"/>
        <v>1</v>
      </c>
      <c r="H27" s="717"/>
      <c r="I27" s="24">
        <f t="shared" si="10"/>
        <v>1</v>
      </c>
      <c r="J27" s="717"/>
      <c r="K27" s="24">
        <f t="shared" si="11"/>
        <v>1</v>
      </c>
      <c r="L27" s="717"/>
      <c r="M27" s="24">
        <f t="shared" si="12"/>
        <v>1</v>
      </c>
      <c r="N27" s="717"/>
      <c r="O27" s="24">
        <f t="shared" si="13"/>
        <v>1</v>
      </c>
      <c r="P27" s="717"/>
      <c r="Q27" s="24">
        <f t="shared" si="14"/>
        <v>1</v>
      </c>
      <c r="R27" s="713">
        <f t="shared" si="15"/>
        <v>0</v>
      </c>
      <c r="S27" s="358">
        <f t="shared" si="6"/>
        <v>0</v>
      </c>
    </row>
    <row r="28" spans="1:45">
      <c r="A28" s="156"/>
      <c r="B28" s="59"/>
      <c r="C28" s="24">
        <f t="shared" si="7"/>
        <v>1</v>
      </c>
      <c r="D28" s="717"/>
      <c r="E28" s="24">
        <f t="shared" si="8"/>
        <v>1</v>
      </c>
      <c r="F28" s="717"/>
      <c r="G28" s="24">
        <f t="shared" si="9"/>
        <v>1</v>
      </c>
      <c r="H28" s="717"/>
      <c r="I28" s="24">
        <f t="shared" si="10"/>
        <v>1</v>
      </c>
      <c r="J28" s="717"/>
      <c r="K28" s="24">
        <f t="shared" si="11"/>
        <v>1</v>
      </c>
      <c r="L28" s="717"/>
      <c r="M28" s="24">
        <f t="shared" si="12"/>
        <v>1</v>
      </c>
      <c r="N28" s="717"/>
      <c r="O28" s="24">
        <f t="shared" si="13"/>
        <v>1</v>
      </c>
      <c r="P28" s="717"/>
      <c r="Q28" s="24">
        <f t="shared" si="14"/>
        <v>1</v>
      </c>
      <c r="R28" s="713">
        <f t="shared" si="15"/>
        <v>0</v>
      </c>
      <c r="S28" s="358">
        <f t="shared" si="6"/>
        <v>0</v>
      </c>
    </row>
    <row r="29" spans="1:45">
      <c r="A29" s="156"/>
      <c r="B29" s="59"/>
      <c r="C29" s="24">
        <f t="shared" si="7"/>
        <v>1</v>
      </c>
      <c r="D29" s="717"/>
      <c r="E29" s="24">
        <f t="shared" si="8"/>
        <v>1</v>
      </c>
      <c r="F29" s="717"/>
      <c r="G29" s="24">
        <f t="shared" si="9"/>
        <v>1</v>
      </c>
      <c r="H29" s="717"/>
      <c r="I29" s="24">
        <f t="shared" si="10"/>
        <v>1</v>
      </c>
      <c r="J29" s="717"/>
      <c r="K29" s="24">
        <f t="shared" si="11"/>
        <v>1</v>
      </c>
      <c r="L29" s="717"/>
      <c r="M29" s="24">
        <f t="shared" si="12"/>
        <v>1</v>
      </c>
      <c r="N29" s="717"/>
      <c r="O29" s="24">
        <f t="shared" si="13"/>
        <v>1</v>
      </c>
      <c r="P29" s="717"/>
      <c r="Q29" s="24">
        <f t="shared" si="14"/>
        <v>1</v>
      </c>
      <c r="R29" s="713">
        <f t="shared" si="15"/>
        <v>0</v>
      </c>
      <c r="S29" s="358">
        <f t="shared" si="6"/>
        <v>0</v>
      </c>
    </row>
    <row r="30" spans="1:45">
      <c r="A30" s="156"/>
      <c r="B30" s="59"/>
      <c r="C30" s="24">
        <f t="shared" si="7"/>
        <v>1</v>
      </c>
      <c r="D30" s="717"/>
      <c r="E30" s="24">
        <f t="shared" si="8"/>
        <v>1</v>
      </c>
      <c r="F30" s="717"/>
      <c r="G30" s="24">
        <f t="shared" si="9"/>
        <v>1</v>
      </c>
      <c r="H30" s="717"/>
      <c r="I30" s="24">
        <f t="shared" si="10"/>
        <v>1</v>
      </c>
      <c r="J30" s="717"/>
      <c r="K30" s="24">
        <f t="shared" si="11"/>
        <v>1</v>
      </c>
      <c r="L30" s="717"/>
      <c r="M30" s="24">
        <f t="shared" si="12"/>
        <v>1</v>
      </c>
      <c r="N30" s="717"/>
      <c r="O30" s="24">
        <f t="shared" si="13"/>
        <v>1</v>
      </c>
      <c r="P30" s="717"/>
      <c r="Q30" s="24">
        <f t="shared" si="14"/>
        <v>1</v>
      </c>
      <c r="R30" s="713">
        <f t="shared" si="15"/>
        <v>0</v>
      </c>
      <c r="S30" s="358">
        <f t="shared" si="6"/>
        <v>0</v>
      </c>
    </row>
    <row r="31" spans="1:45">
      <c r="A31" s="156"/>
      <c r="B31" s="59"/>
      <c r="C31" s="24">
        <f t="shared" si="7"/>
        <v>1</v>
      </c>
      <c r="D31" s="717"/>
      <c r="E31" s="24">
        <f t="shared" si="8"/>
        <v>1</v>
      </c>
      <c r="F31" s="717"/>
      <c r="G31" s="24">
        <f t="shared" si="9"/>
        <v>1</v>
      </c>
      <c r="H31" s="717"/>
      <c r="I31" s="24">
        <f t="shared" si="10"/>
        <v>1</v>
      </c>
      <c r="J31" s="717"/>
      <c r="K31" s="24">
        <f t="shared" si="11"/>
        <v>1</v>
      </c>
      <c r="L31" s="717"/>
      <c r="M31" s="24">
        <f t="shared" si="12"/>
        <v>1</v>
      </c>
      <c r="N31" s="717"/>
      <c r="O31" s="24">
        <f t="shared" si="13"/>
        <v>1</v>
      </c>
      <c r="P31" s="717"/>
      <c r="Q31" s="24">
        <f t="shared" si="14"/>
        <v>1</v>
      </c>
      <c r="R31" s="713">
        <f t="shared" si="15"/>
        <v>0</v>
      </c>
      <c r="S31" s="358">
        <f t="shared" si="6"/>
        <v>0</v>
      </c>
    </row>
    <row r="32" spans="1:45">
      <c r="A32" s="156"/>
      <c r="B32" s="59"/>
      <c r="C32" s="24">
        <f t="shared" si="7"/>
        <v>1</v>
      </c>
      <c r="D32" s="717"/>
      <c r="E32" s="24">
        <f t="shared" si="8"/>
        <v>1</v>
      </c>
      <c r="F32" s="717"/>
      <c r="G32" s="24">
        <f t="shared" si="9"/>
        <v>1</v>
      </c>
      <c r="H32" s="717"/>
      <c r="I32" s="24">
        <f t="shared" si="10"/>
        <v>1</v>
      </c>
      <c r="J32" s="717"/>
      <c r="K32" s="24">
        <f t="shared" si="11"/>
        <v>1</v>
      </c>
      <c r="L32" s="717"/>
      <c r="M32" s="24">
        <f t="shared" si="12"/>
        <v>1</v>
      </c>
      <c r="N32" s="717"/>
      <c r="O32" s="24">
        <f t="shared" si="13"/>
        <v>1</v>
      </c>
      <c r="P32" s="717"/>
      <c r="Q32" s="24">
        <f t="shared" si="14"/>
        <v>1</v>
      </c>
      <c r="R32" s="713">
        <f t="shared" si="15"/>
        <v>0</v>
      </c>
      <c r="S32" s="358">
        <f t="shared" si="6"/>
        <v>0</v>
      </c>
    </row>
    <row r="33" spans="1:19">
      <c r="A33" s="156"/>
      <c r="B33" s="59"/>
      <c r="C33" s="24">
        <f t="shared" si="7"/>
        <v>1</v>
      </c>
      <c r="D33" s="717"/>
      <c r="E33" s="24">
        <f t="shared" si="8"/>
        <v>1</v>
      </c>
      <c r="F33" s="717"/>
      <c r="G33" s="24">
        <f t="shared" si="9"/>
        <v>1</v>
      </c>
      <c r="H33" s="717"/>
      <c r="I33" s="24">
        <f t="shared" si="10"/>
        <v>1</v>
      </c>
      <c r="J33" s="717"/>
      <c r="K33" s="24">
        <f t="shared" si="11"/>
        <v>1</v>
      </c>
      <c r="L33" s="717"/>
      <c r="M33" s="24">
        <f t="shared" si="12"/>
        <v>1</v>
      </c>
      <c r="N33" s="717"/>
      <c r="O33" s="24">
        <f t="shared" si="13"/>
        <v>1</v>
      </c>
      <c r="P33" s="717"/>
      <c r="Q33" s="24">
        <f t="shared" si="14"/>
        <v>1</v>
      </c>
      <c r="R33" s="713">
        <f t="shared" si="15"/>
        <v>0</v>
      </c>
      <c r="S33" s="358">
        <f t="shared" si="6"/>
        <v>0</v>
      </c>
    </row>
    <row r="34" spans="1:19">
      <c r="A34" s="156"/>
      <c r="B34" s="59"/>
      <c r="C34" s="24">
        <f t="shared" si="7"/>
        <v>1</v>
      </c>
      <c r="D34" s="717"/>
      <c r="E34" s="24">
        <f t="shared" si="8"/>
        <v>1</v>
      </c>
      <c r="F34" s="717"/>
      <c r="G34" s="24">
        <f t="shared" si="9"/>
        <v>1</v>
      </c>
      <c r="H34" s="717"/>
      <c r="I34" s="24">
        <f t="shared" si="10"/>
        <v>1</v>
      </c>
      <c r="J34" s="717"/>
      <c r="K34" s="24">
        <f t="shared" si="11"/>
        <v>1</v>
      </c>
      <c r="L34" s="717"/>
      <c r="M34" s="24">
        <f t="shared" si="12"/>
        <v>1</v>
      </c>
      <c r="N34" s="717"/>
      <c r="O34" s="24">
        <f t="shared" si="13"/>
        <v>1</v>
      </c>
      <c r="P34" s="717"/>
      <c r="Q34" s="24">
        <f t="shared" si="14"/>
        <v>1</v>
      </c>
      <c r="R34" s="713">
        <f t="shared" si="15"/>
        <v>0</v>
      </c>
      <c r="S34" s="358">
        <f t="shared" si="6"/>
        <v>0</v>
      </c>
    </row>
    <row r="35" spans="1:19">
      <c r="A35" s="156"/>
      <c r="B35" s="59"/>
      <c r="C35" s="24">
        <f t="shared" si="7"/>
        <v>1</v>
      </c>
      <c r="D35" s="717"/>
      <c r="E35" s="24">
        <f t="shared" si="8"/>
        <v>1</v>
      </c>
      <c r="F35" s="717"/>
      <c r="G35" s="24">
        <f t="shared" si="9"/>
        <v>1</v>
      </c>
      <c r="H35" s="717"/>
      <c r="I35" s="24">
        <f t="shared" si="10"/>
        <v>1</v>
      </c>
      <c r="J35" s="717"/>
      <c r="K35" s="24">
        <f t="shared" si="11"/>
        <v>1</v>
      </c>
      <c r="L35" s="717"/>
      <c r="M35" s="24">
        <f t="shared" si="12"/>
        <v>1</v>
      </c>
      <c r="N35" s="717"/>
      <c r="O35" s="24">
        <f t="shared" si="13"/>
        <v>1</v>
      </c>
      <c r="P35" s="717"/>
      <c r="Q35" s="24">
        <f t="shared" si="14"/>
        <v>1</v>
      </c>
      <c r="R35" s="713">
        <f t="shared" si="15"/>
        <v>0</v>
      </c>
      <c r="S35" s="358">
        <f t="shared" si="6"/>
        <v>0</v>
      </c>
    </row>
    <row r="36" spans="1:19">
      <c r="A36" s="156"/>
      <c r="B36" s="59"/>
      <c r="C36" s="24">
        <f t="shared" si="7"/>
        <v>1</v>
      </c>
      <c r="D36" s="717"/>
      <c r="E36" s="24">
        <f t="shared" si="8"/>
        <v>1</v>
      </c>
      <c r="F36" s="717"/>
      <c r="G36" s="24">
        <f t="shared" si="9"/>
        <v>1</v>
      </c>
      <c r="H36" s="717"/>
      <c r="I36" s="24">
        <f t="shared" si="10"/>
        <v>1</v>
      </c>
      <c r="J36" s="717"/>
      <c r="K36" s="24">
        <f t="shared" si="11"/>
        <v>1</v>
      </c>
      <c r="L36" s="717"/>
      <c r="M36" s="24">
        <f t="shared" si="12"/>
        <v>1</v>
      </c>
      <c r="N36" s="717"/>
      <c r="O36" s="24">
        <f t="shared" si="13"/>
        <v>1</v>
      </c>
      <c r="P36" s="717"/>
      <c r="Q36" s="24">
        <f t="shared" si="14"/>
        <v>1</v>
      </c>
      <c r="R36" s="713">
        <f t="shared" si="15"/>
        <v>0</v>
      </c>
      <c r="S36" s="358">
        <f t="shared" si="6"/>
        <v>0</v>
      </c>
    </row>
    <row r="37" spans="1:19">
      <c r="A37" s="156"/>
      <c r="B37" s="59"/>
      <c r="C37" s="24">
        <f t="shared" si="7"/>
        <v>1</v>
      </c>
      <c r="D37" s="717"/>
      <c r="E37" s="24">
        <f t="shared" si="8"/>
        <v>1</v>
      </c>
      <c r="F37" s="717"/>
      <c r="G37" s="24">
        <f t="shared" si="9"/>
        <v>1</v>
      </c>
      <c r="H37" s="717"/>
      <c r="I37" s="24">
        <f t="shared" si="10"/>
        <v>1</v>
      </c>
      <c r="J37" s="717"/>
      <c r="K37" s="24">
        <f t="shared" si="11"/>
        <v>1</v>
      </c>
      <c r="L37" s="717"/>
      <c r="M37" s="24">
        <f t="shared" si="12"/>
        <v>1</v>
      </c>
      <c r="N37" s="717"/>
      <c r="O37" s="24">
        <f t="shared" si="13"/>
        <v>1</v>
      </c>
      <c r="P37" s="717"/>
      <c r="Q37" s="24">
        <f t="shared" si="14"/>
        <v>1</v>
      </c>
      <c r="R37" s="713">
        <f t="shared" si="15"/>
        <v>0</v>
      </c>
      <c r="S37" s="358">
        <f t="shared" si="6"/>
        <v>0</v>
      </c>
    </row>
    <row r="38" spans="1:19">
      <c r="A38" s="156"/>
      <c r="B38" s="59"/>
      <c r="C38" s="24">
        <f t="shared" si="7"/>
        <v>1</v>
      </c>
      <c r="D38" s="717"/>
      <c r="E38" s="24">
        <f t="shared" si="8"/>
        <v>1</v>
      </c>
      <c r="F38" s="717"/>
      <c r="G38" s="24">
        <f t="shared" si="9"/>
        <v>1</v>
      </c>
      <c r="H38" s="717"/>
      <c r="I38" s="24">
        <f t="shared" si="10"/>
        <v>1</v>
      </c>
      <c r="J38" s="717"/>
      <c r="K38" s="24">
        <f t="shared" si="11"/>
        <v>1</v>
      </c>
      <c r="L38" s="717"/>
      <c r="M38" s="24">
        <f t="shared" si="12"/>
        <v>1</v>
      </c>
      <c r="N38" s="717"/>
      <c r="O38" s="24">
        <f t="shared" si="13"/>
        <v>1</v>
      </c>
      <c r="P38" s="717"/>
      <c r="Q38" s="24">
        <f t="shared" si="14"/>
        <v>1</v>
      </c>
      <c r="R38" s="713">
        <f t="shared" si="15"/>
        <v>0</v>
      </c>
      <c r="S38" s="358">
        <f t="shared" si="6"/>
        <v>0</v>
      </c>
    </row>
    <row r="39" spans="1:19">
      <c r="A39" s="156"/>
      <c r="B39" s="59"/>
      <c r="C39" s="24">
        <f t="shared" si="7"/>
        <v>1</v>
      </c>
      <c r="D39" s="717"/>
      <c r="E39" s="24">
        <f t="shared" si="8"/>
        <v>1</v>
      </c>
      <c r="F39" s="717"/>
      <c r="G39" s="24">
        <f t="shared" si="9"/>
        <v>1</v>
      </c>
      <c r="H39" s="717"/>
      <c r="I39" s="24">
        <f t="shared" si="10"/>
        <v>1</v>
      </c>
      <c r="J39" s="717"/>
      <c r="K39" s="24">
        <f t="shared" si="11"/>
        <v>1</v>
      </c>
      <c r="L39" s="717"/>
      <c r="M39" s="24">
        <f t="shared" si="12"/>
        <v>1</v>
      </c>
      <c r="N39" s="717"/>
      <c r="O39" s="24">
        <f t="shared" si="13"/>
        <v>1</v>
      </c>
      <c r="P39" s="717"/>
      <c r="Q39" s="24">
        <f t="shared" si="14"/>
        <v>1</v>
      </c>
      <c r="R39" s="713">
        <f t="shared" si="15"/>
        <v>0</v>
      </c>
      <c r="S39" s="358">
        <f t="shared" si="6"/>
        <v>0</v>
      </c>
    </row>
    <row r="40" spans="1:19">
      <c r="A40" s="156"/>
      <c r="B40" s="59"/>
      <c r="C40" s="24">
        <f t="shared" si="7"/>
        <v>1</v>
      </c>
      <c r="D40" s="717"/>
      <c r="E40" s="24">
        <f t="shared" si="8"/>
        <v>1</v>
      </c>
      <c r="F40" s="717"/>
      <c r="G40" s="24">
        <f t="shared" si="9"/>
        <v>1</v>
      </c>
      <c r="H40" s="717"/>
      <c r="I40" s="24">
        <f t="shared" si="10"/>
        <v>1</v>
      </c>
      <c r="J40" s="717"/>
      <c r="K40" s="24">
        <f t="shared" si="11"/>
        <v>1</v>
      </c>
      <c r="L40" s="717"/>
      <c r="M40" s="24">
        <f t="shared" si="12"/>
        <v>1</v>
      </c>
      <c r="N40" s="717"/>
      <c r="O40" s="24">
        <f t="shared" si="13"/>
        <v>1</v>
      </c>
      <c r="P40" s="717"/>
      <c r="Q40" s="24">
        <f t="shared" si="14"/>
        <v>1</v>
      </c>
      <c r="R40" s="713">
        <f t="shared" si="15"/>
        <v>0</v>
      </c>
      <c r="S40" s="358">
        <f t="shared" si="6"/>
        <v>0</v>
      </c>
    </row>
    <row r="41" spans="1:19">
      <c r="A41" s="156"/>
      <c r="B41" s="59"/>
      <c r="C41" s="24">
        <f t="shared" si="7"/>
        <v>1</v>
      </c>
      <c r="D41" s="717"/>
      <c r="E41" s="24">
        <f t="shared" si="8"/>
        <v>1</v>
      </c>
      <c r="F41" s="717"/>
      <c r="G41" s="24">
        <f t="shared" si="9"/>
        <v>1</v>
      </c>
      <c r="H41" s="717"/>
      <c r="I41" s="24">
        <f t="shared" si="10"/>
        <v>1</v>
      </c>
      <c r="J41" s="717"/>
      <c r="K41" s="24">
        <f t="shared" si="11"/>
        <v>1</v>
      </c>
      <c r="L41" s="717"/>
      <c r="M41" s="24">
        <f t="shared" si="12"/>
        <v>1</v>
      </c>
      <c r="N41" s="717"/>
      <c r="O41" s="24">
        <f t="shared" si="13"/>
        <v>1</v>
      </c>
      <c r="P41" s="717"/>
      <c r="Q41" s="24">
        <f t="shared" si="14"/>
        <v>1</v>
      </c>
      <c r="R41" s="713">
        <f t="shared" si="15"/>
        <v>0</v>
      </c>
      <c r="S41" s="358">
        <f t="shared" si="6"/>
        <v>0</v>
      </c>
    </row>
    <row r="42" spans="1:19">
      <c r="A42" s="156"/>
      <c r="B42" s="59"/>
      <c r="C42" s="24">
        <f t="shared" si="7"/>
        <v>1</v>
      </c>
      <c r="D42" s="717"/>
      <c r="E42" s="24">
        <f t="shared" si="8"/>
        <v>1</v>
      </c>
      <c r="F42" s="717"/>
      <c r="G42" s="24">
        <f t="shared" si="9"/>
        <v>1</v>
      </c>
      <c r="H42" s="717"/>
      <c r="I42" s="24">
        <f t="shared" si="10"/>
        <v>1</v>
      </c>
      <c r="J42" s="717"/>
      <c r="K42" s="24">
        <f t="shared" si="11"/>
        <v>1</v>
      </c>
      <c r="L42" s="717"/>
      <c r="M42" s="24">
        <f t="shared" si="12"/>
        <v>1</v>
      </c>
      <c r="N42" s="717"/>
      <c r="O42" s="24">
        <f t="shared" si="13"/>
        <v>1</v>
      </c>
      <c r="P42" s="717"/>
      <c r="Q42" s="24">
        <f t="shared" si="14"/>
        <v>1</v>
      </c>
      <c r="R42" s="713">
        <f t="shared" si="15"/>
        <v>0</v>
      </c>
      <c r="S42" s="358">
        <f t="shared" si="6"/>
        <v>0</v>
      </c>
    </row>
    <row r="43" spans="1:19">
      <c r="A43" s="156"/>
      <c r="B43" s="59"/>
      <c r="C43" s="24">
        <f t="shared" si="7"/>
        <v>1</v>
      </c>
      <c r="D43" s="717"/>
      <c r="E43" s="24">
        <f t="shared" si="8"/>
        <v>1</v>
      </c>
      <c r="F43" s="717"/>
      <c r="G43" s="24">
        <f t="shared" si="9"/>
        <v>1</v>
      </c>
      <c r="H43" s="717"/>
      <c r="I43" s="24">
        <f t="shared" si="10"/>
        <v>1</v>
      </c>
      <c r="J43" s="717"/>
      <c r="K43" s="24">
        <f t="shared" si="11"/>
        <v>1</v>
      </c>
      <c r="L43" s="717"/>
      <c r="M43" s="24">
        <f t="shared" si="12"/>
        <v>1</v>
      </c>
      <c r="N43" s="717"/>
      <c r="O43" s="24">
        <f t="shared" si="13"/>
        <v>1</v>
      </c>
      <c r="P43" s="717"/>
      <c r="Q43" s="24">
        <f t="shared" si="14"/>
        <v>1</v>
      </c>
      <c r="R43" s="713">
        <f t="shared" si="15"/>
        <v>0</v>
      </c>
      <c r="S43" s="358">
        <f t="shared" si="6"/>
        <v>0</v>
      </c>
    </row>
    <row r="44" spans="1:19">
      <c r="A44" s="156"/>
      <c r="B44" s="59"/>
      <c r="C44" s="24">
        <f t="shared" si="7"/>
        <v>1</v>
      </c>
      <c r="D44" s="717"/>
      <c r="E44" s="24">
        <f t="shared" si="8"/>
        <v>1</v>
      </c>
      <c r="F44" s="717"/>
      <c r="G44" s="24">
        <f t="shared" si="9"/>
        <v>1</v>
      </c>
      <c r="H44" s="717"/>
      <c r="I44" s="24">
        <f t="shared" si="10"/>
        <v>1</v>
      </c>
      <c r="J44" s="717"/>
      <c r="K44" s="24">
        <f t="shared" si="11"/>
        <v>1</v>
      </c>
      <c r="L44" s="717"/>
      <c r="M44" s="24">
        <f t="shared" si="12"/>
        <v>1</v>
      </c>
      <c r="N44" s="717"/>
      <c r="O44" s="24">
        <f t="shared" si="13"/>
        <v>1</v>
      </c>
      <c r="P44" s="717"/>
      <c r="Q44" s="24">
        <f t="shared" si="14"/>
        <v>1</v>
      </c>
      <c r="R44" s="713">
        <f t="shared" si="15"/>
        <v>0</v>
      </c>
      <c r="S44" s="358">
        <f t="shared" si="6"/>
        <v>0</v>
      </c>
    </row>
    <row r="45" spans="1:19">
      <c r="A45" s="156"/>
      <c r="B45" s="59"/>
      <c r="C45" s="24">
        <f t="shared" si="7"/>
        <v>1</v>
      </c>
      <c r="D45" s="717"/>
      <c r="E45" s="24">
        <f t="shared" si="8"/>
        <v>1</v>
      </c>
      <c r="F45" s="717"/>
      <c r="G45" s="24">
        <f t="shared" si="9"/>
        <v>1</v>
      </c>
      <c r="H45" s="717"/>
      <c r="I45" s="24">
        <f t="shared" si="10"/>
        <v>1</v>
      </c>
      <c r="J45" s="717"/>
      <c r="K45" s="24">
        <f t="shared" si="11"/>
        <v>1</v>
      </c>
      <c r="L45" s="717"/>
      <c r="M45" s="24">
        <f t="shared" si="12"/>
        <v>1</v>
      </c>
      <c r="N45" s="717"/>
      <c r="O45" s="24">
        <f t="shared" si="13"/>
        <v>1</v>
      </c>
      <c r="P45" s="717"/>
      <c r="Q45" s="24">
        <f t="shared" si="14"/>
        <v>1</v>
      </c>
      <c r="R45" s="713">
        <f t="shared" si="15"/>
        <v>0</v>
      </c>
      <c r="S45" s="358">
        <f t="shared" si="6"/>
        <v>0</v>
      </c>
    </row>
    <row r="46" spans="1:19">
      <c r="A46" s="156"/>
      <c r="B46" s="59"/>
      <c r="C46" s="24">
        <f t="shared" si="7"/>
        <v>1</v>
      </c>
      <c r="D46" s="717"/>
      <c r="E46" s="24">
        <f t="shared" si="8"/>
        <v>1</v>
      </c>
      <c r="F46" s="717"/>
      <c r="G46" s="24">
        <f t="shared" si="9"/>
        <v>1</v>
      </c>
      <c r="H46" s="717"/>
      <c r="I46" s="24">
        <f t="shared" si="10"/>
        <v>1</v>
      </c>
      <c r="J46" s="717"/>
      <c r="K46" s="24">
        <f t="shared" si="11"/>
        <v>1</v>
      </c>
      <c r="L46" s="717"/>
      <c r="M46" s="24">
        <f t="shared" si="12"/>
        <v>1</v>
      </c>
      <c r="N46" s="717"/>
      <c r="O46" s="24">
        <f t="shared" si="13"/>
        <v>1</v>
      </c>
      <c r="P46" s="717"/>
      <c r="Q46" s="24">
        <f t="shared" si="14"/>
        <v>1</v>
      </c>
      <c r="R46" s="713">
        <f t="shared" si="15"/>
        <v>0</v>
      </c>
      <c r="S46" s="358">
        <f t="shared" si="6"/>
        <v>0</v>
      </c>
    </row>
    <row r="47" spans="1:19">
      <c r="A47" s="156"/>
      <c r="B47" s="59"/>
      <c r="C47" s="24">
        <f t="shared" si="7"/>
        <v>1</v>
      </c>
      <c r="D47" s="717"/>
      <c r="E47" s="24">
        <f t="shared" si="8"/>
        <v>1</v>
      </c>
      <c r="F47" s="717"/>
      <c r="G47" s="24">
        <f t="shared" si="9"/>
        <v>1</v>
      </c>
      <c r="H47" s="717"/>
      <c r="I47" s="24">
        <f t="shared" si="10"/>
        <v>1</v>
      </c>
      <c r="J47" s="717"/>
      <c r="K47" s="24">
        <f t="shared" si="11"/>
        <v>1</v>
      </c>
      <c r="L47" s="717"/>
      <c r="M47" s="24">
        <f t="shared" si="12"/>
        <v>1</v>
      </c>
      <c r="N47" s="717"/>
      <c r="O47" s="24">
        <f t="shared" si="13"/>
        <v>1</v>
      </c>
      <c r="P47" s="717"/>
      <c r="Q47" s="24">
        <f t="shared" si="14"/>
        <v>1</v>
      </c>
      <c r="R47" s="713">
        <f t="shared" si="15"/>
        <v>0</v>
      </c>
      <c r="S47" s="358">
        <f t="shared" si="6"/>
        <v>0</v>
      </c>
    </row>
    <row r="48" spans="1:19">
      <c r="A48" s="156"/>
      <c r="B48" s="59"/>
      <c r="C48" s="24">
        <f t="shared" si="7"/>
        <v>1</v>
      </c>
      <c r="D48" s="717"/>
      <c r="E48" s="24">
        <f t="shared" si="8"/>
        <v>1</v>
      </c>
      <c r="F48" s="717"/>
      <c r="G48" s="24">
        <f t="shared" si="9"/>
        <v>1</v>
      </c>
      <c r="H48" s="717"/>
      <c r="I48" s="24">
        <f t="shared" si="10"/>
        <v>1</v>
      </c>
      <c r="J48" s="717"/>
      <c r="K48" s="24">
        <f t="shared" si="11"/>
        <v>1</v>
      </c>
      <c r="L48" s="717"/>
      <c r="M48" s="24">
        <f t="shared" si="12"/>
        <v>1</v>
      </c>
      <c r="N48" s="717"/>
      <c r="O48" s="24">
        <f t="shared" si="13"/>
        <v>1</v>
      </c>
      <c r="P48" s="717"/>
      <c r="Q48" s="24">
        <f t="shared" si="14"/>
        <v>1</v>
      </c>
      <c r="R48" s="713">
        <f t="shared" si="15"/>
        <v>0</v>
      </c>
      <c r="S48" s="358">
        <f t="shared" si="6"/>
        <v>0</v>
      </c>
    </row>
    <row r="49" spans="1:19">
      <c r="A49" s="156"/>
      <c r="B49" s="59"/>
      <c r="C49" s="24">
        <f t="shared" si="7"/>
        <v>1</v>
      </c>
      <c r="D49" s="717"/>
      <c r="E49" s="24">
        <f t="shared" si="8"/>
        <v>1</v>
      </c>
      <c r="F49" s="717"/>
      <c r="G49" s="24">
        <f t="shared" si="9"/>
        <v>1</v>
      </c>
      <c r="H49" s="717"/>
      <c r="I49" s="24">
        <f t="shared" si="10"/>
        <v>1</v>
      </c>
      <c r="J49" s="717"/>
      <c r="K49" s="24">
        <f t="shared" si="11"/>
        <v>1</v>
      </c>
      <c r="L49" s="717"/>
      <c r="M49" s="24">
        <f t="shared" si="12"/>
        <v>1</v>
      </c>
      <c r="N49" s="717"/>
      <c r="O49" s="24">
        <f t="shared" si="13"/>
        <v>1</v>
      </c>
      <c r="P49" s="717"/>
      <c r="Q49" s="24">
        <f t="shared" si="14"/>
        <v>1</v>
      </c>
      <c r="R49" s="713">
        <f t="shared" si="15"/>
        <v>0</v>
      </c>
      <c r="S49" s="358">
        <f t="shared" si="6"/>
        <v>0</v>
      </c>
    </row>
    <row r="50" spans="1:19">
      <c r="A50" s="156"/>
      <c r="B50" s="59"/>
      <c r="C50" s="24">
        <f t="shared" si="7"/>
        <v>1</v>
      </c>
      <c r="D50" s="717"/>
      <c r="E50" s="24">
        <f t="shared" si="8"/>
        <v>1</v>
      </c>
      <c r="F50" s="717"/>
      <c r="G50" s="24">
        <f t="shared" si="9"/>
        <v>1</v>
      </c>
      <c r="H50" s="717"/>
      <c r="I50" s="24">
        <f t="shared" si="10"/>
        <v>1</v>
      </c>
      <c r="J50" s="717"/>
      <c r="K50" s="24">
        <f t="shared" si="11"/>
        <v>1</v>
      </c>
      <c r="L50" s="717"/>
      <c r="M50" s="24">
        <f t="shared" si="12"/>
        <v>1</v>
      </c>
      <c r="N50" s="717"/>
      <c r="O50" s="24">
        <f t="shared" si="13"/>
        <v>1</v>
      </c>
      <c r="P50" s="717"/>
      <c r="Q50" s="24">
        <f t="shared" si="14"/>
        <v>1</v>
      </c>
      <c r="R50" s="713">
        <f t="shared" si="15"/>
        <v>0</v>
      </c>
      <c r="S50" s="358">
        <f t="shared" si="6"/>
        <v>0</v>
      </c>
    </row>
    <row r="51" spans="1:19">
      <c r="A51" s="156"/>
      <c r="B51" s="59"/>
      <c r="C51" s="24">
        <f t="shared" si="7"/>
        <v>1</v>
      </c>
      <c r="D51" s="717"/>
      <c r="E51" s="24">
        <f t="shared" si="8"/>
        <v>1</v>
      </c>
      <c r="F51" s="717"/>
      <c r="G51" s="24">
        <f t="shared" si="9"/>
        <v>1</v>
      </c>
      <c r="H51" s="717"/>
      <c r="I51" s="24">
        <f t="shared" si="10"/>
        <v>1</v>
      </c>
      <c r="J51" s="717"/>
      <c r="K51" s="24">
        <f t="shared" si="11"/>
        <v>1</v>
      </c>
      <c r="L51" s="717"/>
      <c r="M51" s="24">
        <f t="shared" si="12"/>
        <v>1</v>
      </c>
      <c r="N51" s="717"/>
      <c r="O51" s="24">
        <f t="shared" si="13"/>
        <v>1</v>
      </c>
      <c r="P51" s="717"/>
      <c r="Q51" s="24">
        <f t="shared" si="14"/>
        <v>1</v>
      </c>
      <c r="R51" s="713">
        <f t="shared" si="15"/>
        <v>0</v>
      </c>
      <c r="S51" s="358">
        <f t="shared" si="6"/>
        <v>0</v>
      </c>
    </row>
    <row r="52" spans="1:19">
      <c r="A52" s="156"/>
      <c r="B52" s="59"/>
      <c r="C52" s="24">
        <f t="shared" si="7"/>
        <v>1</v>
      </c>
      <c r="D52" s="717"/>
      <c r="E52" s="24">
        <f t="shared" si="8"/>
        <v>1</v>
      </c>
      <c r="F52" s="717"/>
      <c r="G52" s="24">
        <f t="shared" si="9"/>
        <v>1</v>
      </c>
      <c r="H52" s="717"/>
      <c r="I52" s="24">
        <f t="shared" si="10"/>
        <v>1</v>
      </c>
      <c r="J52" s="717"/>
      <c r="K52" s="24">
        <f t="shared" si="11"/>
        <v>1</v>
      </c>
      <c r="L52" s="717"/>
      <c r="M52" s="24">
        <f t="shared" si="12"/>
        <v>1</v>
      </c>
      <c r="N52" s="717"/>
      <c r="O52" s="24">
        <f t="shared" si="13"/>
        <v>1</v>
      </c>
      <c r="P52" s="717"/>
      <c r="Q52" s="24">
        <f t="shared" si="14"/>
        <v>1</v>
      </c>
      <c r="R52" s="713">
        <f t="shared" si="15"/>
        <v>0</v>
      </c>
      <c r="S52" s="358">
        <f t="shared" si="6"/>
        <v>0</v>
      </c>
    </row>
    <row r="53" spans="1:19">
      <c r="A53" s="156"/>
      <c r="B53" s="59"/>
      <c r="C53" s="24">
        <f t="shared" si="7"/>
        <v>1</v>
      </c>
      <c r="D53" s="717"/>
      <c r="E53" s="24">
        <f t="shared" si="8"/>
        <v>1</v>
      </c>
      <c r="F53" s="717"/>
      <c r="G53" s="24">
        <f t="shared" si="9"/>
        <v>1</v>
      </c>
      <c r="H53" s="717"/>
      <c r="I53" s="24">
        <f t="shared" si="10"/>
        <v>1</v>
      </c>
      <c r="J53" s="717"/>
      <c r="K53" s="24">
        <f t="shared" si="11"/>
        <v>1</v>
      </c>
      <c r="L53" s="717"/>
      <c r="M53" s="24">
        <f t="shared" si="12"/>
        <v>1</v>
      </c>
      <c r="N53" s="717"/>
      <c r="O53" s="24">
        <f t="shared" si="13"/>
        <v>1</v>
      </c>
      <c r="P53" s="717"/>
      <c r="Q53" s="24">
        <f t="shared" si="14"/>
        <v>1</v>
      </c>
      <c r="R53" s="713">
        <f t="shared" si="15"/>
        <v>0</v>
      </c>
      <c r="S53" s="358">
        <f t="shared" si="6"/>
        <v>0</v>
      </c>
    </row>
    <row r="54" spans="1:19">
      <c r="A54" s="156"/>
      <c r="B54" s="59"/>
      <c r="C54" s="24">
        <f t="shared" si="7"/>
        <v>1</v>
      </c>
      <c r="D54" s="717"/>
      <c r="E54" s="24">
        <f t="shared" si="8"/>
        <v>1</v>
      </c>
      <c r="F54" s="717"/>
      <c r="G54" s="24">
        <f t="shared" si="9"/>
        <v>1</v>
      </c>
      <c r="H54" s="717"/>
      <c r="I54" s="24">
        <f t="shared" si="10"/>
        <v>1</v>
      </c>
      <c r="J54" s="717"/>
      <c r="K54" s="24">
        <f t="shared" si="11"/>
        <v>1</v>
      </c>
      <c r="L54" s="717"/>
      <c r="M54" s="24">
        <f t="shared" si="12"/>
        <v>1</v>
      </c>
      <c r="N54" s="717"/>
      <c r="O54" s="24">
        <f t="shared" si="13"/>
        <v>1</v>
      </c>
      <c r="P54" s="717"/>
      <c r="Q54" s="24">
        <f t="shared" si="14"/>
        <v>1</v>
      </c>
      <c r="R54" s="713">
        <f t="shared" si="15"/>
        <v>0</v>
      </c>
      <c r="S54" s="358">
        <f t="shared" si="6"/>
        <v>0</v>
      </c>
    </row>
    <row r="55" spans="1:19">
      <c r="A55" s="156"/>
      <c r="B55" s="59"/>
      <c r="C55" s="24">
        <f t="shared" si="7"/>
        <v>1</v>
      </c>
      <c r="D55" s="717"/>
      <c r="E55" s="24">
        <f t="shared" si="8"/>
        <v>1</v>
      </c>
      <c r="F55" s="717"/>
      <c r="G55" s="24">
        <f t="shared" si="9"/>
        <v>1</v>
      </c>
      <c r="H55" s="717"/>
      <c r="I55" s="24">
        <f t="shared" si="10"/>
        <v>1</v>
      </c>
      <c r="J55" s="717"/>
      <c r="K55" s="24">
        <f t="shared" si="11"/>
        <v>1</v>
      </c>
      <c r="L55" s="717"/>
      <c r="M55" s="24">
        <f t="shared" si="12"/>
        <v>1</v>
      </c>
      <c r="N55" s="717"/>
      <c r="O55" s="24">
        <f t="shared" si="13"/>
        <v>1</v>
      </c>
      <c r="P55" s="717"/>
      <c r="Q55" s="24">
        <f t="shared" si="14"/>
        <v>1</v>
      </c>
      <c r="R55" s="713">
        <f t="shared" si="15"/>
        <v>0</v>
      </c>
      <c r="S55" s="358">
        <f t="shared" ref="S55:S77" si="16">ROUND(R55*B55/10000,0)</f>
        <v>0</v>
      </c>
    </row>
    <row r="56" spans="1:19">
      <c r="A56" s="156"/>
      <c r="B56" s="59"/>
      <c r="C56" s="24">
        <f t="shared" si="7"/>
        <v>1</v>
      </c>
      <c r="D56" s="717"/>
      <c r="E56" s="24">
        <f t="shared" si="8"/>
        <v>1</v>
      </c>
      <c r="F56" s="717"/>
      <c r="G56" s="24">
        <f t="shared" si="9"/>
        <v>1</v>
      </c>
      <c r="H56" s="717"/>
      <c r="I56" s="24">
        <f t="shared" si="10"/>
        <v>1</v>
      </c>
      <c r="J56" s="717"/>
      <c r="K56" s="24">
        <f t="shared" si="11"/>
        <v>1</v>
      </c>
      <c r="L56" s="717"/>
      <c r="M56" s="24">
        <f t="shared" si="12"/>
        <v>1</v>
      </c>
      <c r="N56" s="717"/>
      <c r="O56" s="24">
        <f t="shared" si="13"/>
        <v>1</v>
      </c>
      <c r="P56" s="717"/>
      <c r="Q56" s="24">
        <f t="shared" si="14"/>
        <v>1</v>
      </c>
      <c r="R56" s="713">
        <f t="shared" si="15"/>
        <v>0</v>
      </c>
      <c r="S56" s="358">
        <f t="shared" si="16"/>
        <v>0</v>
      </c>
    </row>
    <row r="57" spans="1:19">
      <c r="A57" s="156"/>
      <c r="B57" s="59"/>
      <c r="C57" s="24">
        <f t="shared" si="7"/>
        <v>1</v>
      </c>
      <c r="D57" s="717"/>
      <c r="E57" s="24">
        <f t="shared" si="8"/>
        <v>1</v>
      </c>
      <c r="F57" s="717"/>
      <c r="G57" s="24">
        <f t="shared" si="9"/>
        <v>1</v>
      </c>
      <c r="H57" s="717"/>
      <c r="I57" s="24">
        <f t="shared" si="10"/>
        <v>1</v>
      </c>
      <c r="J57" s="717"/>
      <c r="K57" s="24">
        <f t="shared" si="11"/>
        <v>1</v>
      </c>
      <c r="L57" s="717"/>
      <c r="M57" s="24">
        <f t="shared" si="12"/>
        <v>1</v>
      </c>
      <c r="N57" s="717"/>
      <c r="O57" s="24">
        <f t="shared" si="13"/>
        <v>1</v>
      </c>
      <c r="P57" s="717"/>
      <c r="Q57" s="24">
        <f t="shared" si="14"/>
        <v>1</v>
      </c>
      <c r="R57" s="713">
        <f t="shared" si="15"/>
        <v>0</v>
      </c>
      <c r="S57" s="358">
        <f t="shared" si="16"/>
        <v>0</v>
      </c>
    </row>
    <row r="58" spans="1:19">
      <c r="A58" s="156"/>
      <c r="B58" s="59"/>
      <c r="C58" s="24">
        <f t="shared" si="7"/>
        <v>1</v>
      </c>
      <c r="D58" s="717"/>
      <c r="E58" s="24">
        <f t="shared" si="8"/>
        <v>1</v>
      </c>
      <c r="F58" s="717"/>
      <c r="G58" s="24">
        <f t="shared" si="9"/>
        <v>1</v>
      </c>
      <c r="H58" s="717"/>
      <c r="I58" s="24">
        <f t="shared" si="10"/>
        <v>1</v>
      </c>
      <c r="J58" s="717"/>
      <c r="K58" s="24">
        <f t="shared" si="11"/>
        <v>1</v>
      </c>
      <c r="L58" s="717"/>
      <c r="M58" s="24">
        <f t="shared" si="12"/>
        <v>1</v>
      </c>
      <c r="N58" s="717"/>
      <c r="O58" s="24">
        <f t="shared" si="13"/>
        <v>1</v>
      </c>
      <c r="P58" s="717"/>
      <c r="Q58" s="24">
        <f t="shared" si="14"/>
        <v>1</v>
      </c>
      <c r="R58" s="713">
        <f t="shared" si="15"/>
        <v>0</v>
      </c>
      <c r="S58" s="358">
        <f t="shared" si="16"/>
        <v>0</v>
      </c>
    </row>
    <row r="59" spans="1:19">
      <c r="A59" s="156"/>
      <c r="B59" s="59"/>
      <c r="C59" s="24">
        <f t="shared" si="7"/>
        <v>1</v>
      </c>
      <c r="D59" s="717"/>
      <c r="E59" s="24">
        <f t="shared" si="8"/>
        <v>1</v>
      </c>
      <c r="F59" s="717"/>
      <c r="G59" s="24">
        <f t="shared" si="9"/>
        <v>1</v>
      </c>
      <c r="H59" s="717"/>
      <c r="I59" s="24">
        <f t="shared" si="10"/>
        <v>1</v>
      </c>
      <c r="J59" s="717"/>
      <c r="K59" s="24">
        <f t="shared" si="11"/>
        <v>1</v>
      </c>
      <c r="L59" s="717"/>
      <c r="M59" s="24">
        <f t="shared" si="12"/>
        <v>1</v>
      </c>
      <c r="N59" s="717"/>
      <c r="O59" s="24">
        <f t="shared" si="13"/>
        <v>1</v>
      </c>
      <c r="P59" s="717"/>
      <c r="Q59" s="24">
        <f t="shared" si="14"/>
        <v>1</v>
      </c>
      <c r="R59" s="713">
        <f t="shared" si="15"/>
        <v>0</v>
      </c>
      <c r="S59" s="358">
        <f t="shared" si="16"/>
        <v>0</v>
      </c>
    </row>
    <row r="60" spans="1:19">
      <c r="A60" s="156"/>
      <c r="B60" s="59"/>
      <c r="C60" s="24">
        <f t="shared" si="7"/>
        <v>1</v>
      </c>
      <c r="D60" s="717"/>
      <c r="E60" s="24">
        <f t="shared" si="8"/>
        <v>1</v>
      </c>
      <c r="F60" s="717"/>
      <c r="G60" s="24">
        <f t="shared" si="9"/>
        <v>1</v>
      </c>
      <c r="H60" s="717"/>
      <c r="I60" s="24">
        <f t="shared" si="10"/>
        <v>1</v>
      </c>
      <c r="J60" s="717"/>
      <c r="K60" s="24">
        <f t="shared" si="11"/>
        <v>1</v>
      </c>
      <c r="L60" s="717"/>
      <c r="M60" s="24">
        <f t="shared" si="12"/>
        <v>1</v>
      </c>
      <c r="N60" s="717"/>
      <c r="O60" s="24">
        <f t="shared" si="13"/>
        <v>1</v>
      </c>
      <c r="P60" s="717"/>
      <c r="Q60" s="24">
        <f t="shared" si="14"/>
        <v>1</v>
      </c>
      <c r="R60" s="713">
        <f t="shared" si="15"/>
        <v>0</v>
      </c>
      <c r="S60" s="358">
        <f t="shared" si="16"/>
        <v>0</v>
      </c>
    </row>
    <row r="61" spans="1:19">
      <c r="A61" s="156"/>
      <c r="B61" s="59"/>
      <c r="C61" s="24">
        <f t="shared" si="7"/>
        <v>1</v>
      </c>
      <c r="D61" s="717"/>
      <c r="E61" s="24">
        <f t="shared" si="8"/>
        <v>1</v>
      </c>
      <c r="F61" s="717"/>
      <c r="G61" s="24">
        <f t="shared" si="9"/>
        <v>1</v>
      </c>
      <c r="H61" s="717"/>
      <c r="I61" s="24">
        <f t="shared" si="10"/>
        <v>1</v>
      </c>
      <c r="J61" s="717"/>
      <c r="K61" s="24">
        <f t="shared" si="11"/>
        <v>1</v>
      </c>
      <c r="L61" s="717"/>
      <c r="M61" s="24">
        <f t="shared" si="12"/>
        <v>1</v>
      </c>
      <c r="N61" s="717"/>
      <c r="O61" s="24">
        <f t="shared" si="13"/>
        <v>1</v>
      </c>
      <c r="P61" s="717"/>
      <c r="Q61" s="24">
        <f t="shared" si="14"/>
        <v>1</v>
      </c>
      <c r="R61" s="713">
        <f t="shared" si="15"/>
        <v>0</v>
      </c>
      <c r="S61" s="358">
        <f t="shared" si="16"/>
        <v>0</v>
      </c>
    </row>
    <row r="62" spans="1:19">
      <c r="A62" s="156"/>
      <c r="B62" s="59"/>
      <c r="C62" s="24">
        <f t="shared" si="7"/>
        <v>1</v>
      </c>
      <c r="D62" s="717"/>
      <c r="E62" s="24">
        <f t="shared" si="8"/>
        <v>1</v>
      </c>
      <c r="F62" s="717"/>
      <c r="G62" s="24">
        <f t="shared" si="9"/>
        <v>1</v>
      </c>
      <c r="H62" s="717"/>
      <c r="I62" s="24">
        <f t="shared" si="10"/>
        <v>1</v>
      </c>
      <c r="J62" s="717"/>
      <c r="K62" s="24">
        <f t="shared" si="11"/>
        <v>1</v>
      </c>
      <c r="L62" s="717"/>
      <c r="M62" s="24">
        <f t="shared" si="12"/>
        <v>1</v>
      </c>
      <c r="N62" s="717"/>
      <c r="O62" s="24">
        <f t="shared" si="13"/>
        <v>1</v>
      </c>
      <c r="P62" s="717"/>
      <c r="Q62" s="24">
        <f t="shared" si="14"/>
        <v>1</v>
      </c>
      <c r="R62" s="713">
        <f t="shared" si="15"/>
        <v>0</v>
      </c>
      <c r="S62" s="358">
        <f t="shared" si="16"/>
        <v>0</v>
      </c>
    </row>
    <row r="63" spans="1:19">
      <c r="A63" s="156"/>
      <c r="B63" s="59"/>
      <c r="C63" s="24">
        <f t="shared" si="7"/>
        <v>1</v>
      </c>
      <c r="D63" s="717"/>
      <c r="E63" s="24">
        <f t="shared" si="8"/>
        <v>1</v>
      </c>
      <c r="F63" s="717"/>
      <c r="G63" s="24">
        <f t="shared" si="9"/>
        <v>1</v>
      </c>
      <c r="H63" s="717"/>
      <c r="I63" s="24">
        <f t="shared" si="10"/>
        <v>1</v>
      </c>
      <c r="J63" s="717"/>
      <c r="K63" s="24">
        <f t="shared" si="11"/>
        <v>1</v>
      </c>
      <c r="L63" s="717"/>
      <c r="M63" s="24">
        <f t="shared" si="12"/>
        <v>1</v>
      </c>
      <c r="N63" s="717"/>
      <c r="O63" s="24">
        <f t="shared" si="13"/>
        <v>1</v>
      </c>
      <c r="P63" s="717"/>
      <c r="Q63" s="24">
        <f t="shared" si="14"/>
        <v>1</v>
      </c>
      <c r="R63" s="713">
        <f t="shared" si="15"/>
        <v>0</v>
      </c>
      <c r="S63" s="358">
        <f t="shared" si="16"/>
        <v>0</v>
      </c>
    </row>
    <row r="64" spans="1:19">
      <c r="A64" s="156"/>
      <c r="B64" s="59"/>
      <c r="C64" s="24">
        <f t="shared" si="7"/>
        <v>1</v>
      </c>
      <c r="D64" s="717"/>
      <c r="E64" s="24">
        <f t="shared" si="8"/>
        <v>1</v>
      </c>
      <c r="F64" s="717"/>
      <c r="G64" s="24">
        <f t="shared" si="9"/>
        <v>1</v>
      </c>
      <c r="H64" s="717"/>
      <c r="I64" s="24">
        <f t="shared" si="10"/>
        <v>1</v>
      </c>
      <c r="J64" s="717"/>
      <c r="K64" s="24">
        <f t="shared" si="11"/>
        <v>1</v>
      </c>
      <c r="L64" s="717"/>
      <c r="M64" s="24">
        <f t="shared" si="12"/>
        <v>1</v>
      </c>
      <c r="N64" s="717"/>
      <c r="O64" s="24">
        <f t="shared" si="13"/>
        <v>1</v>
      </c>
      <c r="P64" s="717"/>
      <c r="Q64" s="24">
        <f t="shared" si="14"/>
        <v>1</v>
      </c>
      <c r="R64" s="713">
        <f t="shared" si="15"/>
        <v>0</v>
      </c>
      <c r="S64" s="358">
        <f t="shared" si="16"/>
        <v>0</v>
      </c>
    </row>
    <row r="65" spans="1:19">
      <c r="A65" s="156"/>
      <c r="B65" s="59"/>
      <c r="C65" s="24">
        <f t="shared" si="7"/>
        <v>1</v>
      </c>
      <c r="D65" s="717"/>
      <c r="E65" s="24">
        <f t="shared" si="8"/>
        <v>1</v>
      </c>
      <c r="F65" s="717"/>
      <c r="G65" s="24">
        <f t="shared" si="9"/>
        <v>1</v>
      </c>
      <c r="H65" s="717"/>
      <c r="I65" s="24">
        <f t="shared" si="10"/>
        <v>1</v>
      </c>
      <c r="J65" s="717"/>
      <c r="K65" s="24">
        <f t="shared" si="11"/>
        <v>1</v>
      </c>
      <c r="L65" s="717"/>
      <c r="M65" s="24">
        <f t="shared" si="12"/>
        <v>1</v>
      </c>
      <c r="N65" s="717"/>
      <c r="O65" s="24">
        <f t="shared" si="13"/>
        <v>1</v>
      </c>
      <c r="P65" s="717"/>
      <c r="Q65" s="24">
        <f t="shared" si="14"/>
        <v>1</v>
      </c>
      <c r="R65" s="713">
        <f t="shared" si="15"/>
        <v>0</v>
      </c>
      <c r="S65" s="358">
        <f t="shared" si="16"/>
        <v>0</v>
      </c>
    </row>
    <row r="66" spans="1:19">
      <c r="A66" s="156"/>
      <c r="B66" s="59"/>
      <c r="C66" s="24">
        <f t="shared" si="7"/>
        <v>1</v>
      </c>
      <c r="D66" s="717"/>
      <c r="E66" s="24">
        <f t="shared" si="8"/>
        <v>1</v>
      </c>
      <c r="F66" s="717"/>
      <c r="G66" s="24">
        <f t="shared" si="9"/>
        <v>1</v>
      </c>
      <c r="H66" s="717"/>
      <c r="I66" s="24">
        <f t="shared" si="10"/>
        <v>1</v>
      </c>
      <c r="J66" s="717"/>
      <c r="K66" s="24">
        <f t="shared" si="11"/>
        <v>1</v>
      </c>
      <c r="L66" s="717"/>
      <c r="M66" s="24">
        <f t="shared" si="12"/>
        <v>1</v>
      </c>
      <c r="N66" s="717"/>
      <c r="O66" s="24">
        <f t="shared" si="13"/>
        <v>1</v>
      </c>
      <c r="P66" s="717"/>
      <c r="Q66" s="24">
        <f t="shared" si="14"/>
        <v>1</v>
      </c>
      <c r="R66" s="713">
        <f t="shared" si="15"/>
        <v>0</v>
      </c>
      <c r="S66" s="358">
        <f t="shared" si="16"/>
        <v>0</v>
      </c>
    </row>
    <row r="67" spans="1:19">
      <c r="A67" s="156"/>
      <c r="B67" s="59"/>
      <c r="C67" s="24">
        <f t="shared" si="7"/>
        <v>1</v>
      </c>
      <c r="D67" s="717"/>
      <c r="E67" s="24">
        <f t="shared" si="8"/>
        <v>1</v>
      </c>
      <c r="F67" s="717"/>
      <c r="G67" s="24">
        <f t="shared" si="9"/>
        <v>1</v>
      </c>
      <c r="H67" s="717"/>
      <c r="I67" s="24">
        <f t="shared" si="10"/>
        <v>1</v>
      </c>
      <c r="J67" s="717"/>
      <c r="K67" s="24">
        <f t="shared" si="11"/>
        <v>1</v>
      </c>
      <c r="L67" s="717"/>
      <c r="M67" s="24">
        <f t="shared" si="12"/>
        <v>1</v>
      </c>
      <c r="N67" s="717"/>
      <c r="O67" s="24">
        <f t="shared" si="13"/>
        <v>1</v>
      </c>
      <c r="P67" s="717"/>
      <c r="Q67" s="24">
        <f t="shared" si="14"/>
        <v>1</v>
      </c>
      <c r="R67" s="713">
        <f t="shared" si="15"/>
        <v>0</v>
      </c>
      <c r="S67" s="358">
        <f t="shared" si="16"/>
        <v>0</v>
      </c>
    </row>
    <row r="68" spans="1:19">
      <c r="A68" s="156"/>
      <c r="B68" s="59"/>
      <c r="C68" s="24">
        <f t="shared" si="7"/>
        <v>1</v>
      </c>
      <c r="D68" s="717"/>
      <c r="E68" s="24">
        <f t="shared" si="8"/>
        <v>1</v>
      </c>
      <c r="F68" s="717"/>
      <c r="G68" s="24">
        <f t="shared" si="9"/>
        <v>1</v>
      </c>
      <c r="H68" s="717"/>
      <c r="I68" s="24">
        <f t="shared" si="10"/>
        <v>1</v>
      </c>
      <c r="J68" s="717"/>
      <c r="K68" s="24">
        <f t="shared" si="11"/>
        <v>1</v>
      </c>
      <c r="L68" s="717"/>
      <c r="M68" s="24">
        <f t="shared" si="12"/>
        <v>1</v>
      </c>
      <c r="N68" s="717"/>
      <c r="O68" s="24">
        <f t="shared" si="13"/>
        <v>1</v>
      </c>
      <c r="P68" s="717"/>
      <c r="Q68" s="24">
        <f t="shared" si="14"/>
        <v>1</v>
      </c>
      <c r="R68" s="713">
        <f t="shared" si="15"/>
        <v>0</v>
      </c>
      <c r="S68" s="358">
        <f t="shared" si="16"/>
        <v>0</v>
      </c>
    </row>
    <row r="69" spans="1:19">
      <c r="A69" s="156"/>
      <c r="B69" s="59"/>
      <c r="C69" s="24">
        <f t="shared" si="7"/>
        <v>1</v>
      </c>
      <c r="D69" s="717"/>
      <c r="E69" s="24">
        <f t="shared" si="8"/>
        <v>1</v>
      </c>
      <c r="F69" s="717"/>
      <c r="G69" s="24">
        <f t="shared" si="9"/>
        <v>1</v>
      </c>
      <c r="H69" s="717"/>
      <c r="I69" s="24">
        <f t="shared" si="10"/>
        <v>1</v>
      </c>
      <c r="J69" s="717"/>
      <c r="K69" s="24">
        <f t="shared" si="11"/>
        <v>1</v>
      </c>
      <c r="L69" s="717"/>
      <c r="M69" s="24">
        <f t="shared" si="12"/>
        <v>1</v>
      </c>
      <c r="N69" s="717"/>
      <c r="O69" s="24">
        <f t="shared" si="13"/>
        <v>1</v>
      </c>
      <c r="P69" s="717"/>
      <c r="Q69" s="24">
        <f t="shared" si="14"/>
        <v>1</v>
      </c>
      <c r="R69" s="713">
        <f t="shared" si="15"/>
        <v>0</v>
      </c>
      <c r="S69" s="358">
        <f t="shared" si="16"/>
        <v>0</v>
      </c>
    </row>
    <row r="70" spans="1:19">
      <c r="A70" s="156"/>
      <c r="B70" s="59"/>
      <c r="C70" s="24">
        <f t="shared" si="7"/>
        <v>1</v>
      </c>
      <c r="D70" s="717"/>
      <c r="E70" s="24">
        <f t="shared" si="8"/>
        <v>1</v>
      </c>
      <c r="F70" s="717"/>
      <c r="G70" s="24">
        <f t="shared" si="9"/>
        <v>1</v>
      </c>
      <c r="H70" s="717"/>
      <c r="I70" s="24">
        <f t="shared" si="10"/>
        <v>1</v>
      </c>
      <c r="J70" s="717"/>
      <c r="K70" s="24">
        <f t="shared" si="11"/>
        <v>1</v>
      </c>
      <c r="L70" s="717"/>
      <c r="M70" s="24">
        <f t="shared" si="12"/>
        <v>1</v>
      </c>
      <c r="N70" s="717"/>
      <c r="O70" s="24">
        <f t="shared" si="13"/>
        <v>1</v>
      </c>
      <c r="P70" s="717"/>
      <c r="Q70" s="24">
        <f t="shared" si="14"/>
        <v>1</v>
      </c>
      <c r="R70" s="713">
        <f t="shared" si="15"/>
        <v>0</v>
      </c>
      <c r="S70" s="358">
        <f t="shared" si="16"/>
        <v>0</v>
      </c>
    </row>
    <row r="71" spans="1:19">
      <c r="A71" s="156"/>
      <c r="B71" s="59"/>
      <c r="C71" s="24">
        <f t="shared" si="7"/>
        <v>1</v>
      </c>
      <c r="D71" s="717"/>
      <c r="E71" s="24">
        <f t="shared" si="8"/>
        <v>1</v>
      </c>
      <c r="F71" s="717"/>
      <c r="G71" s="24">
        <f t="shared" si="9"/>
        <v>1</v>
      </c>
      <c r="H71" s="717"/>
      <c r="I71" s="24">
        <f t="shared" si="10"/>
        <v>1</v>
      </c>
      <c r="J71" s="717"/>
      <c r="K71" s="24">
        <f t="shared" si="11"/>
        <v>1</v>
      </c>
      <c r="L71" s="717"/>
      <c r="M71" s="24">
        <f t="shared" si="12"/>
        <v>1</v>
      </c>
      <c r="N71" s="717"/>
      <c r="O71" s="24">
        <f t="shared" si="13"/>
        <v>1</v>
      </c>
      <c r="P71" s="717"/>
      <c r="Q71" s="24">
        <f t="shared" si="14"/>
        <v>1</v>
      </c>
      <c r="R71" s="713">
        <f t="shared" si="15"/>
        <v>0</v>
      </c>
      <c r="S71" s="358">
        <f t="shared" si="16"/>
        <v>0</v>
      </c>
    </row>
    <row r="72" spans="1:19">
      <c r="A72" s="156"/>
      <c r="B72" s="59"/>
      <c r="C72" s="24">
        <f t="shared" si="7"/>
        <v>1</v>
      </c>
      <c r="D72" s="717"/>
      <c r="E72" s="24">
        <f t="shared" si="8"/>
        <v>1</v>
      </c>
      <c r="F72" s="717"/>
      <c r="G72" s="24">
        <f t="shared" si="9"/>
        <v>1</v>
      </c>
      <c r="H72" s="717"/>
      <c r="I72" s="24">
        <f t="shared" si="10"/>
        <v>1</v>
      </c>
      <c r="J72" s="717"/>
      <c r="K72" s="24">
        <f t="shared" si="11"/>
        <v>1</v>
      </c>
      <c r="L72" s="717"/>
      <c r="M72" s="24">
        <f t="shared" si="12"/>
        <v>1</v>
      </c>
      <c r="N72" s="717"/>
      <c r="O72" s="24">
        <f t="shared" si="13"/>
        <v>1</v>
      </c>
      <c r="P72" s="717"/>
      <c r="Q72" s="24">
        <f t="shared" si="14"/>
        <v>1</v>
      </c>
      <c r="R72" s="713">
        <f t="shared" si="15"/>
        <v>0</v>
      </c>
      <c r="S72" s="358">
        <f t="shared" si="16"/>
        <v>0</v>
      </c>
    </row>
    <row r="73" spans="1:19">
      <c r="A73" s="156"/>
      <c r="B73" s="59"/>
      <c r="C73" s="24">
        <f t="shared" si="7"/>
        <v>1</v>
      </c>
      <c r="D73" s="717"/>
      <c r="E73" s="24">
        <f t="shared" si="8"/>
        <v>1</v>
      </c>
      <c r="F73" s="717"/>
      <c r="G73" s="24">
        <f t="shared" si="9"/>
        <v>1</v>
      </c>
      <c r="H73" s="717"/>
      <c r="I73" s="24">
        <f t="shared" si="10"/>
        <v>1</v>
      </c>
      <c r="J73" s="717"/>
      <c r="K73" s="24">
        <f t="shared" si="11"/>
        <v>1</v>
      </c>
      <c r="L73" s="717"/>
      <c r="M73" s="24">
        <f t="shared" si="12"/>
        <v>1</v>
      </c>
      <c r="N73" s="717"/>
      <c r="O73" s="24">
        <f t="shared" si="13"/>
        <v>1</v>
      </c>
      <c r="P73" s="717"/>
      <c r="Q73" s="24">
        <f t="shared" si="14"/>
        <v>1</v>
      </c>
      <c r="R73" s="713">
        <f t="shared" si="15"/>
        <v>0</v>
      </c>
      <c r="S73" s="358">
        <f t="shared" si="16"/>
        <v>0</v>
      </c>
    </row>
    <row r="74" spans="1:19">
      <c r="A74" s="156"/>
      <c r="B74" s="59"/>
      <c r="C74" s="24">
        <f t="shared" si="7"/>
        <v>1</v>
      </c>
      <c r="D74" s="717"/>
      <c r="E74" s="24">
        <f t="shared" si="8"/>
        <v>1</v>
      </c>
      <c r="F74" s="717"/>
      <c r="G74" s="24">
        <f t="shared" si="9"/>
        <v>1</v>
      </c>
      <c r="H74" s="717"/>
      <c r="I74" s="24">
        <f t="shared" si="10"/>
        <v>1</v>
      </c>
      <c r="J74" s="717"/>
      <c r="K74" s="24">
        <f t="shared" si="11"/>
        <v>1</v>
      </c>
      <c r="L74" s="717"/>
      <c r="M74" s="24">
        <f t="shared" si="12"/>
        <v>1</v>
      </c>
      <c r="N74" s="717"/>
      <c r="O74" s="24">
        <f t="shared" si="13"/>
        <v>1</v>
      </c>
      <c r="P74" s="717"/>
      <c r="Q74" s="24">
        <f t="shared" si="14"/>
        <v>1</v>
      </c>
      <c r="R74" s="713">
        <f t="shared" si="15"/>
        <v>0</v>
      </c>
      <c r="S74" s="358">
        <f t="shared" si="16"/>
        <v>0</v>
      </c>
    </row>
    <row r="75" spans="1:19">
      <c r="A75" s="156"/>
      <c r="B75" s="59"/>
      <c r="C75" s="24">
        <f t="shared" si="7"/>
        <v>1</v>
      </c>
      <c r="D75" s="717"/>
      <c r="E75" s="24">
        <f t="shared" si="8"/>
        <v>1</v>
      </c>
      <c r="F75" s="717"/>
      <c r="G75" s="24">
        <f t="shared" si="9"/>
        <v>1</v>
      </c>
      <c r="H75" s="717"/>
      <c r="I75" s="24">
        <f t="shared" si="10"/>
        <v>1</v>
      </c>
      <c r="J75" s="717"/>
      <c r="K75" s="24">
        <f t="shared" si="11"/>
        <v>1</v>
      </c>
      <c r="L75" s="717"/>
      <c r="M75" s="24">
        <f t="shared" si="12"/>
        <v>1</v>
      </c>
      <c r="N75" s="717"/>
      <c r="O75" s="24">
        <f t="shared" si="13"/>
        <v>1</v>
      </c>
      <c r="P75" s="717"/>
      <c r="Q75" s="24">
        <f t="shared" si="14"/>
        <v>1</v>
      </c>
      <c r="R75" s="713">
        <f t="shared" si="15"/>
        <v>0</v>
      </c>
      <c r="S75" s="358">
        <f t="shared" si="16"/>
        <v>0</v>
      </c>
    </row>
    <row r="76" spans="1:19">
      <c r="A76" s="156"/>
      <c r="B76" s="59"/>
      <c r="C76" s="24">
        <f t="shared" si="7"/>
        <v>1</v>
      </c>
      <c r="D76" s="717"/>
      <c r="E76" s="24">
        <f t="shared" si="8"/>
        <v>1</v>
      </c>
      <c r="F76" s="717"/>
      <c r="G76" s="24">
        <f t="shared" si="9"/>
        <v>1</v>
      </c>
      <c r="H76" s="717"/>
      <c r="I76" s="24">
        <f t="shared" si="10"/>
        <v>1</v>
      </c>
      <c r="J76" s="717"/>
      <c r="K76" s="24">
        <f t="shared" si="11"/>
        <v>1</v>
      </c>
      <c r="L76" s="717"/>
      <c r="M76" s="24">
        <f t="shared" si="12"/>
        <v>1</v>
      </c>
      <c r="N76" s="717"/>
      <c r="O76" s="24">
        <f t="shared" si="13"/>
        <v>1</v>
      </c>
      <c r="P76" s="717"/>
      <c r="Q76" s="24">
        <f t="shared" si="14"/>
        <v>1</v>
      </c>
      <c r="R76" s="713">
        <f t="shared" si="15"/>
        <v>0</v>
      </c>
      <c r="S76" s="358">
        <f t="shared" si="16"/>
        <v>0</v>
      </c>
    </row>
    <row r="77" spans="1:19">
      <c r="A77" s="156"/>
      <c r="B77" s="59"/>
      <c r="C77" s="24">
        <f t="shared" si="7"/>
        <v>1</v>
      </c>
      <c r="D77" s="717"/>
      <c r="E77" s="24">
        <f t="shared" si="8"/>
        <v>1</v>
      </c>
      <c r="F77" s="717"/>
      <c r="G77" s="24">
        <f t="shared" si="9"/>
        <v>1</v>
      </c>
      <c r="H77" s="717"/>
      <c r="I77" s="24">
        <f t="shared" si="10"/>
        <v>1</v>
      </c>
      <c r="J77" s="717"/>
      <c r="K77" s="24">
        <f t="shared" si="11"/>
        <v>1</v>
      </c>
      <c r="L77" s="717"/>
      <c r="M77" s="24">
        <f t="shared" si="12"/>
        <v>1</v>
      </c>
      <c r="N77" s="717"/>
      <c r="O77" s="24">
        <f t="shared" si="13"/>
        <v>1</v>
      </c>
      <c r="P77" s="717"/>
      <c r="Q77" s="24">
        <f t="shared" si="14"/>
        <v>1</v>
      </c>
      <c r="R77" s="713">
        <f t="shared" si="15"/>
        <v>0</v>
      </c>
      <c r="S77" s="358">
        <f t="shared" si="16"/>
        <v>0</v>
      </c>
    </row>
    <row r="78" spans="1:19">
      <c r="A78" s="156"/>
      <c r="B78" s="59"/>
      <c r="C78" s="24">
        <f t="shared" si="7"/>
        <v>1</v>
      </c>
      <c r="D78" s="717"/>
      <c r="E78" s="24">
        <f t="shared" si="8"/>
        <v>1</v>
      </c>
      <c r="F78" s="717"/>
      <c r="G78" s="24">
        <f t="shared" si="9"/>
        <v>1</v>
      </c>
      <c r="H78" s="717"/>
      <c r="I78" s="24">
        <f t="shared" si="10"/>
        <v>1</v>
      </c>
      <c r="J78" s="717"/>
      <c r="K78" s="24">
        <f t="shared" si="11"/>
        <v>1</v>
      </c>
      <c r="L78" s="717"/>
      <c r="M78" s="24">
        <f t="shared" si="12"/>
        <v>1</v>
      </c>
      <c r="N78" s="717"/>
      <c r="O78" s="24">
        <f t="shared" si="13"/>
        <v>1</v>
      </c>
      <c r="P78" s="717"/>
      <c r="Q78" s="24">
        <f t="shared" si="14"/>
        <v>1</v>
      </c>
      <c r="R78" s="713">
        <f t="shared" si="15"/>
        <v>0</v>
      </c>
      <c r="S78" s="358">
        <f t="shared" ref="S78:S122" si="17">ROUND(R78*B78/10000,0)</f>
        <v>0</v>
      </c>
    </row>
    <row r="79" spans="1:19">
      <c r="A79" s="156"/>
      <c r="B79" s="59"/>
      <c r="C79" s="24">
        <f t="shared" si="7"/>
        <v>1</v>
      </c>
      <c r="D79" s="717"/>
      <c r="E79" s="24">
        <f t="shared" si="8"/>
        <v>1</v>
      </c>
      <c r="F79" s="717"/>
      <c r="G79" s="24">
        <f t="shared" si="9"/>
        <v>1</v>
      </c>
      <c r="H79" s="717"/>
      <c r="I79" s="24">
        <f t="shared" si="10"/>
        <v>1</v>
      </c>
      <c r="J79" s="717"/>
      <c r="K79" s="24">
        <f t="shared" si="11"/>
        <v>1</v>
      </c>
      <c r="L79" s="717"/>
      <c r="M79" s="24">
        <f t="shared" si="12"/>
        <v>1</v>
      </c>
      <c r="N79" s="717"/>
      <c r="O79" s="24">
        <f t="shared" si="13"/>
        <v>1</v>
      </c>
      <c r="P79" s="717"/>
      <c r="Q79" s="24">
        <f t="shared" si="14"/>
        <v>1</v>
      </c>
      <c r="R79" s="713">
        <f t="shared" si="15"/>
        <v>0</v>
      </c>
      <c r="S79" s="358">
        <f t="shared" si="17"/>
        <v>0</v>
      </c>
    </row>
    <row r="80" spans="1:19">
      <c r="A80" s="156"/>
      <c r="B80" s="59"/>
      <c r="C80" s="24">
        <f t="shared" si="7"/>
        <v>1</v>
      </c>
      <c r="D80" s="717"/>
      <c r="E80" s="24">
        <f t="shared" si="8"/>
        <v>1</v>
      </c>
      <c r="F80" s="717"/>
      <c r="G80" s="24">
        <f t="shared" si="9"/>
        <v>1</v>
      </c>
      <c r="H80" s="717"/>
      <c r="I80" s="24">
        <f t="shared" si="10"/>
        <v>1</v>
      </c>
      <c r="J80" s="717"/>
      <c r="K80" s="24">
        <f t="shared" si="11"/>
        <v>1</v>
      </c>
      <c r="L80" s="717"/>
      <c r="M80" s="24">
        <f t="shared" si="12"/>
        <v>1</v>
      </c>
      <c r="N80" s="717"/>
      <c r="O80" s="24">
        <f t="shared" si="13"/>
        <v>1</v>
      </c>
      <c r="P80" s="717"/>
      <c r="Q80" s="24">
        <f t="shared" si="14"/>
        <v>1</v>
      </c>
      <c r="R80" s="713">
        <f t="shared" si="15"/>
        <v>0</v>
      </c>
      <c r="S80" s="358">
        <f t="shared" si="17"/>
        <v>0</v>
      </c>
    </row>
    <row r="81" spans="1:19">
      <c r="A81" s="156"/>
      <c r="B81" s="59"/>
      <c r="C81" s="24">
        <f t="shared" si="7"/>
        <v>1</v>
      </c>
      <c r="D81" s="717"/>
      <c r="E81" s="24">
        <f t="shared" si="8"/>
        <v>1</v>
      </c>
      <c r="F81" s="717"/>
      <c r="G81" s="24">
        <f t="shared" si="9"/>
        <v>1</v>
      </c>
      <c r="H81" s="717"/>
      <c r="I81" s="24">
        <f t="shared" si="10"/>
        <v>1</v>
      </c>
      <c r="J81" s="717"/>
      <c r="K81" s="24">
        <f t="shared" si="11"/>
        <v>1</v>
      </c>
      <c r="L81" s="717"/>
      <c r="M81" s="24">
        <f t="shared" si="12"/>
        <v>1</v>
      </c>
      <c r="N81" s="717"/>
      <c r="O81" s="24">
        <f t="shared" si="13"/>
        <v>1</v>
      </c>
      <c r="P81" s="717"/>
      <c r="Q81" s="24">
        <f t="shared" si="14"/>
        <v>1</v>
      </c>
      <c r="R81" s="713">
        <f t="shared" si="15"/>
        <v>0</v>
      </c>
      <c r="S81" s="358">
        <f t="shared" si="17"/>
        <v>0</v>
      </c>
    </row>
    <row r="82" spans="1:19">
      <c r="A82" s="156"/>
      <c r="B82" s="59"/>
      <c r="C82" s="24">
        <f t="shared" si="7"/>
        <v>1</v>
      </c>
      <c r="D82" s="717"/>
      <c r="E82" s="24">
        <f t="shared" si="8"/>
        <v>1</v>
      </c>
      <c r="F82" s="717"/>
      <c r="G82" s="24">
        <f t="shared" si="9"/>
        <v>1</v>
      </c>
      <c r="H82" s="717"/>
      <c r="I82" s="24">
        <f t="shared" si="10"/>
        <v>1</v>
      </c>
      <c r="J82" s="717"/>
      <c r="K82" s="24">
        <f t="shared" si="11"/>
        <v>1</v>
      </c>
      <c r="L82" s="717"/>
      <c r="M82" s="24">
        <f t="shared" si="12"/>
        <v>1</v>
      </c>
      <c r="N82" s="717"/>
      <c r="O82" s="24">
        <f t="shared" si="13"/>
        <v>1</v>
      </c>
      <c r="P82" s="717"/>
      <c r="Q82" s="24">
        <f t="shared" si="14"/>
        <v>1</v>
      </c>
      <c r="R82" s="713">
        <f t="shared" si="15"/>
        <v>0</v>
      </c>
      <c r="S82" s="358">
        <f t="shared" si="17"/>
        <v>0</v>
      </c>
    </row>
    <row r="83" spans="1:19">
      <c r="A83" s="156"/>
      <c r="B83" s="59"/>
      <c r="C83" s="24">
        <f t="shared" si="7"/>
        <v>1</v>
      </c>
      <c r="D83" s="717"/>
      <c r="E83" s="24">
        <f t="shared" si="8"/>
        <v>1</v>
      </c>
      <c r="F83" s="717"/>
      <c r="G83" s="24">
        <f t="shared" si="9"/>
        <v>1</v>
      </c>
      <c r="H83" s="717"/>
      <c r="I83" s="24">
        <f t="shared" si="10"/>
        <v>1</v>
      </c>
      <c r="J83" s="717"/>
      <c r="K83" s="24">
        <f t="shared" si="11"/>
        <v>1</v>
      </c>
      <c r="L83" s="717"/>
      <c r="M83" s="24">
        <f t="shared" si="12"/>
        <v>1</v>
      </c>
      <c r="N83" s="717"/>
      <c r="O83" s="24">
        <f t="shared" si="13"/>
        <v>1</v>
      </c>
      <c r="P83" s="717"/>
      <c r="Q83" s="24">
        <f t="shared" si="14"/>
        <v>1</v>
      </c>
      <c r="R83" s="713">
        <f t="shared" si="15"/>
        <v>0</v>
      </c>
      <c r="S83" s="358">
        <f t="shared" si="17"/>
        <v>0</v>
      </c>
    </row>
    <row r="84" spans="1:19">
      <c r="A84" s="156"/>
      <c r="B84" s="59"/>
      <c r="C84" s="24">
        <f t="shared" si="7"/>
        <v>1</v>
      </c>
      <c r="D84" s="717"/>
      <c r="E84" s="24">
        <f t="shared" si="8"/>
        <v>1</v>
      </c>
      <c r="F84" s="717"/>
      <c r="G84" s="24">
        <f t="shared" si="9"/>
        <v>1</v>
      </c>
      <c r="H84" s="717"/>
      <c r="I84" s="24">
        <f t="shared" si="10"/>
        <v>1</v>
      </c>
      <c r="J84" s="717"/>
      <c r="K84" s="24">
        <f t="shared" si="11"/>
        <v>1</v>
      </c>
      <c r="L84" s="717"/>
      <c r="M84" s="24">
        <f t="shared" si="12"/>
        <v>1</v>
      </c>
      <c r="N84" s="717"/>
      <c r="O84" s="24">
        <f t="shared" si="13"/>
        <v>1</v>
      </c>
      <c r="P84" s="717"/>
      <c r="Q84" s="24">
        <f t="shared" si="14"/>
        <v>1</v>
      </c>
      <c r="R84" s="713">
        <f t="shared" si="15"/>
        <v>0</v>
      </c>
      <c r="S84" s="358">
        <f t="shared" si="17"/>
        <v>0</v>
      </c>
    </row>
    <row r="85" spans="1:19">
      <c r="A85" s="156"/>
      <c r="B85" s="59"/>
      <c r="C85" s="24">
        <f t="shared" si="7"/>
        <v>1</v>
      </c>
      <c r="D85" s="717"/>
      <c r="E85" s="24">
        <f t="shared" si="8"/>
        <v>1</v>
      </c>
      <c r="F85" s="717"/>
      <c r="G85" s="24">
        <f t="shared" si="9"/>
        <v>1</v>
      </c>
      <c r="H85" s="717"/>
      <c r="I85" s="24">
        <f t="shared" si="10"/>
        <v>1</v>
      </c>
      <c r="J85" s="717"/>
      <c r="K85" s="24">
        <f t="shared" si="11"/>
        <v>1</v>
      </c>
      <c r="L85" s="717"/>
      <c r="M85" s="24">
        <f t="shared" si="12"/>
        <v>1</v>
      </c>
      <c r="N85" s="717"/>
      <c r="O85" s="24">
        <f t="shared" si="13"/>
        <v>1</v>
      </c>
      <c r="P85" s="717"/>
      <c r="Q85" s="24">
        <f t="shared" si="14"/>
        <v>1</v>
      </c>
      <c r="R85" s="713">
        <f t="shared" si="15"/>
        <v>0</v>
      </c>
      <c r="S85" s="358">
        <f t="shared" si="17"/>
        <v>0</v>
      </c>
    </row>
    <row r="86" spans="1:19">
      <c r="A86" s="156"/>
      <c r="B86" s="59"/>
      <c r="C86" s="24">
        <f t="shared" si="7"/>
        <v>1</v>
      </c>
      <c r="D86" s="717"/>
      <c r="E86" s="24">
        <f t="shared" si="8"/>
        <v>1</v>
      </c>
      <c r="F86" s="717"/>
      <c r="G86" s="24">
        <f t="shared" si="9"/>
        <v>1</v>
      </c>
      <c r="H86" s="717"/>
      <c r="I86" s="24">
        <f t="shared" si="10"/>
        <v>1</v>
      </c>
      <c r="J86" s="717"/>
      <c r="K86" s="24">
        <f t="shared" si="11"/>
        <v>1</v>
      </c>
      <c r="L86" s="717"/>
      <c r="M86" s="24">
        <f t="shared" si="12"/>
        <v>1</v>
      </c>
      <c r="N86" s="717"/>
      <c r="O86" s="24">
        <f t="shared" si="13"/>
        <v>1</v>
      </c>
      <c r="P86" s="717"/>
      <c r="Q86" s="24">
        <f t="shared" si="14"/>
        <v>1</v>
      </c>
      <c r="R86" s="713">
        <f t="shared" si="15"/>
        <v>0</v>
      </c>
      <c r="S86" s="358">
        <f t="shared" si="17"/>
        <v>0</v>
      </c>
    </row>
    <row r="87" spans="1:19">
      <c r="A87" s="156"/>
      <c r="B87" s="59"/>
      <c r="C87" s="24">
        <f t="shared" si="7"/>
        <v>1</v>
      </c>
      <c r="D87" s="717"/>
      <c r="E87" s="24">
        <f t="shared" si="8"/>
        <v>1</v>
      </c>
      <c r="F87" s="717"/>
      <c r="G87" s="24">
        <f t="shared" si="9"/>
        <v>1</v>
      </c>
      <c r="H87" s="717"/>
      <c r="I87" s="24">
        <f t="shared" si="10"/>
        <v>1</v>
      </c>
      <c r="J87" s="717"/>
      <c r="K87" s="24">
        <f t="shared" si="11"/>
        <v>1</v>
      </c>
      <c r="L87" s="717"/>
      <c r="M87" s="24">
        <f t="shared" si="12"/>
        <v>1</v>
      </c>
      <c r="N87" s="717"/>
      <c r="O87" s="24">
        <f t="shared" si="13"/>
        <v>1</v>
      </c>
      <c r="P87" s="717"/>
      <c r="Q87" s="24">
        <f t="shared" si="14"/>
        <v>1</v>
      </c>
      <c r="R87" s="713">
        <f t="shared" si="15"/>
        <v>0</v>
      </c>
      <c r="S87" s="358">
        <f t="shared" si="17"/>
        <v>0</v>
      </c>
    </row>
    <row r="88" spans="1:19">
      <c r="A88" s="156"/>
      <c r="B88" s="59"/>
      <c r="C88" s="24">
        <f t="shared" si="7"/>
        <v>1</v>
      </c>
      <c r="D88" s="717"/>
      <c r="E88" s="24">
        <f t="shared" si="8"/>
        <v>1</v>
      </c>
      <c r="F88" s="717"/>
      <c r="G88" s="24">
        <f t="shared" si="9"/>
        <v>1</v>
      </c>
      <c r="H88" s="717"/>
      <c r="I88" s="24">
        <f t="shared" si="10"/>
        <v>1</v>
      </c>
      <c r="J88" s="717"/>
      <c r="K88" s="24">
        <f t="shared" si="11"/>
        <v>1</v>
      </c>
      <c r="L88" s="717"/>
      <c r="M88" s="24">
        <f t="shared" si="12"/>
        <v>1</v>
      </c>
      <c r="N88" s="717"/>
      <c r="O88" s="24">
        <f t="shared" si="13"/>
        <v>1</v>
      </c>
      <c r="P88" s="717"/>
      <c r="Q88" s="24">
        <f t="shared" si="14"/>
        <v>1</v>
      </c>
      <c r="R88" s="713">
        <f t="shared" si="15"/>
        <v>0</v>
      </c>
      <c r="S88" s="358">
        <f t="shared" si="17"/>
        <v>0</v>
      </c>
    </row>
    <row r="89" spans="1:19">
      <c r="A89" s="156"/>
      <c r="B89" s="59"/>
      <c r="C89" s="24">
        <f t="shared" si="7"/>
        <v>1</v>
      </c>
      <c r="D89" s="717"/>
      <c r="E89" s="24">
        <f t="shared" si="8"/>
        <v>1</v>
      </c>
      <c r="F89" s="717"/>
      <c r="G89" s="24">
        <f t="shared" si="9"/>
        <v>1</v>
      </c>
      <c r="H89" s="717"/>
      <c r="I89" s="24">
        <f t="shared" si="10"/>
        <v>1</v>
      </c>
      <c r="J89" s="717"/>
      <c r="K89" s="24">
        <f t="shared" si="11"/>
        <v>1</v>
      </c>
      <c r="L89" s="717"/>
      <c r="M89" s="24">
        <f t="shared" si="12"/>
        <v>1</v>
      </c>
      <c r="N89" s="717"/>
      <c r="O89" s="24">
        <f t="shared" si="13"/>
        <v>1</v>
      </c>
      <c r="P89" s="717"/>
      <c r="Q89" s="24">
        <f t="shared" si="14"/>
        <v>1</v>
      </c>
      <c r="R89" s="713">
        <f t="shared" si="15"/>
        <v>0</v>
      </c>
      <c r="S89" s="358">
        <f t="shared" si="17"/>
        <v>0</v>
      </c>
    </row>
    <row r="90" spans="1:19">
      <c r="A90" s="156"/>
      <c r="B90" s="59"/>
      <c r="C90" s="24">
        <f t="shared" ref="C90:C153" si="18">IF(B90="",1,(LOOKUP(B90,$3:$3,$4:$4)-LOOKUP($B$24,$3:$3,$4:$4)+100)/100)</f>
        <v>1</v>
      </c>
      <c r="D90" s="717"/>
      <c r="E90" s="24">
        <f t="shared" ref="E90:E153" si="19">(SUMIF($5:$5,D90,$6:$6)-SUMIF($5:$5,$D$24,$6:$6)+100)/100</f>
        <v>1</v>
      </c>
      <c r="F90" s="717"/>
      <c r="G90" s="24">
        <f t="shared" ref="G90:G153" si="20">(SUMIF($7:$7,F90,$8:$8)-SUMIF($7:$7,$F$24,$8:$8)+100)/100</f>
        <v>1</v>
      </c>
      <c r="H90" s="717"/>
      <c r="I90" s="24">
        <f t="shared" ref="I90:I153" si="21">(SUMIF($9:$9,H90,$10:$10)-SUMIF($9:$9,$H$24,$10:$10)+100)/100</f>
        <v>1</v>
      </c>
      <c r="J90" s="717"/>
      <c r="K90" s="24">
        <f t="shared" ref="K90:K153" si="22">(SUMIF($11:$11,J90,$12:$12)-SUMIF($11:$11,$J$24,$12:$12)+100)/100</f>
        <v>1</v>
      </c>
      <c r="L90" s="717"/>
      <c r="M90" s="24">
        <f t="shared" ref="M90:M153" si="23">(SUMIF($13:$13,L90,$14:$14)-SUMIF($13:$13,$L$24,$14:$14)+100)/100</f>
        <v>1</v>
      </c>
      <c r="N90" s="717"/>
      <c r="O90" s="24">
        <f t="shared" ref="O90:O153" si="24">(SUMIF($15:$15,N90,$16:$16)-SUMIF($15:$15,$N$24,$16:$16)+100)/100</f>
        <v>1</v>
      </c>
      <c r="P90" s="717"/>
      <c r="Q90" s="24">
        <f t="shared" ref="Q90:Q153" si="25">(SUMIF($17:$17,P90,$18:$18)-SUMIF($17:$17,$P$24,$18:$18)+100)/100</f>
        <v>1</v>
      </c>
      <c r="R90" s="713">
        <f t="shared" ref="R90:R153" si="26">IF(B90="",0,ROUND($R$24*C90*E90*G90*I90*K90*M90*O90*Q90,0))</f>
        <v>0</v>
      </c>
      <c r="S90" s="358">
        <f t="shared" si="17"/>
        <v>0</v>
      </c>
    </row>
    <row r="91" spans="1:19">
      <c r="A91" s="156"/>
      <c r="B91" s="59"/>
      <c r="C91" s="24">
        <f t="shared" si="18"/>
        <v>1</v>
      </c>
      <c r="D91" s="717"/>
      <c r="E91" s="24">
        <f t="shared" si="19"/>
        <v>1</v>
      </c>
      <c r="F91" s="717"/>
      <c r="G91" s="24">
        <f t="shared" si="20"/>
        <v>1</v>
      </c>
      <c r="H91" s="717"/>
      <c r="I91" s="24">
        <f t="shared" si="21"/>
        <v>1</v>
      </c>
      <c r="J91" s="717"/>
      <c r="K91" s="24">
        <f t="shared" si="22"/>
        <v>1</v>
      </c>
      <c r="L91" s="717"/>
      <c r="M91" s="24">
        <f t="shared" si="23"/>
        <v>1</v>
      </c>
      <c r="N91" s="717"/>
      <c r="O91" s="24">
        <f t="shared" si="24"/>
        <v>1</v>
      </c>
      <c r="P91" s="717"/>
      <c r="Q91" s="24">
        <f t="shared" si="25"/>
        <v>1</v>
      </c>
      <c r="R91" s="713">
        <f t="shared" si="26"/>
        <v>0</v>
      </c>
      <c r="S91" s="358">
        <f t="shared" si="17"/>
        <v>0</v>
      </c>
    </row>
    <row r="92" spans="1:19">
      <c r="A92" s="156"/>
      <c r="B92" s="59"/>
      <c r="C92" s="24">
        <f t="shared" si="18"/>
        <v>1</v>
      </c>
      <c r="D92" s="717"/>
      <c r="E92" s="24">
        <f t="shared" si="19"/>
        <v>1</v>
      </c>
      <c r="F92" s="717"/>
      <c r="G92" s="24">
        <f t="shared" si="20"/>
        <v>1</v>
      </c>
      <c r="H92" s="717"/>
      <c r="I92" s="24">
        <f t="shared" si="21"/>
        <v>1</v>
      </c>
      <c r="J92" s="717"/>
      <c r="K92" s="24">
        <f t="shared" si="22"/>
        <v>1</v>
      </c>
      <c r="L92" s="717"/>
      <c r="M92" s="24">
        <f t="shared" si="23"/>
        <v>1</v>
      </c>
      <c r="N92" s="717"/>
      <c r="O92" s="24">
        <f t="shared" si="24"/>
        <v>1</v>
      </c>
      <c r="P92" s="717"/>
      <c r="Q92" s="24">
        <f t="shared" si="25"/>
        <v>1</v>
      </c>
      <c r="R92" s="713">
        <f t="shared" si="26"/>
        <v>0</v>
      </c>
      <c r="S92" s="358">
        <f t="shared" si="17"/>
        <v>0</v>
      </c>
    </row>
    <row r="93" spans="1:19">
      <c r="A93" s="156"/>
      <c r="B93" s="59"/>
      <c r="C93" s="24">
        <f t="shared" si="18"/>
        <v>1</v>
      </c>
      <c r="D93" s="717"/>
      <c r="E93" s="24">
        <f t="shared" si="19"/>
        <v>1</v>
      </c>
      <c r="F93" s="717"/>
      <c r="G93" s="24">
        <f t="shared" si="20"/>
        <v>1</v>
      </c>
      <c r="H93" s="717"/>
      <c r="I93" s="24">
        <f t="shared" si="21"/>
        <v>1</v>
      </c>
      <c r="J93" s="717"/>
      <c r="K93" s="24">
        <f t="shared" si="22"/>
        <v>1</v>
      </c>
      <c r="L93" s="717"/>
      <c r="M93" s="24">
        <f t="shared" si="23"/>
        <v>1</v>
      </c>
      <c r="N93" s="717"/>
      <c r="O93" s="24">
        <f t="shared" si="24"/>
        <v>1</v>
      </c>
      <c r="P93" s="717"/>
      <c r="Q93" s="24">
        <f t="shared" si="25"/>
        <v>1</v>
      </c>
      <c r="R93" s="713">
        <f t="shared" si="26"/>
        <v>0</v>
      </c>
      <c r="S93" s="358">
        <f t="shared" si="17"/>
        <v>0</v>
      </c>
    </row>
    <row r="94" spans="1:19">
      <c r="A94" s="156"/>
      <c r="B94" s="59"/>
      <c r="C94" s="24">
        <f t="shared" si="18"/>
        <v>1</v>
      </c>
      <c r="D94" s="717"/>
      <c r="E94" s="24">
        <f t="shared" si="19"/>
        <v>1</v>
      </c>
      <c r="F94" s="717"/>
      <c r="G94" s="24">
        <f t="shared" si="20"/>
        <v>1</v>
      </c>
      <c r="H94" s="717"/>
      <c r="I94" s="24">
        <f t="shared" si="21"/>
        <v>1</v>
      </c>
      <c r="J94" s="717"/>
      <c r="K94" s="24">
        <f t="shared" si="22"/>
        <v>1</v>
      </c>
      <c r="L94" s="717"/>
      <c r="M94" s="24">
        <f t="shared" si="23"/>
        <v>1</v>
      </c>
      <c r="N94" s="717"/>
      <c r="O94" s="24">
        <f t="shared" si="24"/>
        <v>1</v>
      </c>
      <c r="P94" s="717"/>
      <c r="Q94" s="24">
        <f t="shared" si="25"/>
        <v>1</v>
      </c>
      <c r="R94" s="713">
        <f t="shared" si="26"/>
        <v>0</v>
      </c>
      <c r="S94" s="358">
        <f t="shared" si="17"/>
        <v>0</v>
      </c>
    </row>
    <row r="95" spans="1:19">
      <c r="A95" s="156"/>
      <c r="B95" s="59"/>
      <c r="C95" s="24">
        <f t="shared" si="18"/>
        <v>1</v>
      </c>
      <c r="D95" s="717"/>
      <c r="E95" s="24">
        <f t="shared" si="19"/>
        <v>1</v>
      </c>
      <c r="F95" s="717"/>
      <c r="G95" s="24">
        <f t="shared" si="20"/>
        <v>1</v>
      </c>
      <c r="H95" s="717"/>
      <c r="I95" s="24">
        <f t="shared" si="21"/>
        <v>1</v>
      </c>
      <c r="J95" s="717"/>
      <c r="K95" s="24">
        <f t="shared" si="22"/>
        <v>1</v>
      </c>
      <c r="L95" s="717"/>
      <c r="M95" s="24">
        <f t="shared" si="23"/>
        <v>1</v>
      </c>
      <c r="N95" s="717"/>
      <c r="O95" s="24">
        <f t="shared" si="24"/>
        <v>1</v>
      </c>
      <c r="P95" s="717"/>
      <c r="Q95" s="24">
        <f t="shared" si="25"/>
        <v>1</v>
      </c>
      <c r="R95" s="713">
        <f t="shared" si="26"/>
        <v>0</v>
      </c>
      <c r="S95" s="358">
        <f t="shared" si="17"/>
        <v>0</v>
      </c>
    </row>
    <row r="96" spans="1:19">
      <c r="A96" s="156"/>
      <c r="B96" s="59"/>
      <c r="C96" s="24">
        <f t="shared" si="18"/>
        <v>1</v>
      </c>
      <c r="D96" s="717"/>
      <c r="E96" s="24">
        <f t="shared" si="19"/>
        <v>1</v>
      </c>
      <c r="F96" s="717"/>
      <c r="G96" s="24">
        <f t="shared" si="20"/>
        <v>1</v>
      </c>
      <c r="H96" s="717"/>
      <c r="I96" s="24">
        <f t="shared" si="21"/>
        <v>1</v>
      </c>
      <c r="J96" s="717"/>
      <c r="K96" s="24">
        <f t="shared" si="22"/>
        <v>1</v>
      </c>
      <c r="L96" s="717"/>
      <c r="M96" s="24">
        <f t="shared" si="23"/>
        <v>1</v>
      </c>
      <c r="N96" s="717"/>
      <c r="O96" s="24">
        <f t="shared" si="24"/>
        <v>1</v>
      </c>
      <c r="P96" s="717"/>
      <c r="Q96" s="24">
        <f t="shared" si="25"/>
        <v>1</v>
      </c>
      <c r="R96" s="713">
        <f t="shared" si="26"/>
        <v>0</v>
      </c>
      <c r="S96" s="358">
        <f t="shared" si="17"/>
        <v>0</v>
      </c>
    </row>
    <row r="97" spans="1:19">
      <c r="A97" s="156"/>
      <c r="B97" s="59"/>
      <c r="C97" s="24">
        <f t="shared" si="18"/>
        <v>1</v>
      </c>
      <c r="D97" s="717"/>
      <c r="E97" s="24">
        <f t="shared" si="19"/>
        <v>1</v>
      </c>
      <c r="F97" s="717"/>
      <c r="G97" s="24">
        <f t="shared" si="20"/>
        <v>1</v>
      </c>
      <c r="H97" s="717"/>
      <c r="I97" s="24">
        <f t="shared" si="21"/>
        <v>1</v>
      </c>
      <c r="J97" s="717"/>
      <c r="K97" s="24">
        <f t="shared" si="22"/>
        <v>1</v>
      </c>
      <c r="L97" s="717"/>
      <c r="M97" s="24">
        <f t="shared" si="23"/>
        <v>1</v>
      </c>
      <c r="N97" s="717"/>
      <c r="O97" s="24">
        <f t="shared" si="24"/>
        <v>1</v>
      </c>
      <c r="P97" s="717"/>
      <c r="Q97" s="24">
        <f t="shared" si="25"/>
        <v>1</v>
      </c>
      <c r="R97" s="713">
        <f t="shared" si="26"/>
        <v>0</v>
      </c>
      <c r="S97" s="358">
        <f t="shared" si="17"/>
        <v>0</v>
      </c>
    </row>
    <row r="98" spans="1:19">
      <c r="A98" s="156"/>
      <c r="B98" s="59"/>
      <c r="C98" s="24">
        <f t="shared" si="18"/>
        <v>1</v>
      </c>
      <c r="D98" s="717"/>
      <c r="E98" s="24">
        <f t="shared" si="19"/>
        <v>1</v>
      </c>
      <c r="F98" s="717"/>
      <c r="G98" s="24">
        <f t="shared" si="20"/>
        <v>1</v>
      </c>
      <c r="H98" s="717"/>
      <c r="I98" s="24">
        <f t="shared" si="21"/>
        <v>1</v>
      </c>
      <c r="J98" s="717"/>
      <c r="K98" s="24">
        <f t="shared" si="22"/>
        <v>1</v>
      </c>
      <c r="L98" s="717"/>
      <c r="M98" s="24">
        <f t="shared" si="23"/>
        <v>1</v>
      </c>
      <c r="N98" s="717"/>
      <c r="O98" s="24">
        <f t="shared" si="24"/>
        <v>1</v>
      </c>
      <c r="P98" s="717"/>
      <c r="Q98" s="24">
        <f t="shared" si="25"/>
        <v>1</v>
      </c>
      <c r="R98" s="713">
        <f t="shared" si="26"/>
        <v>0</v>
      </c>
      <c r="S98" s="358">
        <f t="shared" si="17"/>
        <v>0</v>
      </c>
    </row>
    <row r="99" spans="1:19">
      <c r="A99" s="156"/>
      <c r="B99" s="59"/>
      <c r="C99" s="24">
        <f t="shared" si="18"/>
        <v>1</v>
      </c>
      <c r="D99" s="717"/>
      <c r="E99" s="24">
        <f t="shared" si="19"/>
        <v>1</v>
      </c>
      <c r="F99" s="717"/>
      <c r="G99" s="24">
        <f t="shared" si="20"/>
        <v>1</v>
      </c>
      <c r="H99" s="717"/>
      <c r="I99" s="24">
        <f t="shared" si="21"/>
        <v>1</v>
      </c>
      <c r="J99" s="717"/>
      <c r="K99" s="24">
        <f t="shared" si="22"/>
        <v>1</v>
      </c>
      <c r="L99" s="717"/>
      <c r="M99" s="24">
        <f t="shared" si="23"/>
        <v>1</v>
      </c>
      <c r="N99" s="717"/>
      <c r="O99" s="24">
        <f t="shared" si="24"/>
        <v>1</v>
      </c>
      <c r="P99" s="717"/>
      <c r="Q99" s="24">
        <f t="shared" si="25"/>
        <v>1</v>
      </c>
      <c r="R99" s="713">
        <f t="shared" si="26"/>
        <v>0</v>
      </c>
      <c r="S99" s="358">
        <f t="shared" si="17"/>
        <v>0</v>
      </c>
    </row>
    <row r="100" spans="1:19">
      <c r="A100" s="156"/>
      <c r="B100" s="59"/>
      <c r="C100" s="24">
        <f t="shared" si="18"/>
        <v>1</v>
      </c>
      <c r="D100" s="717"/>
      <c r="E100" s="24">
        <f t="shared" si="19"/>
        <v>1</v>
      </c>
      <c r="F100" s="717"/>
      <c r="G100" s="24">
        <f t="shared" si="20"/>
        <v>1</v>
      </c>
      <c r="H100" s="717"/>
      <c r="I100" s="24">
        <f t="shared" si="21"/>
        <v>1</v>
      </c>
      <c r="J100" s="717"/>
      <c r="K100" s="24">
        <f t="shared" si="22"/>
        <v>1</v>
      </c>
      <c r="L100" s="717"/>
      <c r="M100" s="24">
        <f t="shared" si="23"/>
        <v>1</v>
      </c>
      <c r="N100" s="717"/>
      <c r="O100" s="24">
        <f t="shared" si="24"/>
        <v>1</v>
      </c>
      <c r="P100" s="717"/>
      <c r="Q100" s="24">
        <f t="shared" si="25"/>
        <v>1</v>
      </c>
      <c r="R100" s="713">
        <f t="shared" si="26"/>
        <v>0</v>
      </c>
      <c r="S100" s="358">
        <f t="shared" si="17"/>
        <v>0</v>
      </c>
    </row>
    <row r="101" spans="1:19">
      <c r="A101" s="156"/>
      <c r="B101" s="59"/>
      <c r="C101" s="24">
        <f t="shared" si="18"/>
        <v>1</v>
      </c>
      <c r="D101" s="717"/>
      <c r="E101" s="24">
        <f t="shared" si="19"/>
        <v>1</v>
      </c>
      <c r="F101" s="717"/>
      <c r="G101" s="24">
        <f t="shared" si="20"/>
        <v>1</v>
      </c>
      <c r="H101" s="717"/>
      <c r="I101" s="24">
        <f t="shared" si="21"/>
        <v>1</v>
      </c>
      <c r="J101" s="717"/>
      <c r="K101" s="24">
        <f t="shared" si="22"/>
        <v>1</v>
      </c>
      <c r="L101" s="717"/>
      <c r="M101" s="24">
        <f t="shared" si="23"/>
        <v>1</v>
      </c>
      <c r="N101" s="717"/>
      <c r="O101" s="24">
        <f t="shared" si="24"/>
        <v>1</v>
      </c>
      <c r="P101" s="717"/>
      <c r="Q101" s="24">
        <f t="shared" si="25"/>
        <v>1</v>
      </c>
      <c r="R101" s="713">
        <f t="shared" si="26"/>
        <v>0</v>
      </c>
      <c r="S101" s="358">
        <f t="shared" si="17"/>
        <v>0</v>
      </c>
    </row>
    <row r="102" spans="1:19">
      <c r="A102" s="156"/>
      <c r="B102" s="59"/>
      <c r="C102" s="24">
        <f t="shared" si="18"/>
        <v>1</v>
      </c>
      <c r="D102" s="717"/>
      <c r="E102" s="24">
        <f t="shared" si="19"/>
        <v>1</v>
      </c>
      <c r="F102" s="717"/>
      <c r="G102" s="24">
        <f t="shared" si="20"/>
        <v>1</v>
      </c>
      <c r="H102" s="717"/>
      <c r="I102" s="24">
        <f t="shared" si="21"/>
        <v>1</v>
      </c>
      <c r="J102" s="717"/>
      <c r="K102" s="24">
        <f t="shared" si="22"/>
        <v>1</v>
      </c>
      <c r="L102" s="717"/>
      <c r="M102" s="24">
        <f t="shared" si="23"/>
        <v>1</v>
      </c>
      <c r="N102" s="717"/>
      <c r="O102" s="24">
        <f t="shared" si="24"/>
        <v>1</v>
      </c>
      <c r="P102" s="717"/>
      <c r="Q102" s="24">
        <f t="shared" si="25"/>
        <v>1</v>
      </c>
      <c r="R102" s="713">
        <f t="shared" si="26"/>
        <v>0</v>
      </c>
      <c r="S102" s="358">
        <f t="shared" si="17"/>
        <v>0</v>
      </c>
    </row>
    <row r="103" spans="1:19">
      <c r="A103" s="156"/>
      <c r="B103" s="59"/>
      <c r="C103" s="24">
        <f t="shared" si="18"/>
        <v>1</v>
      </c>
      <c r="D103" s="717"/>
      <c r="E103" s="24">
        <f t="shared" si="19"/>
        <v>1</v>
      </c>
      <c r="F103" s="717"/>
      <c r="G103" s="24">
        <f t="shared" si="20"/>
        <v>1</v>
      </c>
      <c r="H103" s="717"/>
      <c r="I103" s="24">
        <f t="shared" si="21"/>
        <v>1</v>
      </c>
      <c r="J103" s="717"/>
      <c r="K103" s="24">
        <f t="shared" si="22"/>
        <v>1</v>
      </c>
      <c r="L103" s="717"/>
      <c r="M103" s="24">
        <f t="shared" si="23"/>
        <v>1</v>
      </c>
      <c r="N103" s="717"/>
      <c r="O103" s="24">
        <f t="shared" si="24"/>
        <v>1</v>
      </c>
      <c r="P103" s="717"/>
      <c r="Q103" s="24">
        <f t="shared" si="25"/>
        <v>1</v>
      </c>
      <c r="R103" s="713">
        <f t="shared" si="26"/>
        <v>0</v>
      </c>
      <c r="S103" s="358">
        <f t="shared" si="17"/>
        <v>0</v>
      </c>
    </row>
    <row r="104" spans="1:19">
      <c r="A104" s="156"/>
      <c r="B104" s="59"/>
      <c r="C104" s="24">
        <f t="shared" si="18"/>
        <v>1</v>
      </c>
      <c r="D104" s="717"/>
      <c r="E104" s="24">
        <f t="shared" si="19"/>
        <v>1</v>
      </c>
      <c r="F104" s="717"/>
      <c r="G104" s="24">
        <f t="shared" si="20"/>
        <v>1</v>
      </c>
      <c r="H104" s="717"/>
      <c r="I104" s="24">
        <f t="shared" si="21"/>
        <v>1</v>
      </c>
      <c r="J104" s="717"/>
      <c r="K104" s="24">
        <f t="shared" si="22"/>
        <v>1</v>
      </c>
      <c r="L104" s="717"/>
      <c r="M104" s="24">
        <f t="shared" si="23"/>
        <v>1</v>
      </c>
      <c r="N104" s="717"/>
      <c r="O104" s="24">
        <f t="shared" si="24"/>
        <v>1</v>
      </c>
      <c r="P104" s="717"/>
      <c r="Q104" s="24">
        <f t="shared" si="25"/>
        <v>1</v>
      </c>
      <c r="R104" s="713">
        <f t="shared" si="26"/>
        <v>0</v>
      </c>
      <c r="S104" s="358">
        <f t="shared" si="17"/>
        <v>0</v>
      </c>
    </row>
    <row r="105" spans="1:19">
      <c r="A105" s="156"/>
      <c r="B105" s="59"/>
      <c r="C105" s="24">
        <f t="shared" si="18"/>
        <v>1</v>
      </c>
      <c r="D105" s="717"/>
      <c r="E105" s="24">
        <f t="shared" si="19"/>
        <v>1</v>
      </c>
      <c r="F105" s="717"/>
      <c r="G105" s="24">
        <f t="shared" si="20"/>
        <v>1</v>
      </c>
      <c r="H105" s="717"/>
      <c r="I105" s="24">
        <f t="shared" si="21"/>
        <v>1</v>
      </c>
      <c r="J105" s="717"/>
      <c r="K105" s="24">
        <f t="shared" si="22"/>
        <v>1</v>
      </c>
      <c r="L105" s="717"/>
      <c r="M105" s="24">
        <f t="shared" si="23"/>
        <v>1</v>
      </c>
      <c r="N105" s="717"/>
      <c r="O105" s="24">
        <f t="shared" si="24"/>
        <v>1</v>
      </c>
      <c r="P105" s="717"/>
      <c r="Q105" s="24">
        <f t="shared" si="25"/>
        <v>1</v>
      </c>
      <c r="R105" s="713">
        <f t="shared" si="26"/>
        <v>0</v>
      </c>
      <c r="S105" s="358">
        <f t="shared" si="17"/>
        <v>0</v>
      </c>
    </row>
    <row r="106" spans="1:19">
      <c r="A106" s="156"/>
      <c r="B106" s="59"/>
      <c r="C106" s="24">
        <f t="shared" si="18"/>
        <v>1</v>
      </c>
      <c r="D106" s="717"/>
      <c r="E106" s="24">
        <f t="shared" si="19"/>
        <v>1</v>
      </c>
      <c r="F106" s="717"/>
      <c r="G106" s="24">
        <f t="shared" si="20"/>
        <v>1</v>
      </c>
      <c r="H106" s="717"/>
      <c r="I106" s="24">
        <f t="shared" si="21"/>
        <v>1</v>
      </c>
      <c r="J106" s="717"/>
      <c r="K106" s="24">
        <f t="shared" si="22"/>
        <v>1</v>
      </c>
      <c r="L106" s="717"/>
      <c r="M106" s="24">
        <f t="shared" si="23"/>
        <v>1</v>
      </c>
      <c r="N106" s="717"/>
      <c r="O106" s="24">
        <f t="shared" si="24"/>
        <v>1</v>
      </c>
      <c r="P106" s="717"/>
      <c r="Q106" s="24">
        <f t="shared" si="25"/>
        <v>1</v>
      </c>
      <c r="R106" s="713">
        <f t="shared" si="26"/>
        <v>0</v>
      </c>
      <c r="S106" s="358">
        <f t="shared" si="17"/>
        <v>0</v>
      </c>
    </row>
    <row r="107" spans="1:19">
      <c r="A107" s="156"/>
      <c r="B107" s="59"/>
      <c r="C107" s="24">
        <f t="shared" si="18"/>
        <v>1</v>
      </c>
      <c r="D107" s="717"/>
      <c r="E107" s="24">
        <f t="shared" si="19"/>
        <v>1</v>
      </c>
      <c r="F107" s="717"/>
      <c r="G107" s="24">
        <f t="shared" si="20"/>
        <v>1</v>
      </c>
      <c r="H107" s="717"/>
      <c r="I107" s="24">
        <f t="shared" si="21"/>
        <v>1</v>
      </c>
      <c r="J107" s="717"/>
      <c r="K107" s="24">
        <f t="shared" si="22"/>
        <v>1</v>
      </c>
      <c r="L107" s="717"/>
      <c r="M107" s="24">
        <f t="shared" si="23"/>
        <v>1</v>
      </c>
      <c r="N107" s="717"/>
      <c r="O107" s="24">
        <f t="shared" si="24"/>
        <v>1</v>
      </c>
      <c r="P107" s="717"/>
      <c r="Q107" s="24">
        <f t="shared" si="25"/>
        <v>1</v>
      </c>
      <c r="R107" s="713">
        <f t="shared" si="26"/>
        <v>0</v>
      </c>
      <c r="S107" s="358">
        <f t="shared" si="17"/>
        <v>0</v>
      </c>
    </row>
    <row r="108" spans="1:19">
      <c r="A108" s="156"/>
      <c r="B108" s="59"/>
      <c r="C108" s="24">
        <f t="shared" si="18"/>
        <v>1</v>
      </c>
      <c r="D108" s="717"/>
      <c r="E108" s="24">
        <f t="shared" si="19"/>
        <v>1</v>
      </c>
      <c r="F108" s="717"/>
      <c r="G108" s="24">
        <f t="shared" si="20"/>
        <v>1</v>
      </c>
      <c r="H108" s="717"/>
      <c r="I108" s="24">
        <f t="shared" si="21"/>
        <v>1</v>
      </c>
      <c r="J108" s="717"/>
      <c r="K108" s="24">
        <f t="shared" si="22"/>
        <v>1</v>
      </c>
      <c r="L108" s="717"/>
      <c r="M108" s="24">
        <f t="shared" si="23"/>
        <v>1</v>
      </c>
      <c r="N108" s="717"/>
      <c r="O108" s="24">
        <f t="shared" si="24"/>
        <v>1</v>
      </c>
      <c r="P108" s="717"/>
      <c r="Q108" s="24">
        <f t="shared" si="25"/>
        <v>1</v>
      </c>
      <c r="R108" s="713">
        <f t="shared" si="26"/>
        <v>0</v>
      </c>
      <c r="S108" s="358">
        <f t="shared" si="17"/>
        <v>0</v>
      </c>
    </row>
    <row r="109" spans="1:19">
      <c r="A109" s="156"/>
      <c r="B109" s="59"/>
      <c r="C109" s="24">
        <f t="shared" si="18"/>
        <v>1</v>
      </c>
      <c r="D109" s="717"/>
      <c r="E109" s="24">
        <f t="shared" si="19"/>
        <v>1</v>
      </c>
      <c r="F109" s="717"/>
      <c r="G109" s="24">
        <f t="shared" si="20"/>
        <v>1</v>
      </c>
      <c r="H109" s="717"/>
      <c r="I109" s="24">
        <f t="shared" si="21"/>
        <v>1</v>
      </c>
      <c r="J109" s="717"/>
      <c r="K109" s="24">
        <f t="shared" si="22"/>
        <v>1</v>
      </c>
      <c r="L109" s="717"/>
      <c r="M109" s="24">
        <f t="shared" si="23"/>
        <v>1</v>
      </c>
      <c r="N109" s="717"/>
      <c r="O109" s="24">
        <f t="shared" si="24"/>
        <v>1</v>
      </c>
      <c r="P109" s="717"/>
      <c r="Q109" s="24">
        <f t="shared" si="25"/>
        <v>1</v>
      </c>
      <c r="R109" s="713">
        <f t="shared" si="26"/>
        <v>0</v>
      </c>
      <c r="S109" s="358">
        <f t="shared" si="17"/>
        <v>0</v>
      </c>
    </row>
    <row r="110" spans="1:19">
      <c r="A110" s="156"/>
      <c r="B110" s="59"/>
      <c r="C110" s="24">
        <f t="shared" si="18"/>
        <v>1</v>
      </c>
      <c r="D110" s="717"/>
      <c r="E110" s="24">
        <f t="shared" si="19"/>
        <v>1</v>
      </c>
      <c r="F110" s="717"/>
      <c r="G110" s="24">
        <f t="shared" si="20"/>
        <v>1</v>
      </c>
      <c r="H110" s="717"/>
      <c r="I110" s="24">
        <f t="shared" si="21"/>
        <v>1</v>
      </c>
      <c r="J110" s="717"/>
      <c r="K110" s="24">
        <f t="shared" si="22"/>
        <v>1</v>
      </c>
      <c r="L110" s="717"/>
      <c r="M110" s="24">
        <f t="shared" si="23"/>
        <v>1</v>
      </c>
      <c r="N110" s="717"/>
      <c r="O110" s="24">
        <f t="shared" si="24"/>
        <v>1</v>
      </c>
      <c r="P110" s="717"/>
      <c r="Q110" s="24">
        <f t="shared" si="25"/>
        <v>1</v>
      </c>
      <c r="R110" s="713">
        <f t="shared" si="26"/>
        <v>0</v>
      </c>
      <c r="S110" s="358">
        <f t="shared" si="17"/>
        <v>0</v>
      </c>
    </row>
    <row r="111" spans="1:19">
      <c r="A111" s="156"/>
      <c r="B111" s="59"/>
      <c r="C111" s="24">
        <f t="shared" si="18"/>
        <v>1</v>
      </c>
      <c r="D111" s="717"/>
      <c r="E111" s="24">
        <f t="shared" si="19"/>
        <v>1</v>
      </c>
      <c r="F111" s="717"/>
      <c r="G111" s="24">
        <f t="shared" si="20"/>
        <v>1</v>
      </c>
      <c r="H111" s="717"/>
      <c r="I111" s="24">
        <f t="shared" si="21"/>
        <v>1</v>
      </c>
      <c r="J111" s="717"/>
      <c r="K111" s="24">
        <f t="shared" si="22"/>
        <v>1</v>
      </c>
      <c r="L111" s="717"/>
      <c r="M111" s="24">
        <f t="shared" si="23"/>
        <v>1</v>
      </c>
      <c r="N111" s="717"/>
      <c r="O111" s="24">
        <f t="shared" si="24"/>
        <v>1</v>
      </c>
      <c r="P111" s="717"/>
      <c r="Q111" s="24">
        <f t="shared" si="25"/>
        <v>1</v>
      </c>
      <c r="R111" s="713">
        <f t="shared" si="26"/>
        <v>0</v>
      </c>
      <c r="S111" s="358">
        <f t="shared" si="17"/>
        <v>0</v>
      </c>
    </row>
    <row r="112" spans="1:19">
      <c r="A112" s="156"/>
      <c r="B112" s="59"/>
      <c r="C112" s="24">
        <f t="shared" si="18"/>
        <v>1</v>
      </c>
      <c r="D112" s="717"/>
      <c r="E112" s="24">
        <f t="shared" si="19"/>
        <v>1</v>
      </c>
      <c r="F112" s="717"/>
      <c r="G112" s="24">
        <f t="shared" si="20"/>
        <v>1</v>
      </c>
      <c r="H112" s="717"/>
      <c r="I112" s="24">
        <f t="shared" si="21"/>
        <v>1</v>
      </c>
      <c r="J112" s="717"/>
      <c r="K112" s="24">
        <f t="shared" si="22"/>
        <v>1</v>
      </c>
      <c r="L112" s="717"/>
      <c r="M112" s="24">
        <f t="shared" si="23"/>
        <v>1</v>
      </c>
      <c r="N112" s="717"/>
      <c r="O112" s="24">
        <f t="shared" si="24"/>
        <v>1</v>
      </c>
      <c r="P112" s="717"/>
      <c r="Q112" s="24">
        <f t="shared" si="25"/>
        <v>1</v>
      </c>
      <c r="R112" s="713">
        <f t="shared" si="26"/>
        <v>0</v>
      </c>
      <c r="S112" s="358">
        <f t="shared" si="17"/>
        <v>0</v>
      </c>
    </row>
    <row r="113" spans="1:19">
      <c r="A113" s="156"/>
      <c r="B113" s="59"/>
      <c r="C113" s="24">
        <f t="shared" si="18"/>
        <v>1</v>
      </c>
      <c r="D113" s="717"/>
      <c r="E113" s="24">
        <f t="shared" si="19"/>
        <v>1</v>
      </c>
      <c r="F113" s="717"/>
      <c r="G113" s="24">
        <f t="shared" si="20"/>
        <v>1</v>
      </c>
      <c r="H113" s="717"/>
      <c r="I113" s="24">
        <f t="shared" si="21"/>
        <v>1</v>
      </c>
      <c r="J113" s="717"/>
      <c r="K113" s="24">
        <f t="shared" si="22"/>
        <v>1</v>
      </c>
      <c r="L113" s="717"/>
      <c r="M113" s="24">
        <f t="shared" si="23"/>
        <v>1</v>
      </c>
      <c r="N113" s="717"/>
      <c r="O113" s="24">
        <f t="shared" si="24"/>
        <v>1</v>
      </c>
      <c r="P113" s="717"/>
      <c r="Q113" s="24">
        <f t="shared" si="25"/>
        <v>1</v>
      </c>
      <c r="R113" s="713">
        <f t="shared" si="26"/>
        <v>0</v>
      </c>
      <c r="S113" s="358">
        <f t="shared" si="17"/>
        <v>0</v>
      </c>
    </row>
    <row r="114" spans="1:19">
      <c r="A114" s="156"/>
      <c r="B114" s="59"/>
      <c r="C114" s="24">
        <f t="shared" si="18"/>
        <v>1</v>
      </c>
      <c r="D114" s="717"/>
      <c r="E114" s="24">
        <f t="shared" si="19"/>
        <v>1</v>
      </c>
      <c r="F114" s="717"/>
      <c r="G114" s="24">
        <f t="shared" si="20"/>
        <v>1</v>
      </c>
      <c r="H114" s="717"/>
      <c r="I114" s="24">
        <f t="shared" si="21"/>
        <v>1</v>
      </c>
      <c r="J114" s="717"/>
      <c r="K114" s="24">
        <f t="shared" si="22"/>
        <v>1</v>
      </c>
      <c r="L114" s="717"/>
      <c r="M114" s="24">
        <f t="shared" si="23"/>
        <v>1</v>
      </c>
      <c r="N114" s="717"/>
      <c r="O114" s="24">
        <f t="shared" si="24"/>
        <v>1</v>
      </c>
      <c r="P114" s="717"/>
      <c r="Q114" s="24">
        <f t="shared" si="25"/>
        <v>1</v>
      </c>
      <c r="R114" s="713">
        <f t="shared" si="26"/>
        <v>0</v>
      </c>
      <c r="S114" s="358">
        <f t="shared" si="17"/>
        <v>0</v>
      </c>
    </row>
    <row r="115" spans="1:19">
      <c r="A115" s="156"/>
      <c r="B115" s="59"/>
      <c r="C115" s="24">
        <f t="shared" si="18"/>
        <v>1</v>
      </c>
      <c r="D115" s="717"/>
      <c r="E115" s="24">
        <f t="shared" si="19"/>
        <v>1</v>
      </c>
      <c r="F115" s="717"/>
      <c r="G115" s="24">
        <f t="shared" si="20"/>
        <v>1</v>
      </c>
      <c r="H115" s="717"/>
      <c r="I115" s="24">
        <f t="shared" si="21"/>
        <v>1</v>
      </c>
      <c r="J115" s="717"/>
      <c r="K115" s="24">
        <f t="shared" si="22"/>
        <v>1</v>
      </c>
      <c r="L115" s="717"/>
      <c r="M115" s="24">
        <f t="shared" si="23"/>
        <v>1</v>
      </c>
      <c r="N115" s="717"/>
      <c r="O115" s="24">
        <f t="shared" si="24"/>
        <v>1</v>
      </c>
      <c r="P115" s="717"/>
      <c r="Q115" s="24">
        <f t="shared" si="25"/>
        <v>1</v>
      </c>
      <c r="R115" s="713">
        <f t="shared" si="26"/>
        <v>0</v>
      </c>
      <c r="S115" s="358">
        <f t="shared" si="17"/>
        <v>0</v>
      </c>
    </row>
    <row r="116" spans="1:19">
      <c r="A116" s="156"/>
      <c r="B116" s="59"/>
      <c r="C116" s="24">
        <f t="shared" si="18"/>
        <v>1</v>
      </c>
      <c r="D116" s="717"/>
      <c r="E116" s="24">
        <f t="shared" si="19"/>
        <v>1</v>
      </c>
      <c r="F116" s="717"/>
      <c r="G116" s="24">
        <f t="shared" si="20"/>
        <v>1</v>
      </c>
      <c r="H116" s="717"/>
      <c r="I116" s="24">
        <f t="shared" si="21"/>
        <v>1</v>
      </c>
      <c r="J116" s="717"/>
      <c r="K116" s="24">
        <f t="shared" si="22"/>
        <v>1</v>
      </c>
      <c r="L116" s="717"/>
      <c r="M116" s="24">
        <f t="shared" si="23"/>
        <v>1</v>
      </c>
      <c r="N116" s="717"/>
      <c r="O116" s="24">
        <f t="shared" si="24"/>
        <v>1</v>
      </c>
      <c r="P116" s="717"/>
      <c r="Q116" s="24">
        <f t="shared" si="25"/>
        <v>1</v>
      </c>
      <c r="R116" s="713">
        <f t="shared" si="26"/>
        <v>0</v>
      </c>
      <c r="S116" s="358">
        <f t="shared" si="17"/>
        <v>0</v>
      </c>
    </row>
    <row r="117" spans="1:19">
      <c r="A117" s="156"/>
      <c r="B117" s="59"/>
      <c r="C117" s="24">
        <f t="shared" si="18"/>
        <v>1</v>
      </c>
      <c r="D117" s="717"/>
      <c r="E117" s="24">
        <f t="shared" si="19"/>
        <v>1</v>
      </c>
      <c r="F117" s="717"/>
      <c r="G117" s="24">
        <f t="shared" si="20"/>
        <v>1</v>
      </c>
      <c r="H117" s="717"/>
      <c r="I117" s="24">
        <f t="shared" si="21"/>
        <v>1</v>
      </c>
      <c r="J117" s="717"/>
      <c r="K117" s="24">
        <f t="shared" si="22"/>
        <v>1</v>
      </c>
      <c r="L117" s="717"/>
      <c r="M117" s="24">
        <f t="shared" si="23"/>
        <v>1</v>
      </c>
      <c r="N117" s="717"/>
      <c r="O117" s="24">
        <f t="shared" si="24"/>
        <v>1</v>
      </c>
      <c r="P117" s="717"/>
      <c r="Q117" s="24">
        <f t="shared" si="25"/>
        <v>1</v>
      </c>
      <c r="R117" s="713">
        <f t="shared" si="26"/>
        <v>0</v>
      </c>
      <c r="S117" s="358">
        <f t="shared" si="17"/>
        <v>0</v>
      </c>
    </row>
    <row r="118" spans="1:19">
      <c r="A118" s="156"/>
      <c r="B118" s="59"/>
      <c r="C118" s="24">
        <f t="shared" si="18"/>
        <v>1</v>
      </c>
      <c r="D118" s="717"/>
      <c r="E118" s="24">
        <f t="shared" si="19"/>
        <v>1</v>
      </c>
      <c r="F118" s="717"/>
      <c r="G118" s="24">
        <f t="shared" si="20"/>
        <v>1</v>
      </c>
      <c r="H118" s="717"/>
      <c r="I118" s="24">
        <f t="shared" si="21"/>
        <v>1</v>
      </c>
      <c r="J118" s="717"/>
      <c r="K118" s="24">
        <f t="shared" si="22"/>
        <v>1</v>
      </c>
      <c r="L118" s="717"/>
      <c r="M118" s="24">
        <f t="shared" si="23"/>
        <v>1</v>
      </c>
      <c r="N118" s="717"/>
      <c r="O118" s="24">
        <f t="shared" si="24"/>
        <v>1</v>
      </c>
      <c r="P118" s="717"/>
      <c r="Q118" s="24">
        <f t="shared" si="25"/>
        <v>1</v>
      </c>
      <c r="R118" s="713">
        <f t="shared" si="26"/>
        <v>0</v>
      </c>
      <c r="S118" s="358">
        <f t="shared" si="17"/>
        <v>0</v>
      </c>
    </row>
    <row r="119" spans="1:19">
      <c r="A119" s="156"/>
      <c r="B119" s="59"/>
      <c r="C119" s="24">
        <f t="shared" si="18"/>
        <v>1</v>
      </c>
      <c r="D119" s="717"/>
      <c r="E119" s="24">
        <f t="shared" si="19"/>
        <v>1</v>
      </c>
      <c r="F119" s="717"/>
      <c r="G119" s="24">
        <f t="shared" si="20"/>
        <v>1</v>
      </c>
      <c r="H119" s="717"/>
      <c r="I119" s="24">
        <f t="shared" si="21"/>
        <v>1</v>
      </c>
      <c r="J119" s="717"/>
      <c r="K119" s="24">
        <f t="shared" si="22"/>
        <v>1</v>
      </c>
      <c r="L119" s="717"/>
      <c r="M119" s="24">
        <f t="shared" si="23"/>
        <v>1</v>
      </c>
      <c r="N119" s="717"/>
      <c r="O119" s="24">
        <f t="shared" si="24"/>
        <v>1</v>
      </c>
      <c r="P119" s="717"/>
      <c r="Q119" s="24">
        <f t="shared" si="25"/>
        <v>1</v>
      </c>
      <c r="R119" s="713">
        <f t="shared" si="26"/>
        <v>0</v>
      </c>
      <c r="S119" s="358">
        <f t="shared" si="17"/>
        <v>0</v>
      </c>
    </row>
    <row r="120" spans="1:19">
      <c r="A120" s="156"/>
      <c r="B120" s="59"/>
      <c r="C120" s="24">
        <f t="shared" si="18"/>
        <v>1</v>
      </c>
      <c r="D120" s="717"/>
      <c r="E120" s="24">
        <f t="shared" si="19"/>
        <v>1</v>
      </c>
      <c r="F120" s="717"/>
      <c r="G120" s="24">
        <f t="shared" si="20"/>
        <v>1</v>
      </c>
      <c r="H120" s="717"/>
      <c r="I120" s="24">
        <f t="shared" si="21"/>
        <v>1</v>
      </c>
      <c r="J120" s="717"/>
      <c r="K120" s="24">
        <f t="shared" si="22"/>
        <v>1</v>
      </c>
      <c r="L120" s="717"/>
      <c r="M120" s="24">
        <f t="shared" si="23"/>
        <v>1</v>
      </c>
      <c r="N120" s="717"/>
      <c r="O120" s="24">
        <f t="shared" si="24"/>
        <v>1</v>
      </c>
      <c r="P120" s="717"/>
      <c r="Q120" s="24">
        <f t="shared" si="25"/>
        <v>1</v>
      </c>
      <c r="R120" s="713">
        <f t="shared" si="26"/>
        <v>0</v>
      </c>
      <c r="S120" s="358">
        <f t="shared" si="17"/>
        <v>0</v>
      </c>
    </row>
    <row r="121" spans="1:19">
      <c r="A121" s="156"/>
      <c r="B121" s="59"/>
      <c r="C121" s="24">
        <f t="shared" si="18"/>
        <v>1</v>
      </c>
      <c r="D121" s="717"/>
      <c r="E121" s="24">
        <f t="shared" si="19"/>
        <v>1</v>
      </c>
      <c r="F121" s="717"/>
      <c r="G121" s="24">
        <f t="shared" si="20"/>
        <v>1</v>
      </c>
      <c r="H121" s="717"/>
      <c r="I121" s="24">
        <f t="shared" si="21"/>
        <v>1</v>
      </c>
      <c r="J121" s="717"/>
      <c r="K121" s="24">
        <f t="shared" si="22"/>
        <v>1</v>
      </c>
      <c r="L121" s="717"/>
      <c r="M121" s="24">
        <f t="shared" si="23"/>
        <v>1</v>
      </c>
      <c r="N121" s="717"/>
      <c r="O121" s="24">
        <f t="shared" si="24"/>
        <v>1</v>
      </c>
      <c r="P121" s="717"/>
      <c r="Q121" s="24">
        <f t="shared" si="25"/>
        <v>1</v>
      </c>
      <c r="R121" s="713">
        <f t="shared" si="26"/>
        <v>0</v>
      </c>
      <c r="S121" s="358">
        <f t="shared" si="17"/>
        <v>0</v>
      </c>
    </row>
    <row r="122" spans="1:19">
      <c r="A122" s="156"/>
      <c r="B122" s="59"/>
      <c r="C122" s="24">
        <f t="shared" si="18"/>
        <v>1</v>
      </c>
      <c r="D122" s="717"/>
      <c r="E122" s="24">
        <f t="shared" si="19"/>
        <v>1</v>
      </c>
      <c r="F122" s="717"/>
      <c r="G122" s="24">
        <f t="shared" si="20"/>
        <v>1</v>
      </c>
      <c r="H122" s="717"/>
      <c r="I122" s="24">
        <f t="shared" si="21"/>
        <v>1</v>
      </c>
      <c r="J122" s="717"/>
      <c r="K122" s="24">
        <f t="shared" si="22"/>
        <v>1</v>
      </c>
      <c r="L122" s="717"/>
      <c r="M122" s="24">
        <f t="shared" si="23"/>
        <v>1</v>
      </c>
      <c r="N122" s="717"/>
      <c r="O122" s="24">
        <f t="shared" si="24"/>
        <v>1</v>
      </c>
      <c r="P122" s="717"/>
      <c r="Q122" s="24">
        <f t="shared" si="25"/>
        <v>1</v>
      </c>
      <c r="R122" s="713">
        <f t="shared" si="26"/>
        <v>0</v>
      </c>
      <c r="S122" s="358">
        <f t="shared" si="17"/>
        <v>0</v>
      </c>
    </row>
    <row r="123" spans="1:19">
      <c r="A123" s="156"/>
      <c r="B123" s="59"/>
      <c r="C123" s="24">
        <f t="shared" si="18"/>
        <v>1</v>
      </c>
      <c r="D123" s="717"/>
      <c r="E123" s="24">
        <f t="shared" si="19"/>
        <v>1</v>
      </c>
      <c r="F123" s="717"/>
      <c r="G123" s="24">
        <f t="shared" si="20"/>
        <v>1</v>
      </c>
      <c r="H123" s="717"/>
      <c r="I123" s="24">
        <f t="shared" si="21"/>
        <v>1</v>
      </c>
      <c r="J123" s="717"/>
      <c r="K123" s="24">
        <f t="shared" si="22"/>
        <v>1</v>
      </c>
      <c r="L123" s="717"/>
      <c r="M123" s="24">
        <f t="shared" si="23"/>
        <v>1</v>
      </c>
      <c r="N123" s="717"/>
      <c r="O123" s="24">
        <f t="shared" si="24"/>
        <v>1</v>
      </c>
      <c r="P123" s="717"/>
      <c r="Q123" s="24">
        <f t="shared" si="25"/>
        <v>1</v>
      </c>
      <c r="R123" s="713">
        <f t="shared" si="26"/>
        <v>0</v>
      </c>
      <c r="S123" s="358">
        <f t="shared" ref="S123:S186" si="27">ROUND(R123*B123/10000,0)</f>
        <v>0</v>
      </c>
    </row>
    <row r="124" spans="1:19">
      <c r="A124" s="156"/>
      <c r="B124" s="59"/>
      <c r="C124" s="24">
        <f t="shared" si="18"/>
        <v>1</v>
      </c>
      <c r="D124" s="717"/>
      <c r="E124" s="24">
        <f t="shared" si="19"/>
        <v>1</v>
      </c>
      <c r="F124" s="717"/>
      <c r="G124" s="24">
        <f t="shared" si="20"/>
        <v>1</v>
      </c>
      <c r="H124" s="717"/>
      <c r="I124" s="24">
        <f t="shared" si="21"/>
        <v>1</v>
      </c>
      <c r="J124" s="717"/>
      <c r="K124" s="24">
        <f t="shared" si="22"/>
        <v>1</v>
      </c>
      <c r="L124" s="717"/>
      <c r="M124" s="24">
        <f t="shared" si="23"/>
        <v>1</v>
      </c>
      <c r="N124" s="717"/>
      <c r="O124" s="24">
        <f t="shared" si="24"/>
        <v>1</v>
      </c>
      <c r="P124" s="717"/>
      <c r="Q124" s="24">
        <f t="shared" si="25"/>
        <v>1</v>
      </c>
      <c r="R124" s="713">
        <f t="shared" si="26"/>
        <v>0</v>
      </c>
      <c r="S124" s="358">
        <f t="shared" si="27"/>
        <v>0</v>
      </c>
    </row>
    <row r="125" spans="1:19">
      <c r="A125" s="156"/>
      <c r="B125" s="59"/>
      <c r="C125" s="24">
        <f t="shared" si="18"/>
        <v>1</v>
      </c>
      <c r="D125" s="717"/>
      <c r="E125" s="24">
        <f t="shared" si="19"/>
        <v>1</v>
      </c>
      <c r="F125" s="717"/>
      <c r="G125" s="24">
        <f t="shared" si="20"/>
        <v>1</v>
      </c>
      <c r="H125" s="717"/>
      <c r="I125" s="24">
        <f t="shared" si="21"/>
        <v>1</v>
      </c>
      <c r="J125" s="717"/>
      <c r="K125" s="24">
        <f t="shared" si="22"/>
        <v>1</v>
      </c>
      <c r="L125" s="717"/>
      <c r="M125" s="24">
        <f t="shared" si="23"/>
        <v>1</v>
      </c>
      <c r="N125" s="717"/>
      <c r="O125" s="24">
        <f t="shared" si="24"/>
        <v>1</v>
      </c>
      <c r="P125" s="717"/>
      <c r="Q125" s="24">
        <f t="shared" si="25"/>
        <v>1</v>
      </c>
      <c r="R125" s="713">
        <f t="shared" si="26"/>
        <v>0</v>
      </c>
      <c r="S125" s="358">
        <f t="shared" si="27"/>
        <v>0</v>
      </c>
    </row>
    <row r="126" spans="1:19">
      <c r="A126" s="156"/>
      <c r="B126" s="59"/>
      <c r="C126" s="24">
        <f t="shared" si="18"/>
        <v>1</v>
      </c>
      <c r="D126" s="717"/>
      <c r="E126" s="24">
        <f t="shared" si="19"/>
        <v>1</v>
      </c>
      <c r="F126" s="717"/>
      <c r="G126" s="24">
        <f t="shared" si="20"/>
        <v>1</v>
      </c>
      <c r="H126" s="717"/>
      <c r="I126" s="24">
        <f t="shared" si="21"/>
        <v>1</v>
      </c>
      <c r="J126" s="717"/>
      <c r="K126" s="24">
        <f t="shared" si="22"/>
        <v>1</v>
      </c>
      <c r="L126" s="717"/>
      <c r="M126" s="24">
        <f t="shared" si="23"/>
        <v>1</v>
      </c>
      <c r="N126" s="717"/>
      <c r="O126" s="24">
        <f t="shared" si="24"/>
        <v>1</v>
      </c>
      <c r="P126" s="717"/>
      <c r="Q126" s="24">
        <f t="shared" si="25"/>
        <v>1</v>
      </c>
      <c r="R126" s="713">
        <f t="shared" si="26"/>
        <v>0</v>
      </c>
      <c r="S126" s="358">
        <f t="shared" si="27"/>
        <v>0</v>
      </c>
    </row>
    <row r="127" spans="1:19">
      <c r="A127" s="156"/>
      <c r="B127" s="59"/>
      <c r="C127" s="24">
        <f t="shared" si="18"/>
        <v>1</v>
      </c>
      <c r="D127" s="717"/>
      <c r="E127" s="24">
        <f t="shared" si="19"/>
        <v>1</v>
      </c>
      <c r="F127" s="717"/>
      <c r="G127" s="24">
        <f t="shared" si="20"/>
        <v>1</v>
      </c>
      <c r="H127" s="717"/>
      <c r="I127" s="24">
        <f t="shared" si="21"/>
        <v>1</v>
      </c>
      <c r="J127" s="717"/>
      <c r="K127" s="24">
        <f t="shared" si="22"/>
        <v>1</v>
      </c>
      <c r="L127" s="717"/>
      <c r="M127" s="24">
        <f t="shared" si="23"/>
        <v>1</v>
      </c>
      <c r="N127" s="717"/>
      <c r="O127" s="24">
        <f t="shared" si="24"/>
        <v>1</v>
      </c>
      <c r="P127" s="717"/>
      <c r="Q127" s="24">
        <f t="shared" si="25"/>
        <v>1</v>
      </c>
      <c r="R127" s="713">
        <f t="shared" si="26"/>
        <v>0</v>
      </c>
      <c r="S127" s="358">
        <f t="shared" si="27"/>
        <v>0</v>
      </c>
    </row>
    <row r="128" spans="1:19">
      <c r="A128" s="156"/>
      <c r="B128" s="59"/>
      <c r="C128" s="24">
        <f t="shared" si="18"/>
        <v>1</v>
      </c>
      <c r="D128" s="717"/>
      <c r="E128" s="24">
        <f t="shared" si="19"/>
        <v>1</v>
      </c>
      <c r="F128" s="717"/>
      <c r="G128" s="24">
        <f t="shared" si="20"/>
        <v>1</v>
      </c>
      <c r="H128" s="717"/>
      <c r="I128" s="24">
        <f t="shared" si="21"/>
        <v>1</v>
      </c>
      <c r="J128" s="717"/>
      <c r="K128" s="24">
        <f t="shared" si="22"/>
        <v>1</v>
      </c>
      <c r="L128" s="717"/>
      <c r="M128" s="24">
        <f t="shared" si="23"/>
        <v>1</v>
      </c>
      <c r="N128" s="717"/>
      <c r="O128" s="24">
        <f t="shared" si="24"/>
        <v>1</v>
      </c>
      <c r="P128" s="717"/>
      <c r="Q128" s="24">
        <f t="shared" si="25"/>
        <v>1</v>
      </c>
      <c r="R128" s="713">
        <f t="shared" si="26"/>
        <v>0</v>
      </c>
      <c r="S128" s="358">
        <f t="shared" si="27"/>
        <v>0</v>
      </c>
    </row>
    <row r="129" spans="1:19">
      <c r="A129" s="156"/>
      <c r="B129" s="59"/>
      <c r="C129" s="24">
        <f t="shared" si="18"/>
        <v>1</v>
      </c>
      <c r="D129" s="717"/>
      <c r="E129" s="24">
        <f t="shared" si="19"/>
        <v>1</v>
      </c>
      <c r="F129" s="717"/>
      <c r="G129" s="24">
        <f t="shared" si="20"/>
        <v>1</v>
      </c>
      <c r="H129" s="717"/>
      <c r="I129" s="24">
        <f t="shared" si="21"/>
        <v>1</v>
      </c>
      <c r="J129" s="717"/>
      <c r="K129" s="24">
        <f t="shared" si="22"/>
        <v>1</v>
      </c>
      <c r="L129" s="717"/>
      <c r="M129" s="24">
        <f t="shared" si="23"/>
        <v>1</v>
      </c>
      <c r="N129" s="717"/>
      <c r="O129" s="24">
        <f t="shared" si="24"/>
        <v>1</v>
      </c>
      <c r="P129" s="717"/>
      <c r="Q129" s="24">
        <f t="shared" si="25"/>
        <v>1</v>
      </c>
      <c r="R129" s="713">
        <f t="shared" si="26"/>
        <v>0</v>
      </c>
      <c r="S129" s="358">
        <f t="shared" si="27"/>
        <v>0</v>
      </c>
    </row>
    <row r="130" spans="1:19">
      <c r="A130" s="156"/>
      <c r="B130" s="59"/>
      <c r="C130" s="24">
        <f t="shared" si="18"/>
        <v>1</v>
      </c>
      <c r="D130" s="717"/>
      <c r="E130" s="24">
        <f t="shared" si="19"/>
        <v>1</v>
      </c>
      <c r="F130" s="717"/>
      <c r="G130" s="24">
        <f t="shared" si="20"/>
        <v>1</v>
      </c>
      <c r="H130" s="717"/>
      <c r="I130" s="24">
        <f t="shared" si="21"/>
        <v>1</v>
      </c>
      <c r="J130" s="717"/>
      <c r="K130" s="24">
        <f t="shared" si="22"/>
        <v>1</v>
      </c>
      <c r="L130" s="717"/>
      <c r="M130" s="24">
        <f t="shared" si="23"/>
        <v>1</v>
      </c>
      <c r="N130" s="717"/>
      <c r="O130" s="24">
        <f t="shared" si="24"/>
        <v>1</v>
      </c>
      <c r="P130" s="717"/>
      <c r="Q130" s="24">
        <f t="shared" si="25"/>
        <v>1</v>
      </c>
      <c r="R130" s="713">
        <f t="shared" si="26"/>
        <v>0</v>
      </c>
      <c r="S130" s="358">
        <f t="shared" si="27"/>
        <v>0</v>
      </c>
    </row>
    <row r="131" spans="1:19">
      <c r="A131" s="156"/>
      <c r="B131" s="59"/>
      <c r="C131" s="24">
        <f t="shared" si="18"/>
        <v>1</v>
      </c>
      <c r="D131" s="717"/>
      <c r="E131" s="24">
        <f t="shared" si="19"/>
        <v>1</v>
      </c>
      <c r="F131" s="717"/>
      <c r="G131" s="24">
        <f t="shared" si="20"/>
        <v>1</v>
      </c>
      <c r="H131" s="717"/>
      <c r="I131" s="24">
        <f t="shared" si="21"/>
        <v>1</v>
      </c>
      <c r="J131" s="717"/>
      <c r="K131" s="24">
        <f t="shared" si="22"/>
        <v>1</v>
      </c>
      <c r="L131" s="717"/>
      <c r="M131" s="24">
        <f t="shared" si="23"/>
        <v>1</v>
      </c>
      <c r="N131" s="717"/>
      <c r="O131" s="24">
        <f t="shared" si="24"/>
        <v>1</v>
      </c>
      <c r="P131" s="717"/>
      <c r="Q131" s="24">
        <f t="shared" si="25"/>
        <v>1</v>
      </c>
      <c r="R131" s="713">
        <f t="shared" si="26"/>
        <v>0</v>
      </c>
      <c r="S131" s="358">
        <f t="shared" si="27"/>
        <v>0</v>
      </c>
    </row>
    <row r="132" spans="1:19">
      <c r="A132" s="156"/>
      <c r="B132" s="59"/>
      <c r="C132" s="24">
        <f t="shared" si="18"/>
        <v>1</v>
      </c>
      <c r="D132" s="717"/>
      <c r="E132" s="24">
        <f t="shared" si="19"/>
        <v>1</v>
      </c>
      <c r="F132" s="717"/>
      <c r="G132" s="24">
        <f t="shared" si="20"/>
        <v>1</v>
      </c>
      <c r="H132" s="717"/>
      <c r="I132" s="24">
        <f t="shared" si="21"/>
        <v>1</v>
      </c>
      <c r="J132" s="717"/>
      <c r="K132" s="24">
        <f t="shared" si="22"/>
        <v>1</v>
      </c>
      <c r="L132" s="717"/>
      <c r="M132" s="24">
        <f t="shared" si="23"/>
        <v>1</v>
      </c>
      <c r="N132" s="717"/>
      <c r="O132" s="24">
        <f t="shared" si="24"/>
        <v>1</v>
      </c>
      <c r="P132" s="717"/>
      <c r="Q132" s="24">
        <f t="shared" si="25"/>
        <v>1</v>
      </c>
      <c r="R132" s="713">
        <f t="shared" si="26"/>
        <v>0</v>
      </c>
      <c r="S132" s="358">
        <f t="shared" si="27"/>
        <v>0</v>
      </c>
    </row>
    <row r="133" spans="1:19">
      <c r="A133" s="156"/>
      <c r="B133" s="59"/>
      <c r="C133" s="24">
        <f t="shared" si="18"/>
        <v>1</v>
      </c>
      <c r="D133" s="717"/>
      <c r="E133" s="24">
        <f t="shared" si="19"/>
        <v>1</v>
      </c>
      <c r="F133" s="717"/>
      <c r="G133" s="24">
        <f t="shared" si="20"/>
        <v>1</v>
      </c>
      <c r="H133" s="717"/>
      <c r="I133" s="24">
        <f t="shared" si="21"/>
        <v>1</v>
      </c>
      <c r="J133" s="717"/>
      <c r="K133" s="24">
        <f t="shared" si="22"/>
        <v>1</v>
      </c>
      <c r="L133" s="717"/>
      <c r="M133" s="24">
        <f t="shared" si="23"/>
        <v>1</v>
      </c>
      <c r="N133" s="717"/>
      <c r="O133" s="24">
        <f t="shared" si="24"/>
        <v>1</v>
      </c>
      <c r="P133" s="717"/>
      <c r="Q133" s="24">
        <f t="shared" si="25"/>
        <v>1</v>
      </c>
      <c r="R133" s="713">
        <f t="shared" si="26"/>
        <v>0</v>
      </c>
      <c r="S133" s="358">
        <f t="shared" si="27"/>
        <v>0</v>
      </c>
    </row>
    <row r="134" spans="1:19">
      <c r="A134" s="156"/>
      <c r="B134" s="59"/>
      <c r="C134" s="24">
        <f t="shared" si="18"/>
        <v>1</v>
      </c>
      <c r="D134" s="717"/>
      <c r="E134" s="24">
        <f t="shared" si="19"/>
        <v>1</v>
      </c>
      <c r="F134" s="717"/>
      <c r="G134" s="24">
        <f t="shared" si="20"/>
        <v>1</v>
      </c>
      <c r="H134" s="717"/>
      <c r="I134" s="24">
        <f t="shared" si="21"/>
        <v>1</v>
      </c>
      <c r="J134" s="717"/>
      <c r="K134" s="24">
        <f t="shared" si="22"/>
        <v>1</v>
      </c>
      <c r="L134" s="717"/>
      <c r="M134" s="24">
        <f t="shared" si="23"/>
        <v>1</v>
      </c>
      <c r="N134" s="717"/>
      <c r="O134" s="24">
        <f t="shared" si="24"/>
        <v>1</v>
      </c>
      <c r="P134" s="717"/>
      <c r="Q134" s="24">
        <f t="shared" si="25"/>
        <v>1</v>
      </c>
      <c r="R134" s="713">
        <f t="shared" si="26"/>
        <v>0</v>
      </c>
      <c r="S134" s="358">
        <f t="shared" si="27"/>
        <v>0</v>
      </c>
    </row>
    <row r="135" spans="1:19">
      <c r="A135" s="156"/>
      <c r="B135" s="59"/>
      <c r="C135" s="24">
        <f t="shared" si="18"/>
        <v>1</v>
      </c>
      <c r="D135" s="717"/>
      <c r="E135" s="24">
        <f t="shared" si="19"/>
        <v>1</v>
      </c>
      <c r="F135" s="717"/>
      <c r="G135" s="24">
        <f t="shared" si="20"/>
        <v>1</v>
      </c>
      <c r="H135" s="717"/>
      <c r="I135" s="24">
        <f t="shared" si="21"/>
        <v>1</v>
      </c>
      <c r="J135" s="717"/>
      <c r="K135" s="24">
        <f t="shared" si="22"/>
        <v>1</v>
      </c>
      <c r="L135" s="717"/>
      <c r="M135" s="24">
        <f t="shared" si="23"/>
        <v>1</v>
      </c>
      <c r="N135" s="717"/>
      <c r="O135" s="24">
        <f t="shared" si="24"/>
        <v>1</v>
      </c>
      <c r="P135" s="717"/>
      <c r="Q135" s="24">
        <f t="shared" si="25"/>
        <v>1</v>
      </c>
      <c r="R135" s="713">
        <f t="shared" si="26"/>
        <v>0</v>
      </c>
      <c r="S135" s="358">
        <f t="shared" si="27"/>
        <v>0</v>
      </c>
    </row>
    <row r="136" spans="1:19">
      <c r="A136" s="156"/>
      <c r="B136" s="59"/>
      <c r="C136" s="24">
        <f t="shared" si="18"/>
        <v>1</v>
      </c>
      <c r="D136" s="717"/>
      <c r="E136" s="24">
        <f t="shared" si="19"/>
        <v>1</v>
      </c>
      <c r="F136" s="717"/>
      <c r="G136" s="24">
        <f t="shared" si="20"/>
        <v>1</v>
      </c>
      <c r="H136" s="717"/>
      <c r="I136" s="24">
        <f t="shared" si="21"/>
        <v>1</v>
      </c>
      <c r="J136" s="717"/>
      <c r="K136" s="24">
        <f t="shared" si="22"/>
        <v>1</v>
      </c>
      <c r="L136" s="717"/>
      <c r="M136" s="24">
        <f t="shared" si="23"/>
        <v>1</v>
      </c>
      <c r="N136" s="717"/>
      <c r="O136" s="24">
        <f t="shared" si="24"/>
        <v>1</v>
      </c>
      <c r="P136" s="717"/>
      <c r="Q136" s="24">
        <f t="shared" si="25"/>
        <v>1</v>
      </c>
      <c r="R136" s="713">
        <f t="shared" si="26"/>
        <v>0</v>
      </c>
      <c r="S136" s="358">
        <f t="shared" si="27"/>
        <v>0</v>
      </c>
    </row>
    <row r="137" spans="1:19">
      <c r="A137" s="156"/>
      <c r="B137" s="59"/>
      <c r="C137" s="24">
        <f t="shared" si="18"/>
        <v>1</v>
      </c>
      <c r="D137" s="717"/>
      <c r="E137" s="24">
        <f t="shared" si="19"/>
        <v>1</v>
      </c>
      <c r="F137" s="717"/>
      <c r="G137" s="24">
        <f t="shared" si="20"/>
        <v>1</v>
      </c>
      <c r="H137" s="717"/>
      <c r="I137" s="24">
        <f t="shared" si="21"/>
        <v>1</v>
      </c>
      <c r="J137" s="717"/>
      <c r="K137" s="24">
        <f t="shared" si="22"/>
        <v>1</v>
      </c>
      <c r="L137" s="717"/>
      <c r="M137" s="24">
        <f t="shared" si="23"/>
        <v>1</v>
      </c>
      <c r="N137" s="717"/>
      <c r="O137" s="24">
        <f t="shared" si="24"/>
        <v>1</v>
      </c>
      <c r="P137" s="717"/>
      <c r="Q137" s="24">
        <f t="shared" si="25"/>
        <v>1</v>
      </c>
      <c r="R137" s="713">
        <f t="shared" si="26"/>
        <v>0</v>
      </c>
      <c r="S137" s="358">
        <f t="shared" si="27"/>
        <v>0</v>
      </c>
    </row>
    <row r="138" spans="1:19">
      <c r="A138" s="156"/>
      <c r="B138" s="59"/>
      <c r="C138" s="24">
        <f t="shared" si="18"/>
        <v>1</v>
      </c>
      <c r="D138" s="717"/>
      <c r="E138" s="24">
        <f t="shared" si="19"/>
        <v>1</v>
      </c>
      <c r="F138" s="717"/>
      <c r="G138" s="24">
        <f t="shared" si="20"/>
        <v>1</v>
      </c>
      <c r="H138" s="717"/>
      <c r="I138" s="24">
        <f t="shared" si="21"/>
        <v>1</v>
      </c>
      <c r="J138" s="717"/>
      <c r="K138" s="24">
        <f t="shared" si="22"/>
        <v>1</v>
      </c>
      <c r="L138" s="717"/>
      <c r="M138" s="24">
        <f t="shared" si="23"/>
        <v>1</v>
      </c>
      <c r="N138" s="717"/>
      <c r="O138" s="24">
        <f t="shared" si="24"/>
        <v>1</v>
      </c>
      <c r="P138" s="717"/>
      <c r="Q138" s="24">
        <f t="shared" si="25"/>
        <v>1</v>
      </c>
      <c r="R138" s="713">
        <f t="shared" si="26"/>
        <v>0</v>
      </c>
      <c r="S138" s="358">
        <f t="shared" si="27"/>
        <v>0</v>
      </c>
    </row>
    <row r="139" spans="1:19">
      <c r="A139" s="156"/>
      <c r="B139" s="59"/>
      <c r="C139" s="24">
        <f t="shared" si="18"/>
        <v>1</v>
      </c>
      <c r="D139" s="717"/>
      <c r="E139" s="24">
        <f t="shared" si="19"/>
        <v>1</v>
      </c>
      <c r="F139" s="717"/>
      <c r="G139" s="24">
        <f t="shared" si="20"/>
        <v>1</v>
      </c>
      <c r="H139" s="717"/>
      <c r="I139" s="24">
        <f t="shared" si="21"/>
        <v>1</v>
      </c>
      <c r="J139" s="717"/>
      <c r="K139" s="24">
        <f t="shared" si="22"/>
        <v>1</v>
      </c>
      <c r="L139" s="717"/>
      <c r="M139" s="24">
        <f t="shared" si="23"/>
        <v>1</v>
      </c>
      <c r="N139" s="717"/>
      <c r="O139" s="24">
        <f t="shared" si="24"/>
        <v>1</v>
      </c>
      <c r="P139" s="717"/>
      <c r="Q139" s="24">
        <f t="shared" si="25"/>
        <v>1</v>
      </c>
      <c r="R139" s="713">
        <f t="shared" si="26"/>
        <v>0</v>
      </c>
      <c r="S139" s="358">
        <f t="shared" si="27"/>
        <v>0</v>
      </c>
    </row>
    <row r="140" spans="1:19">
      <c r="A140" s="156"/>
      <c r="B140" s="59"/>
      <c r="C140" s="24">
        <f t="shared" si="18"/>
        <v>1</v>
      </c>
      <c r="D140" s="717"/>
      <c r="E140" s="24">
        <f t="shared" si="19"/>
        <v>1</v>
      </c>
      <c r="F140" s="717"/>
      <c r="G140" s="24">
        <f t="shared" si="20"/>
        <v>1</v>
      </c>
      <c r="H140" s="717"/>
      <c r="I140" s="24">
        <f t="shared" si="21"/>
        <v>1</v>
      </c>
      <c r="J140" s="717"/>
      <c r="K140" s="24">
        <f t="shared" si="22"/>
        <v>1</v>
      </c>
      <c r="L140" s="717"/>
      <c r="M140" s="24">
        <f t="shared" si="23"/>
        <v>1</v>
      </c>
      <c r="N140" s="717"/>
      <c r="O140" s="24">
        <f t="shared" si="24"/>
        <v>1</v>
      </c>
      <c r="P140" s="717"/>
      <c r="Q140" s="24">
        <f t="shared" si="25"/>
        <v>1</v>
      </c>
      <c r="R140" s="713">
        <f t="shared" si="26"/>
        <v>0</v>
      </c>
      <c r="S140" s="358">
        <f t="shared" si="27"/>
        <v>0</v>
      </c>
    </row>
    <row r="141" spans="1:19">
      <c r="A141" s="156"/>
      <c r="B141" s="59"/>
      <c r="C141" s="24">
        <f t="shared" si="18"/>
        <v>1</v>
      </c>
      <c r="D141" s="717"/>
      <c r="E141" s="24">
        <f t="shared" si="19"/>
        <v>1</v>
      </c>
      <c r="F141" s="717"/>
      <c r="G141" s="24">
        <f t="shared" si="20"/>
        <v>1</v>
      </c>
      <c r="H141" s="717"/>
      <c r="I141" s="24">
        <f t="shared" si="21"/>
        <v>1</v>
      </c>
      <c r="J141" s="717"/>
      <c r="K141" s="24">
        <f t="shared" si="22"/>
        <v>1</v>
      </c>
      <c r="L141" s="717"/>
      <c r="M141" s="24">
        <f t="shared" si="23"/>
        <v>1</v>
      </c>
      <c r="N141" s="717"/>
      <c r="O141" s="24">
        <f t="shared" si="24"/>
        <v>1</v>
      </c>
      <c r="P141" s="717"/>
      <c r="Q141" s="24">
        <f t="shared" si="25"/>
        <v>1</v>
      </c>
      <c r="R141" s="713">
        <f t="shared" si="26"/>
        <v>0</v>
      </c>
      <c r="S141" s="358">
        <f t="shared" si="27"/>
        <v>0</v>
      </c>
    </row>
    <row r="142" spans="1:19">
      <c r="A142" s="156"/>
      <c r="B142" s="59"/>
      <c r="C142" s="24">
        <f t="shared" si="18"/>
        <v>1</v>
      </c>
      <c r="D142" s="717"/>
      <c r="E142" s="24">
        <f t="shared" si="19"/>
        <v>1</v>
      </c>
      <c r="F142" s="717"/>
      <c r="G142" s="24">
        <f t="shared" si="20"/>
        <v>1</v>
      </c>
      <c r="H142" s="717"/>
      <c r="I142" s="24">
        <f t="shared" si="21"/>
        <v>1</v>
      </c>
      <c r="J142" s="717"/>
      <c r="K142" s="24">
        <f t="shared" si="22"/>
        <v>1</v>
      </c>
      <c r="L142" s="717"/>
      <c r="M142" s="24">
        <f t="shared" si="23"/>
        <v>1</v>
      </c>
      <c r="N142" s="717"/>
      <c r="O142" s="24">
        <f t="shared" si="24"/>
        <v>1</v>
      </c>
      <c r="P142" s="717"/>
      <c r="Q142" s="24">
        <f t="shared" si="25"/>
        <v>1</v>
      </c>
      <c r="R142" s="713">
        <f t="shared" si="26"/>
        <v>0</v>
      </c>
      <c r="S142" s="358">
        <f t="shared" si="27"/>
        <v>0</v>
      </c>
    </row>
    <row r="143" spans="1:19">
      <c r="A143" s="156"/>
      <c r="B143" s="59"/>
      <c r="C143" s="24">
        <f t="shared" si="18"/>
        <v>1</v>
      </c>
      <c r="D143" s="717"/>
      <c r="E143" s="24">
        <f t="shared" si="19"/>
        <v>1</v>
      </c>
      <c r="F143" s="717"/>
      <c r="G143" s="24">
        <f t="shared" si="20"/>
        <v>1</v>
      </c>
      <c r="H143" s="717"/>
      <c r="I143" s="24">
        <f t="shared" si="21"/>
        <v>1</v>
      </c>
      <c r="J143" s="717"/>
      <c r="K143" s="24">
        <f t="shared" si="22"/>
        <v>1</v>
      </c>
      <c r="L143" s="717"/>
      <c r="M143" s="24">
        <f t="shared" si="23"/>
        <v>1</v>
      </c>
      <c r="N143" s="717"/>
      <c r="O143" s="24">
        <f t="shared" si="24"/>
        <v>1</v>
      </c>
      <c r="P143" s="717"/>
      <c r="Q143" s="24">
        <f t="shared" si="25"/>
        <v>1</v>
      </c>
      <c r="R143" s="713">
        <f t="shared" si="26"/>
        <v>0</v>
      </c>
      <c r="S143" s="358">
        <f t="shared" si="27"/>
        <v>0</v>
      </c>
    </row>
    <row r="144" spans="1:19">
      <c r="A144" s="156"/>
      <c r="B144" s="59"/>
      <c r="C144" s="24">
        <f t="shared" si="18"/>
        <v>1</v>
      </c>
      <c r="D144" s="717"/>
      <c r="E144" s="24">
        <f t="shared" si="19"/>
        <v>1</v>
      </c>
      <c r="F144" s="717"/>
      <c r="G144" s="24">
        <f t="shared" si="20"/>
        <v>1</v>
      </c>
      <c r="H144" s="717"/>
      <c r="I144" s="24">
        <f t="shared" si="21"/>
        <v>1</v>
      </c>
      <c r="J144" s="717"/>
      <c r="K144" s="24">
        <f t="shared" si="22"/>
        <v>1</v>
      </c>
      <c r="L144" s="717"/>
      <c r="M144" s="24">
        <f t="shared" si="23"/>
        <v>1</v>
      </c>
      <c r="N144" s="717"/>
      <c r="O144" s="24">
        <f t="shared" si="24"/>
        <v>1</v>
      </c>
      <c r="P144" s="717"/>
      <c r="Q144" s="24">
        <f t="shared" si="25"/>
        <v>1</v>
      </c>
      <c r="R144" s="713">
        <f t="shared" si="26"/>
        <v>0</v>
      </c>
      <c r="S144" s="358">
        <f t="shared" si="27"/>
        <v>0</v>
      </c>
    </row>
    <row r="145" spans="1:19">
      <c r="A145" s="156"/>
      <c r="B145" s="59"/>
      <c r="C145" s="24">
        <f t="shared" si="18"/>
        <v>1</v>
      </c>
      <c r="D145" s="717"/>
      <c r="E145" s="24">
        <f t="shared" si="19"/>
        <v>1</v>
      </c>
      <c r="F145" s="717"/>
      <c r="G145" s="24">
        <f t="shared" si="20"/>
        <v>1</v>
      </c>
      <c r="H145" s="717"/>
      <c r="I145" s="24">
        <f t="shared" si="21"/>
        <v>1</v>
      </c>
      <c r="J145" s="717"/>
      <c r="K145" s="24">
        <f t="shared" si="22"/>
        <v>1</v>
      </c>
      <c r="L145" s="717"/>
      <c r="M145" s="24">
        <f t="shared" si="23"/>
        <v>1</v>
      </c>
      <c r="N145" s="717"/>
      <c r="O145" s="24">
        <f t="shared" si="24"/>
        <v>1</v>
      </c>
      <c r="P145" s="717"/>
      <c r="Q145" s="24">
        <f t="shared" si="25"/>
        <v>1</v>
      </c>
      <c r="R145" s="713">
        <f t="shared" si="26"/>
        <v>0</v>
      </c>
      <c r="S145" s="358">
        <f t="shared" si="27"/>
        <v>0</v>
      </c>
    </row>
    <row r="146" spans="1:19">
      <c r="A146" s="156"/>
      <c r="B146" s="59"/>
      <c r="C146" s="24">
        <f t="shared" si="18"/>
        <v>1</v>
      </c>
      <c r="D146" s="717"/>
      <c r="E146" s="24">
        <f t="shared" si="19"/>
        <v>1</v>
      </c>
      <c r="F146" s="717"/>
      <c r="G146" s="24">
        <f t="shared" si="20"/>
        <v>1</v>
      </c>
      <c r="H146" s="717"/>
      <c r="I146" s="24">
        <f t="shared" si="21"/>
        <v>1</v>
      </c>
      <c r="J146" s="717"/>
      <c r="K146" s="24">
        <f t="shared" si="22"/>
        <v>1</v>
      </c>
      <c r="L146" s="717"/>
      <c r="M146" s="24">
        <f t="shared" si="23"/>
        <v>1</v>
      </c>
      <c r="N146" s="717"/>
      <c r="O146" s="24">
        <f t="shared" si="24"/>
        <v>1</v>
      </c>
      <c r="P146" s="717"/>
      <c r="Q146" s="24">
        <f t="shared" si="25"/>
        <v>1</v>
      </c>
      <c r="R146" s="713">
        <f t="shared" si="26"/>
        <v>0</v>
      </c>
      <c r="S146" s="358">
        <f t="shared" si="27"/>
        <v>0</v>
      </c>
    </row>
    <row r="147" spans="1:19">
      <c r="A147" s="156"/>
      <c r="B147" s="59"/>
      <c r="C147" s="24">
        <f t="shared" si="18"/>
        <v>1</v>
      </c>
      <c r="D147" s="717"/>
      <c r="E147" s="24">
        <f t="shared" si="19"/>
        <v>1</v>
      </c>
      <c r="F147" s="717"/>
      <c r="G147" s="24">
        <f t="shared" si="20"/>
        <v>1</v>
      </c>
      <c r="H147" s="717"/>
      <c r="I147" s="24">
        <f t="shared" si="21"/>
        <v>1</v>
      </c>
      <c r="J147" s="717"/>
      <c r="K147" s="24">
        <f t="shared" si="22"/>
        <v>1</v>
      </c>
      <c r="L147" s="717"/>
      <c r="M147" s="24">
        <f t="shared" si="23"/>
        <v>1</v>
      </c>
      <c r="N147" s="717"/>
      <c r="O147" s="24">
        <f t="shared" si="24"/>
        <v>1</v>
      </c>
      <c r="P147" s="717"/>
      <c r="Q147" s="24">
        <f t="shared" si="25"/>
        <v>1</v>
      </c>
      <c r="R147" s="713">
        <f t="shared" si="26"/>
        <v>0</v>
      </c>
      <c r="S147" s="358">
        <f t="shared" si="27"/>
        <v>0</v>
      </c>
    </row>
    <row r="148" spans="1:19">
      <c r="A148" s="156"/>
      <c r="B148" s="59"/>
      <c r="C148" s="24">
        <f t="shared" si="18"/>
        <v>1</v>
      </c>
      <c r="D148" s="717"/>
      <c r="E148" s="24">
        <f t="shared" si="19"/>
        <v>1</v>
      </c>
      <c r="F148" s="717"/>
      <c r="G148" s="24">
        <f t="shared" si="20"/>
        <v>1</v>
      </c>
      <c r="H148" s="717"/>
      <c r="I148" s="24">
        <f t="shared" si="21"/>
        <v>1</v>
      </c>
      <c r="J148" s="717"/>
      <c r="K148" s="24">
        <f t="shared" si="22"/>
        <v>1</v>
      </c>
      <c r="L148" s="717"/>
      <c r="M148" s="24">
        <f t="shared" si="23"/>
        <v>1</v>
      </c>
      <c r="N148" s="717"/>
      <c r="O148" s="24">
        <f t="shared" si="24"/>
        <v>1</v>
      </c>
      <c r="P148" s="717"/>
      <c r="Q148" s="24">
        <f t="shared" si="25"/>
        <v>1</v>
      </c>
      <c r="R148" s="713">
        <f t="shared" si="26"/>
        <v>0</v>
      </c>
      <c r="S148" s="358">
        <f t="shared" si="27"/>
        <v>0</v>
      </c>
    </row>
    <row r="149" spans="1:19">
      <c r="A149" s="156"/>
      <c r="B149" s="59"/>
      <c r="C149" s="24">
        <f t="shared" si="18"/>
        <v>1</v>
      </c>
      <c r="D149" s="717"/>
      <c r="E149" s="24">
        <f t="shared" si="19"/>
        <v>1</v>
      </c>
      <c r="F149" s="717"/>
      <c r="G149" s="24">
        <f t="shared" si="20"/>
        <v>1</v>
      </c>
      <c r="H149" s="717"/>
      <c r="I149" s="24">
        <f t="shared" si="21"/>
        <v>1</v>
      </c>
      <c r="J149" s="717"/>
      <c r="K149" s="24">
        <f t="shared" si="22"/>
        <v>1</v>
      </c>
      <c r="L149" s="717"/>
      <c r="M149" s="24">
        <f t="shared" si="23"/>
        <v>1</v>
      </c>
      <c r="N149" s="717"/>
      <c r="O149" s="24">
        <f t="shared" si="24"/>
        <v>1</v>
      </c>
      <c r="P149" s="717"/>
      <c r="Q149" s="24">
        <f t="shared" si="25"/>
        <v>1</v>
      </c>
      <c r="R149" s="713">
        <f t="shared" si="26"/>
        <v>0</v>
      </c>
      <c r="S149" s="358">
        <f t="shared" si="27"/>
        <v>0</v>
      </c>
    </row>
    <row r="150" spans="1:19">
      <c r="A150" s="156"/>
      <c r="B150" s="59"/>
      <c r="C150" s="24">
        <f t="shared" si="18"/>
        <v>1</v>
      </c>
      <c r="D150" s="717"/>
      <c r="E150" s="24">
        <f t="shared" si="19"/>
        <v>1</v>
      </c>
      <c r="F150" s="717"/>
      <c r="G150" s="24">
        <f t="shared" si="20"/>
        <v>1</v>
      </c>
      <c r="H150" s="717"/>
      <c r="I150" s="24">
        <f t="shared" si="21"/>
        <v>1</v>
      </c>
      <c r="J150" s="717"/>
      <c r="K150" s="24">
        <f t="shared" si="22"/>
        <v>1</v>
      </c>
      <c r="L150" s="717"/>
      <c r="M150" s="24">
        <f t="shared" si="23"/>
        <v>1</v>
      </c>
      <c r="N150" s="717"/>
      <c r="O150" s="24">
        <f t="shared" si="24"/>
        <v>1</v>
      </c>
      <c r="P150" s="717"/>
      <c r="Q150" s="24">
        <f t="shared" si="25"/>
        <v>1</v>
      </c>
      <c r="R150" s="713">
        <f t="shared" si="26"/>
        <v>0</v>
      </c>
      <c r="S150" s="358">
        <f t="shared" si="27"/>
        <v>0</v>
      </c>
    </row>
    <row r="151" spans="1:19">
      <c r="A151" s="156"/>
      <c r="B151" s="59"/>
      <c r="C151" s="24">
        <f t="shared" si="18"/>
        <v>1</v>
      </c>
      <c r="D151" s="717"/>
      <c r="E151" s="24">
        <f t="shared" si="19"/>
        <v>1</v>
      </c>
      <c r="F151" s="717"/>
      <c r="G151" s="24">
        <f t="shared" si="20"/>
        <v>1</v>
      </c>
      <c r="H151" s="717"/>
      <c r="I151" s="24">
        <f t="shared" si="21"/>
        <v>1</v>
      </c>
      <c r="J151" s="717"/>
      <c r="K151" s="24">
        <f t="shared" si="22"/>
        <v>1</v>
      </c>
      <c r="L151" s="717"/>
      <c r="M151" s="24">
        <f t="shared" si="23"/>
        <v>1</v>
      </c>
      <c r="N151" s="717"/>
      <c r="O151" s="24">
        <f t="shared" si="24"/>
        <v>1</v>
      </c>
      <c r="P151" s="717"/>
      <c r="Q151" s="24">
        <f t="shared" si="25"/>
        <v>1</v>
      </c>
      <c r="R151" s="713">
        <f t="shared" si="26"/>
        <v>0</v>
      </c>
      <c r="S151" s="358">
        <f t="shared" si="27"/>
        <v>0</v>
      </c>
    </row>
    <row r="152" spans="1:19">
      <c r="A152" s="156"/>
      <c r="B152" s="59"/>
      <c r="C152" s="24">
        <f t="shared" si="18"/>
        <v>1</v>
      </c>
      <c r="D152" s="717"/>
      <c r="E152" s="24">
        <f t="shared" si="19"/>
        <v>1</v>
      </c>
      <c r="F152" s="717"/>
      <c r="G152" s="24">
        <f t="shared" si="20"/>
        <v>1</v>
      </c>
      <c r="H152" s="717"/>
      <c r="I152" s="24">
        <f t="shared" si="21"/>
        <v>1</v>
      </c>
      <c r="J152" s="717"/>
      <c r="K152" s="24">
        <f t="shared" si="22"/>
        <v>1</v>
      </c>
      <c r="L152" s="717"/>
      <c r="M152" s="24">
        <f t="shared" si="23"/>
        <v>1</v>
      </c>
      <c r="N152" s="717"/>
      <c r="O152" s="24">
        <f t="shared" si="24"/>
        <v>1</v>
      </c>
      <c r="P152" s="717"/>
      <c r="Q152" s="24">
        <f t="shared" si="25"/>
        <v>1</v>
      </c>
      <c r="R152" s="713">
        <f t="shared" si="26"/>
        <v>0</v>
      </c>
      <c r="S152" s="358">
        <f t="shared" si="27"/>
        <v>0</v>
      </c>
    </row>
    <row r="153" spans="1:19">
      <c r="A153" s="156"/>
      <c r="B153" s="59"/>
      <c r="C153" s="24">
        <f t="shared" si="18"/>
        <v>1</v>
      </c>
      <c r="D153" s="717"/>
      <c r="E153" s="24">
        <f t="shared" si="19"/>
        <v>1</v>
      </c>
      <c r="F153" s="717"/>
      <c r="G153" s="24">
        <f t="shared" si="20"/>
        <v>1</v>
      </c>
      <c r="H153" s="717"/>
      <c r="I153" s="24">
        <f t="shared" si="21"/>
        <v>1</v>
      </c>
      <c r="J153" s="717"/>
      <c r="K153" s="24">
        <f t="shared" si="22"/>
        <v>1</v>
      </c>
      <c r="L153" s="717"/>
      <c r="M153" s="24">
        <f t="shared" si="23"/>
        <v>1</v>
      </c>
      <c r="N153" s="717"/>
      <c r="O153" s="24">
        <f t="shared" si="24"/>
        <v>1</v>
      </c>
      <c r="P153" s="717"/>
      <c r="Q153" s="24">
        <f t="shared" si="25"/>
        <v>1</v>
      </c>
      <c r="R153" s="713">
        <f t="shared" si="26"/>
        <v>0</v>
      </c>
      <c r="S153" s="358">
        <f t="shared" si="27"/>
        <v>0</v>
      </c>
    </row>
    <row r="154" spans="1:19">
      <c r="A154" s="156"/>
      <c r="B154" s="59"/>
      <c r="C154" s="24">
        <f t="shared" ref="C154:C217" si="28">IF(B154="",1,(LOOKUP(B154,$3:$3,$4:$4)-LOOKUP($B$24,$3:$3,$4:$4)+100)/100)</f>
        <v>1</v>
      </c>
      <c r="D154" s="717"/>
      <c r="E154" s="24">
        <f t="shared" ref="E154:E217" si="29">(SUMIF($5:$5,D154,$6:$6)-SUMIF($5:$5,$D$24,$6:$6)+100)/100</f>
        <v>1</v>
      </c>
      <c r="F154" s="717"/>
      <c r="G154" s="24">
        <f t="shared" ref="G154:G217" si="30">(SUMIF($7:$7,F154,$8:$8)-SUMIF($7:$7,$F$24,$8:$8)+100)/100</f>
        <v>1</v>
      </c>
      <c r="H154" s="717"/>
      <c r="I154" s="24">
        <f t="shared" ref="I154:I217" si="31">(SUMIF($9:$9,H154,$10:$10)-SUMIF($9:$9,$H$24,$10:$10)+100)/100</f>
        <v>1</v>
      </c>
      <c r="J154" s="717"/>
      <c r="K154" s="24">
        <f t="shared" ref="K154:K217" si="32">(SUMIF($11:$11,J154,$12:$12)-SUMIF($11:$11,$J$24,$12:$12)+100)/100</f>
        <v>1</v>
      </c>
      <c r="L154" s="717"/>
      <c r="M154" s="24">
        <f t="shared" ref="M154:M217" si="33">(SUMIF($13:$13,L154,$14:$14)-SUMIF($13:$13,$L$24,$14:$14)+100)/100</f>
        <v>1</v>
      </c>
      <c r="N154" s="717"/>
      <c r="O154" s="24">
        <f t="shared" ref="O154:O217" si="34">(SUMIF($15:$15,N154,$16:$16)-SUMIF($15:$15,$N$24,$16:$16)+100)/100</f>
        <v>1</v>
      </c>
      <c r="P154" s="717"/>
      <c r="Q154" s="24">
        <f t="shared" ref="Q154:Q217" si="35">(SUMIF($17:$17,P154,$18:$18)-SUMIF($17:$17,$P$24,$18:$18)+100)/100</f>
        <v>1</v>
      </c>
      <c r="R154" s="713">
        <f t="shared" ref="R154:R217" si="36">IF(B154="",0,ROUND($R$24*C154*E154*G154*I154*K154*M154*O154*Q154,0))</f>
        <v>0</v>
      </c>
      <c r="S154" s="358">
        <f t="shared" si="27"/>
        <v>0</v>
      </c>
    </row>
    <row r="155" spans="1:19">
      <c r="A155" s="156"/>
      <c r="B155" s="59"/>
      <c r="C155" s="24">
        <f t="shared" si="28"/>
        <v>1</v>
      </c>
      <c r="D155" s="717"/>
      <c r="E155" s="24">
        <f t="shared" si="29"/>
        <v>1</v>
      </c>
      <c r="F155" s="717"/>
      <c r="G155" s="24">
        <f t="shared" si="30"/>
        <v>1</v>
      </c>
      <c r="H155" s="717"/>
      <c r="I155" s="24">
        <f t="shared" si="31"/>
        <v>1</v>
      </c>
      <c r="J155" s="717"/>
      <c r="K155" s="24">
        <f t="shared" si="32"/>
        <v>1</v>
      </c>
      <c r="L155" s="717"/>
      <c r="M155" s="24">
        <f t="shared" si="33"/>
        <v>1</v>
      </c>
      <c r="N155" s="717"/>
      <c r="O155" s="24">
        <f t="shared" si="34"/>
        <v>1</v>
      </c>
      <c r="P155" s="717"/>
      <c r="Q155" s="24">
        <f t="shared" si="35"/>
        <v>1</v>
      </c>
      <c r="R155" s="713">
        <f t="shared" si="36"/>
        <v>0</v>
      </c>
      <c r="S155" s="358">
        <f t="shared" si="27"/>
        <v>0</v>
      </c>
    </row>
    <row r="156" spans="1:19">
      <c r="A156" s="156"/>
      <c r="B156" s="59"/>
      <c r="C156" s="24">
        <f t="shared" si="28"/>
        <v>1</v>
      </c>
      <c r="D156" s="717"/>
      <c r="E156" s="24">
        <f t="shared" si="29"/>
        <v>1</v>
      </c>
      <c r="F156" s="717"/>
      <c r="G156" s="24">
        <f t="shared" si="30"/>
        <v>1</v>
      </c>
      <c r="H156" s="717"/>
      <c r="I156" s="24">
        <f t="shared" si="31"/>
        <v>1</v>
      </c>
      <c r="J156" s="717"/>
      <c r="K156" s="24">
        <f t="shared" si="32"/>
        <v>1</v>
      </c>
      <c r="L156" s="717"/>
      <c r="M156" s="24">
        <f t="shared" si="33"/>
        <v>1</v>
      </c>
      <c r="N156" s="717"/>
      <c r="O156" s="24">
        <f t="shared" si="34"/>
        <v>1</v>
      </c>
      <c r="P156" s="717"/>
      <c r="Q156" s="24">
        <f t="shared" si="35"/>
        <v>1</v>
      </c>
      <c r="R156" s="713">
        <f t="shared" si="36"/>
        <v>0</v>
      </c>
      <c r="S156" s="358">
        <f t="shared" si="27"/>
        <v>0</v>
      </c>
    </row>
    <row r="157" spans="1:19">
      <c r="A157" s="156"/>
      <c r="B157" s="59"/>
      <c r="C157" s="24">
        <f t="shared" si="28"/>
        <v>1</v>
      </c>
      <c r="D157" s="717"/>
      <c r="E157" s="24">
        <f t="shared" si="29"/>
        <v>1</v>
      </c>
      <c r="F157" s="717"/>
      <c r="G157" s="24">
        <f t="shared" si="30"/>
        <v>1</v>
      </c>
      <c r="H157" s="717"/>
      <c r="I157" s="24">
        <f t="shared" si="31"/>
        <v>1</v>
      </c>
      <c r="J157" s="717"/>
      <c r="K157" s="24">
        <f t="shared" si="32"/>
        <v>1</v>
      </c>
      <c r="L157" s="717"/>
      <c r="M157" s="24">
        <f t="shared" si="33"/>
        <v>1</v>
      </c>
      <c r="N157" s="717"/>
      <c r="O157" s="24">
        <f t="shared" si="34"/>
        <v>1</v>
      </c>
      <c r="P157" s="717"/>
      <c r="Q157" s="24">
        <f t="shared" si="35"/>
        <v>1</v>
      </c>
      <c r="R157" s="713">
        <f t="shared" si="36"/>
        <v>0</v>
      </c>
      <c r="S157" s="358">
        <f t="shared" si="27"/>
        <v>0</v>
      </c>
    </row>
    <row r="158" spans="1:19">
      <c r="A158" s="156"/>
      <c r="B158" s="59"/>
      <c r="C158" s="24">
        <f t="shared" si="28"/>
        <v>1</v>
      </c>
      <c r="D158" s="717"/>
      <c r="E158" s="24">
        <f t="shared" si="29"/>
        <v>1</v>
      </c>
      <c r="F158" s="717"/>
      <c r="G158" s="24">
        <f t="shared" si="30"/>
        <v>1</v>
      </c>
      <c r="H158" s="717"/>
      <c r="I158" s="24">
        <f t="shared" si="31"/>
        <v>1</v>
      </c>
      <c r="J158" s="717"/>
      <c r="K158" s="24">
        <f t="shared" si="32"/>
        <v>1</v>
      </c>
      <c r="L158" s="717"/>
      <c r="M158" s="24">
        <f t="shared" si="33"/>
        <v>1</v>
      </c>
      <c r="N158" s="717"/>
      <c r="O158" s="24">
        <f t="shared" si="34"/>
        <v>1</v>
      </c>
      <c r="P158" s="717"/>
      <c r="Q158" s="24">
        <f t="shared" si="35"/>
        <v>1</v>
      </c>
      <c r="R158" s="713">
        <f t="shared" si="36"/>
        <v>0</v>
      </c>
      <c r="S158" s="358">
        <f t="shared" si="27"/>
        <v>0</v>
      </c>
    </row>
    <row r="159" spans="1:19">
      <c r="A159" s="156"/>
      <c r="B159" s="59"/>
      <c r="C159" s="24">
        <f t="shared" si="28"/>
        <v>1</v>
      </c>
      <c r="D159" s="717"/>
      <c r="E159" s="24">
        <f t="shared" si="29"/>
        <v>1</v>
      </c>
      <c r="F159" s="717"/>
      <c r="G159" s="24">
        <f t="shared" si="30"/>
        <v>1</v>
      </c>
      <c r="H159" s="717"/>
      <c r="I159" s="24">
        <f t="shared" si="31"/>
        <v>1</v>
      </c>
      <c r="J159" s="717"/>
      <c r="K159" s="24">
        <f t="shared" si="32"/>
        <v>1</v>
      </c>
      <c r="L159" s="717"/>
      <c r="M159" s="24">
        <f t="shared" si="33"/>
        <v>1</v>
      </c>
      <c r="N159" s="717"/>
      <c r="O159" s="24">
        <f t="shared" si="34"/>
        <v>1</v>
      </c>
      <c r="P159" s="717"/>
      <c r="Q159" s="24">
        <f t="shared" si="35"/>
        <v>1</v>
      </c>
      <c r="R159" s="713">
        <f t="shared" si="36"/>
        <v>0</v>
      </c>
      <c r="S159" s="358">
        <f t="shared" si="27"/>
        <v>0</v>
      </c>
    </row>
    <row r="160" spans="1:19">
      <c r="A160" s="156"/>
      <c r="B160" s="59"/>
      <c r="C160" s="24">
        <f t="shared" si="28"/>
        <v>1</v>
      </c>
      <c r="D160" s="717"/>
      <c r="E160" s="24">
        <f t="shared" si="29"/>
        <v>1</v>
      </c>
      <c r="F160" s="717"/>
      <c r="G160" s="24">
        <f t="shared" si="30"/>
        <v>1</v>
      </c>
      <c r="H160" s="717"/>
      <c r="I160" s="24">
        <f t="shared" si="31"/>
        <v>1</v>
      </c>
      <c r="J160" s="717"/>
      <c r="K160" s="24">
        <f t="shared" si="32"/>
        <v>1</v>
      </c>
      <c r="L160" s="717"/>
      <c r="M160" s="24">
        <f t="shared" si="33"/>
        <v>1</v>
      </c>
      <c r="N160" s="717"/>
      <c r="O160" s="24">
        <f t="shared" si="34"/>
        <v>1</v>
      </c>
      <c r="P160" s="717"/>
      <c r="Q160" s="24">
        <f t="shared" si="35"/>
        <v>1</v>
      </c>
      <c r="R160" s="713">
        <f t="shared" si="36"/>
        <v>0</v>
      </c>
      <c r="S160" s="358">
        <f t="shared" si="27"/>
        <v>0</v>
      </c>
    </row>
    <row r="161" spans="1:19">
      <c r="A161" s="156"/>
      <c r="B161" s="59"/>
      <c r="C161" s="24">
        <f t="shared" si="28"/>
        <v>1</v>
      </c>
      <c r="D161" s="717"/>
      <c r="E161" s="24">
        <f t="shared" si="29"/>
        <v>1</v>
      </c>
      <c r="F161" s="717"/>
      <c r="G161" s="24">
        <f t="shared" si="30"/>
        <v>1</v>
      </c>
      <c r="H161" s="717"/>
      <c r="I161" s="24">
        <f t="shared" si="31"/>
        <v>1</v>
      </c>
      <c r="J161" s="717"/>
      <c r="K161" s="24">
        <f t="shared" si="32"/>
        <v>1</v>
      </c>
      <c r="L161" s="717"/>
      <c r="M161" s="24">
        <f t="shared" si="33"/>
        <v>1</v>
      </c>
      <c r="N161" s="717"/>
      <c r="O161" s="24">
        <f t="shared" si="34"/>
        <v>1</v>
      </c>
      <c r="P161" s="717"/>
      <c r="Q161" s="24">
        <f t="shared" si="35"/>
        <v>1</v>
      </c>
      <c r="R161" s="713">
        <f t="shared" si="36"/>
        <v>0</v>
      </c>
      <c r="S161" s="358">
        <f t="shared" si="27"/>
        <v>0</v>
      </c>
    </row>
    <row r="162" spans="1:19">
      <c r="A162" s="156"/>
      <c r="B162" s="59"/>
      <c r="C162" s="24">
        <f t="shared" si="28"/>
        <v>1</v>
      </c>
      <c r="D162" s="717"/>
      <c r="E162" s="24">
        <f t="shared" si="29"/>
        <v>1</v>
      </c>
      <c r="F162" s="717"/>
      <c r="G162" s="24">
        <f t="shared" si="30"/>
        <v>1</v>
      </c>
      <c r="H162" s="717"/>
      <c r="I162" s="24">
        <f t="shared" si="31"/>
        <v>1</v>
      </c>
      <c r="J162" s="717"/>
      <c r="K162" s="24">
        <f t="shared" si="32"/>
        <v>1</v>
      </c>
      <c r="L162" s="717"/>
      <c r="M162" s="24">
        <f t="shared" si="33"/>
        <v>1</v>
      </c>
      <c r="N162" s="717"/>
      <c r="O162" s="24">
        <f t="shared" si="34"/>
        <v>1</v>
      </c>
      <c r="P162" s="717"/>
      <c r="Q162" s="24">
        <f t="shared" si="35"/>
        <v>1</v>
      </c>
      <c r="R162" s="713">
        <f t="shared" si="36"/>
        <v>0</v>
      </c>
      <c r="S162" s="358">
        <f t="shared" si="27"/>
        <v>0</v>
      </c>
    </row>
    <row r="163" spans="1:19">
      <c r="A163" s="156"/>
      <c r="B163" s="59"/>
      <c r="C163" s="24">
        <f t="shared" si="28"/>
        <v>1</v>
      </c>
      <c r="D163" s="717"/>
      <c r="E163" s="24">
        <f t="shared" si="29"/>
        <v>1</v>
      </c>
      <c r="F163" s="717"/>
      <c r="G163" s="24">
        <f t="shared" si="30"/>
        <v>1</v>
      </c>
      <c r="H163" s="717"/>
      <c r="I163" s="24">
        <f t="shared" si="31"/>
        <v>1</v>
      </c>
      <c r="J163" s="717"/>
      <c r="K163" s="24">
        <f t="shared" si="32"/>
        <v>1</v>
      </c>
      <c r="L163" s="717"/>
      <c r="M163" s="24">
        <f t="shared" si="33"/>
        <v>1</v>
      </c>
      <c r="N163" s="717"/>
      <c r="O163" s="24">
        <f t="shared" si="34"/>
        <v>1</v>
      </c>
      <c r="P163" s="717"/>
      <c r="Q163" s="24">
        <f t="shared" si="35"/>
        <v>1</v>
      </c>
      <c r="R163" s="713">
        <f t="shared" si="36"/>
        <v>0</v>
      </c>
      <c r="S163" s="358">
        <f t="shared" si="27"/>
        <v>0</v>
      </c>
    </row>
    <row r="164" spans="1:19">
      <c r="A164" s="156"/>
      <c r="B164" s="59"/>
      <c r="C164" s="24">
        <f t="shared" si="28"/>
        <v>1</v>
      </c>
      <c r="D164" s="717"/>
      <c r="E164" s="24">
        <f t="shared" si="29"/>
        <v>1</v>
      </c>
      <c r="F164" s="717"/>
      <c r="G164" s="24">
        <f t="shared" si="30"/>
        <v>1</v>
      </c>
      <c r="H164" s="717"/>
      <c r="I164" s="24">
        <f t="shared" si="31"/>
        <v>1</v>
      </c>
      <c r="J164" s="717"/>
      <c r="K164" s="24">
        <f t="shared" si="32"/>
        <v>1</v>
      </c>
      <c r="L164" s="717"/>
      <c r="M164" s="24">
        <f t="shared" si="33"/>
        <v>1</v>
      </c>
      <c r="N164" s="717"/>
      <c r="O164" s="24">
        <f t="shared" si="34"/>
        <v>1</v>
      </c>
      <c r="P164" s="717"/>
      <c r="Q164" s="24">
        <f t="shared" si="35"/>
        <v>1</v>
      </c>
      <c r="R164" s="713">
        <f t="shared" si="36"/>
        <v>0</v>
      </c>
      <c r="S164" s="358">
        <f t="shared" si="27"/>
        <v>0</v>
      </c>
    </row>
    <row r="165" spans="1:19">
      <c r="A165" s="156"/>
      <c r="B165" s="59"/>
      <c r="C165" s="24">
        <f t="shared" si="28"/>
        <v>1</v>
      </c>
      <c r="D165" s="717"/>
      <c r="E165" s="24">
        <f t="shared" si="29"/>
        <v>1</v>
      </c>
      <c r="F165" s="717"/>
      <c r="G165" s="24">
        <f t="shared" si="30"/>
        <v>1</v>
      </c>
      <c r="H165" s="717"/>
      <c r="I165" s="24">
        <f t="shared" si="31"/>
        <v>1</v>
      </c>
      <c r="J165" s="717"/>
      <c r="K165" s="24">
        <f t="shared" si="32"/>
        <v>1</v>
      </c>
      <c r="L165" s="717"/>
      <c r="M165" s="24">
        <f t="shared" si="33"/>
        <v>1</v>
      </c>
      <c r="N165" s="717"/>
      <c r="O165" s="24">
        <f t="shared" si="34"/>
        <v>1</v>
      </c>
      <c r="P165" s="717"/>
      <c r="Q165" s="24">
        <f t="shared" si="35"/>
        <v>1</v>
      </c>
      <c r="R165" s="713">
        <f t="shared" si="36"/>
        <v>0</v>
      </c>
      <c r="S165" s="358">
        <f t="shared" si="27"/>
        <v>0</v>
      </c>
    </row>
    <row r="166" spans="1:19">
      <c r="A166" s="156"/>
      <c r="B166" s="59"/>
      <c r="C166" s="24">
        <f t="shared" si="28"/>
        <v>1</v>
      </c>
      <c r="D166" s="717"/>
      <c r="E166" s="24">
        <f t="shared" si="29"/>
        <v>1</v>
      </c>
      <c r="F166" s="717"/>
      <c r="G166" s="24">
        <f t="shared" si="30"/>
        <v>1</v>
      </c>
      <c r="H166" s="717"/>
      <c r="I166" s="24">
        <f t="shared" si="31"/>
        <v>1</v>
      </c>
      <c r="J166" s="717"/>
      <c r="K166" s="24">
        <f t="shared" si="32"/>
        <v>1</v>
      </c>
      <c r="L166" s="717"/>
      <c r="M166" s="24">
        <f t="shared" si="33"/>
        <v>1</v>
      </c>
      <c r="N166" s="717"/>
      <c r="O166" s="24">
        <f t="shared" si="34"/>
        <v>1</v>
      </c>
      <c r="P166" s="717"/>
      <c r="Q166" s="24">
        <f t="shared" si="35"/>
        <v>1</v>
      </c>
      <c r="R166" s="713">
        <f t="shared" si="36"/>
        <v>0</v>
      </c>
      <c r="S166" s="358">
        <f t="shared" si="27"/>
        <v>0</v>
      </c>
    </row>
    <row r="167" spans="1:19">
      <c r="A167" s="156"/>
      <c r="B167" s="59"/>
      <c r="C167" s="24">
        <f t="shared" si="28"/>
        <v>1</v>
      </c>
      <c r="D167" s="717"/>
      <c r="E167" s="24">
        <f t="shared" si="29"/>
        <v>1</v>
      </c>
      <c r="F167" s="717"/>
      <c r="G167" s="24">
        <f t="shared" si="30"/>
        <v>1</v>
      </c>
      <c r="H167" s="717"/>
      <c r="I167" s="24">
        <f t="shared" si="31"/>
        <v>1</v>
      </c>
      <c r="J167" s="717"/>
      <c r="K167" s="24">
        <f t="shared" si="32"/>
        <v>1</v>
      </c>
      <c r="L167" s="717"/>
      <c r="M167" s="24">
        <f t="shared" si="33"/>
        <v>1</v>
      </c>
      <c r="N167" s="717"/>
      <c r="O167" s="24">
        <f t="shared" si="34"/>
        <v>1</v>
      </c>
      <c r="P167" s="717"/>
      <c r="Q167" s="24">
        <f t="shared" si="35"/>
        <v>1</v>
      </c>
      <c r="R167" s="713">
        <f t="shared" si="36"/>
        <v>0</v>
      </c>
      <c r="S167" s="358">
        <f t="shared" si="27"/>
        <v>0</v>
      </c>
    </row>
    <row r="168" spans="1:19">
      <c r="A168" s="156"/>
      <c r="B168" s="59"/>
      <c r="C168" s="24">
        <f t="shared" si="28"/>
        <v>1</v>
      </c>
      <c r="D168" s="717"/>
      <c r="E168" s="24">
        <f t="shared" si="29"/>
        <v>1</v>
      </c>
      <c r="F168" s="717"/>
      <c r="G168" s="24">
        <f t="shared" si="30"/>
        <v>1</v>
      </c>
      <c r="H168" s="717"/>
      <c r="I168" s="24">
        <f t="shared" si="31"/>
        <v>1</v>
      </c>
      <c r="J168" s="717"/>
      <c r="K168" s="24">
        <f t="shared" si="32"/>
        <v>1</v>
      </c>
      <c r="L168" s="717"/>
      <c r="M168" s="24">
        <f t="shared" si="33"/>
        <v>1</v>
      </c>
      <c r="N168" s="717"/>
      <c r="O168" s="24">
        <f t="shared" si="34"/>
        <v>1</v>
      </c>
      <c r="P168" s="717"/>
      <c r="Q168" s="24">
        <f t="shared" si="35"/>
        <v>1</v>
      </c>
      <c r="R168" s="713">
        <f t="shared" si="36"/>
        <v>0</v>
      </c>
      <c r="S168" s="358">
        <f t="shared" si="27"/>
        <v>0</v>
      </c>
    </row>
    <row r="169" spans="1:19">
      <c r="A169" s="156"/>
      <c r="B169" s="59"/>
      <c r="C169" s="24">
        <f t="shared" si="28"/>
        <v>1</v>
      </c>
      <c r="D169" s="717"/>
      <c r="E169" s="24">
        <f t="shared" si="29"/>
        <v>1</v>
      </c>
      <c r="F169" s="717"/>
      <c r="G169" s="24">
        <f t="shared" si="30"/>
        <v>1</v>
      </c>
      <c r="H169" s="717"/>
      <c r="I169" s="24">
        <f t="shared" si="31"/>
        <v>1</v>
      </c>
      <c r="J169" s="717"/>
      <c r="K169" s="24">
        <f t="shared" si="32"/>
        <v>1</v>
      </c>
      <c r="L169" s="717"/>
      <c r="M169" s="24">
        <f t="shared" si="33"/>
        <v>1</v>
      </c>
      <c r="N169" s="717"/>
      <c r="O169" s="24">
        <f t="shared" si="34"/>
        <v>1</v>
      </c>
      <c r="P169" s="717"/>
      <c r="Q169" s="24">
        <f t="shared" si="35"/>
        <v>1</v>
      </c>
      <c r="R169" s="713">
        <f t="shared" si="36"/>
        <v>0</v>
      </c>
      <c r="S169" s="358">
        <f t="shared" si="27"/>
        <v>0</v>
      </c>
    </row>
    <row r="170" spans="1:19">
      <c r="A170" s="156"/>
      <c r="B170" s="59"/>
      <c r="C170" s="24">
        <f t="shared" si="28"/>
        <v>1</v>
      </c>
      <c r="D170" s="717"/>
      <c r="E170" s="24">
        <f t="shared" si="29"/>
        <v>1</v>
      </c>
      <c r="F170" s="717"/>
      <c r="G170" s="24">
        <f t="shared" si="30"/>
        <v>1</v>
      </c>
      <c r="H170" s="717"/>
      <c r="I170" s="24">
        <f t="shared" si="31"/>
        <v>1</v>
      </c>
      <c r="J170" s="717"/>
      <c r="K170" s="24">
        <f t="shared" si="32"/>
        <v>1</v>
      </c>
      <c r="L170" s="717"/>
      <c r="M170" s="24">
        <f t="shared" si="33"/>
        <v>1</v>
      </c>
      <c r="N170" s="717"/>
      <c r="O170" s="24">
        <f t="shared" si="34"/>
        <v>1</v>
      </c>
      <c r="P170" s="717"/>
      <c r="Q170" s="24">
        <f t="shared" si="35"/>
        <v>1</v>
      </c>
      <c r="R170" s="713">
        <f t="shared" si="36"/>
        <v>0</v>
      </c>
      <c r="S170" s="358">
        <f t="shared" si="27"/>
        <v>0</v>
      </c>
    </row>
    <row r="171" spans="1:19">
      <c r="A171" s="156"/>
      <c r="B171" s="59"/>
      <c r="C171" s="24">
        <f t="shared" si="28"/>
        <v>1</v>
      </c>
      <c r="D171" s="717"/>
      <c r="E171" s="24">
        <f t="shared" si="29"/>
        <v>1</v>
      </c>
      <c r="F171" s="717"/>
      <c r="G171" s="24">
        <f t="shared" si="30"/>
        <v>1</v>
      </c>
      <c r="H171" s="717"/>
      <c r="I171" s="24">
        <f t="shared" si="31"/>
        <v>1</v>
      </c>
      <c r="J171" s="717"/>
      <c r="K171" s="24">
        <f t="shared" si="32"/>
        <v>1</v>
      </c>
      <c r="L171" s="717"/>
      <c r="M171" s="24">
        <f t="shared" si="33"/>
        <v>1</v>
      </c>
      <c r="N171" s="717"/>
      <c r="O171" s="24">
        <f t="shared" si="34"/>
        <v>1</v>
      </c>
      <c r="P171" s="717"/>
      <c r="Q171" s="24">
        <f t="shared" si="35"/>
        <v>1</v>
      </c>
      <c r="R171" s="713">
        <f t="shared" si="36"/>
        <v>0</v>
      </c>
      <c r="S171" s="358">
        <f t="shared" si="27"/>
        <v>0</v>
      </c>
    </row>
    <row r="172" spans="1:19">
      <c r="A172" s="156"/>
      <c r="B172" s="59"/>
      <c r="C172" s="24">
        <f t="shared" si="28"/>
        <v>1</v>
      </c>
      <c r="D172" s="717"/>
      <c r="E172" s="24">
        <f t="shared" si="29"/>
        <v>1</v>
      </c>
      <c r="F172" s="717"/>
      <c r="G172" s="24">
        <f t="shared" si="30"/>
        <v>1</v>
      </c>
      <c r="H172" s="717"/>
      <c r="I172" s="24">
        <f t="shared" si="31"/>
        <v>1</v>
      </c>
      <c r="J172" s="717"/>
      <c r="K172" s="24">
        <f t="shared" si="32"/>
        <v>1</v>
      </c>
      <c r="L172" s="717"/>
      <c r="M172" s="24">
        <f t="shared" si="33"/>
        <v>1</v>
      </c>
      <c r="N172" s="717"/>
      <c r="O172" s="24">
        <f t="shared" si="34"/>
        <v>1</v>
      </c>
      <c r="P172" s="717"/>
      <c r="Q172" s="24">
        <f t="shared" si="35"/>
        <v>1</v>
      </c>
      <c r="R172" s="713">
        <f t="shared" si="36"/>
        <v>0</v>
      </c>
      <c r="S172" s="358">
        <f t="shared" si="27"/>
        <v>0</v>
      </c>
    </row>
    <row r="173" spans="1:19">
      <c r="A173" s="156"/>
      <c r="B173" s="59"/>
      <c r="C173" s="24">
        <f t="shared" si="28"/>
        <v>1</v>
      </c>
      <c r="D173" s="717"/>
      <c r="E173" s="24">
        <f t="shared" si="29"/>
        <v>1</v>
      </c>
      <c r="F173" s="717"/>
      <c r="G173" s="24">
        <f t="shared" si="30"/>
        <v>1</v>
      </c>
      <c r="H173" s="717"/>
      <c r="I173" s="24">
        <f t="shared" si="31"/>
        <v>1</v>
      </c>
      <c r="J173" s="717"/>
      <c r="K173" s="24">
        <f t="shared" si="32"/>
        <v>1</v>
      </c>
      <c r="L173" s="717"/>
      <c r="M173" s="24">
        <f t="shared" si="33"/>
        <v>1</v>
      </c>
      <c r="N173" s="717"/>
      <c r="O173" s="24">
        <f t="shared" si="34"/>
        <v>1</v>
      </c>
      <c r="P173" s="717"/>
      <c r="Q173" s="24">
        <f t="shared" si="35"/>
        <v>1</v>
      </c>
      <c r="R173" s="713">
        <f t="shared" si="36"/>
        <v>0</v>
      </c>
      <c r="S173" s="358">
        <f t="shared" si="27"/>
        <v>0</v>
      </c>
    </row>
    <row r="174" spans="1:19">
      <c r="A174" s="156"/>
      <c r="B174" s="59"/>
      <c r="C174" s="24">
        <f t="shared" si="28"/>
        <v>1</v>
      </c>
      <c r="D174" s="717"/>
      <c r="E174" s="24">
        <f t="shared" si="29"/>
        <v>1</v>
      </c>
      <c r="F174" s="717"/>
      <c r="G174" s="24">
        <f t="shared" si="30"/>
        <v>1</v>
      </c>
      <c r="H174" s="717"/>
      <c r="I174" s="24">
        <f t="shared" si="31"/>
        <v>1</v>
      </c>
      <c r="J174" s="717"/>
      <c r="K174" s="24">
        <f t="shared" si="32"/>
        <v>1</v>
      </c>
      <c r="L174" s="717"/>
      <c r="M174" s="24">
        <f t="shared" si="33"/>
        <v>1</v>
      </c>
      <c r="N174" s="717"/>
      <c r="O174" s="24">
        <f t="shared" si="34"/>
        <v>1</v>
      </c>
      <c r="P174" s="717"/>
      <c r="Q174" s="24">
        <f t="shared" si="35"/>
        <v>1</v>
      </c>
      <c r="R174" s="713">
        <f t="shared" si="36"/>
        <v>0</v>
      </c>
      <c r="S174" s="358">
        <f t="shared" si="27"/>
        <v>0</v>
      </c>
    </row>
    <row r="175" spans="1:19">
      <c r="A175" s="156"/>
      <c r="B175" s="59"/>
      <c r="C175" s="24">
        <f t="shared" si="28"/>
        <v>1</v>
      </c>
      <c r="D175" s="717"/>
      <c r="E175" s="24">
        <f t="shared" si="29"/>
        <v>1</v>
      </c>
      <c r="F175" s="717"/>
      <c r="G175" s="24">
        <f t="shared" si="30"/>
        <v>1</v>
      </c>
      <c r="H175" s="717"/>
      <c r="I175" s="24">
        <f t="shared" si="31"/>
        <v>1</v>
      </c>
      <c r="J175" s="717"/>
      <c r="K175" s="24">
        <f t="shared" si="32"/>
        <v>1</v>
      </c>
      <c r="L175" s="717"/>
      <c r="M175" s="24">
        <f t="shared" si="33"/>
        <v>1</v>
      </c>
      <c r="N175" s="717"/>
      <c r="O175" s="24">
        <f t="shared" si="34"/>
        <v>1</v>
      </c>
      <c r="P175" s="717"/>
      <c r="Q175" s="24">
        <f t="shared" si="35"/>
        <v>1</v>
      </c>
      <c r="R175" s="713">
        <f t="shared" si="36"/>
        <v>0</v>
      </c>
      <c r="S175" s="358">
        <f t="shared" si="27"/>
        <v>0</v>
      </c>
    </row>
    <row r="176" spans="1:19">
      <c r="A176" s="156"/>
      <c r="B176" s="59"/>
      <c r="C176" s="24">
        <f t="shared" si="28"/>
        <v>1</v>
      </c>
      <c r="D176" s="717"/>
      <c r="E176" s="24">
        <f t="shared" si="29"/>
        <v>1</v>
      </c>
      <c r="F176" s="717"/>
      <c r="G176" s="24">
        <f t="shared" si="30"/>
        <v>1</v>
      </c>
      <c r="H176" s="717"/>
      <c r="I176" s="24">
        <f t="shared" si="31"/>
        <v>1</v>
      </c>
      <c r="J176" s="717"/>
      <c r="K176" s="24">
        <f t="shared" si="32"/>
        <v>1</v>
      </c>
      <c r="L176" s="717"/>
      <c r="M176" s="24">
        <f t="shared" si="33"/>
        <v>1</v>
      </c>
      <c r="N176" s="717"/>
      <c r="O176" s="24">
        <f t="shared" si="34"/>
        <v>1</v>
      </c>
      <c r="P176" s="717"/>
      <c r="Q176" s="24">
        <f t="shared" si="35"/>
        <v>1</v>
      </c>
      <c r="R176" s="713">
        <f t="shared" si="36"/>
        <v>0</v>
      </c>
      <c r="S176" s="358">
        <f t="shared" si="27"/>
        <v>0</v>
      </c>
    </row>
    <row r="177" spans="1:19">
      <c r="A177" s="156"/>
      <c r="B177" s="59"/>
      <c r="C177" s="24">
        <f t="shared" si="28"/>
        <v>1</v>
      </c>
      <c r="D177" s="717"/>
      <c r="E177" s="24">
        <f t="shared" si="29"/>
        <v>1</v>
      </c>
      <c r="F177" s="717"/>
      <c r="G177" s="24">
        <f t="shared" si="30"/>
        <v>1</v>
      </c>
      <c r="H177" s="717"/>
      <c r="I177" s="24">
        <f t="shared" si="31"/>
        <v>1</v>
      </c>
      <c r="J177" s="717"/>
      <c r="K177" s="24">
        <f t="shared" si="32"/>
        <v>1</v>
      </c>
      <c r="L177" s="717"/>
      <c r="M177" s="24">
        <f t="shared" si="33"/>
        <v>1</v>
      </c>
      <c r="N177" s="717"/>
      <c r="O177" s="24">
        <f t="shared" si="34"/>
        <v>1</v>
      </c>
      <c r="P177" s="717"/>
      <c r="Q177" s="24">
        <f t="shared" si="35"/>
        <v>1</v>
      </c>
      <c r="R177" s="713">
        <f t="shared" si="36"/>
        <v>0</v>
      </c>
      <c r="S177" s="358">
        <f t="shared" si="27"/>
        <v>0</v>
      </c>
    </row>
    <row r="178" spans="1:19">
      <c r="A178" s="156"/>
      <c r="B178" s="59"/>
      <c r="C178" s="24">
        <f t="shared" si="28"/>
        <v>1</v>
      </c>
      <c r="D178" s="717"/>
      <c r="E178" s="24">
        <f t="shared" si="29"/>
        <v>1</v>
      </c>
      <c r="F178" s="717"/>
      <c r="G178" s="24">
        <f t="shared" si="30"/>
        <v>1</v>
      </c>
      <c r="H178" s="717"/>
      <c r="I178" s="24">
        <f t="shared" si="31"/>
        <v>1</v>
      </c>
      <c r="J178" s="717"/>
      <c r="K178" s="24">
        <f t="shared" si="32"/>
        <v>1</v>
      </c>
      <c r="L178" s="717"/>
      <c r="M178" s="24">
        <f t="shared" si="33"/>
        <v>1</v>
      </c>
      <c r="N178" s="717"/>
      <c r="O178" s="24">
        <f t="shared" si="34"/>
        <v>1</v>
      </c>
      <c r="P178" s="717"/>
      <c r="Q178" s="24">
        <f t="shared" si="35"/>
        <v>1</v>
      </c>
      <c r="R178" s="713">
        <f t="shared" si="36"/>
        <v>0</v>
      </c>
      <c r="S178" s="358">
        <f t="shared" si="27"/>
        <v>0</v>
      </c>
    </row>
    <row r="179" spans="1:19">
      <c r="A179" s="156"/>
      <c r="B179" s="59"/>
      <c r="C179" s="24">
        <f t="shared" si="28"/>
        <v>1</v>
      </c>
      <c r="D179" s="717"/>
      <c r="E179" s="24">
        <f t="shared" si="29"/>
        <v>1</v>
      </c>
      <c r="F179" s="717"/>
      <c r="G179" s="24">
        <f t="shared" si="30"/>
        <v>1</v>
      </c>
      <c r="H179" s="717"/>
      <c r="I179" s="24">
        <f t="shared" si="31"/>
        <v>1</v>
      </c>
      <c r="J179" s="717"/>
      <c r="K179" s="24">
        <f t="shared" si="32"/>
        <v>1</v>
      </c>
      <c r="L179" s="717"/>
      <c r="M179" s="24">
        <f t="shared" si="33"/>
        <v>1</v>
      </c>
      <c r="N179" s="717"/>
      <c r="O179" s="24">
        <f t="shared" si="34"/>
        <v>1</v>
      </c>
      <c r="P179" s="717"/>
      <c r="Q179" s="24">
        <f t="shared" si="35"/>
        <v>1</v>
      </c>
      <c r="R179" s="713">
        <f t="shared" si="36"/>
        <v>0</v>
      </c>
      <c r="S179" s="358">
        <f t="shared" si="27"/>
        <v>0</v>
      </c>
    </row>
    <row r="180" spans="1:19">
      <c r="A180" s="156"/>
      <c r="B180" s="59"/>
      <c r="C180" s="24">
        <f t="shared" si="28"/>
        <v>1</v>
      </c>
      <c r="D180" s="717"/>
      <c r="E180" s="24">
        <f t="shared" si="29"/>
        <v>1</v>
      </c>
      <c r="F180" s="717"/>
      <c r="G180" s="24">
        <f t="shared" si="30"/>
        <v>1</v>
      </c>
      <c r="H180" s="717"/>
      <c r="I180" s="24">
        <f t="shared" si="31"/>
        <v>1</v>
      </c>
      <c r="J180" s="717"/>
      <c r="K180" s="24">
        <f t="shared" si="32"/>
        <v>1</v>
      </c>
      <c r="L180" s="717"/>
      <c r="M180" s="24">
        <f t="shared" si="33"/>
        <v>1</v>
      </c>
      <c r="N180" s="717"/>
      <c r="O180" s="24">
        <f t="shared" si="34"/>
        <v>1</v>
      </c>
      <c r="P180" s="717"/>
      <c r="Q180" s="24">
        <f t="shared" si="35"/>
        <v>1</v>
      </c>
      <c r="R180" s="713">
        <f t="shared" si="36"/>
        <v>0</v>
      </c>
      <c r="S180" s="358">
        <f t="shared" si="27"/>
        <v>0</v>
      </c>
    </row>
    <row r="181" spans="1:19">
      <c r="A181" s="156"/>
      <c r="B181" s="59"/>
      <c r="C181" s="24">
        <f t="shared" si="28"/>
        <v>1</v>
      </c>
      <c r="D181" s="717"/>
      <c r="E181" s="24">
        <f t="shared" si="29"/>
        <v>1</v>
      </c>
      <c r="F181" s="717"/>
      <c r="G181" s="24">
        <f t="shared" si="30"/>
        <v>1</v>
      </c>
      <c r="H181" s="717"/>
      <c r="I181" s="24">
        <f t="shared" si="31"/>
        <v>1</v>
      </c>
      <c r="J181" s="717"/>
      <c r="K181" s="24">
        <f t="shared" si="32"/>
        <v>1</v>
      </c>
      <c r="L181" s="717"/>
      <c r="M181" s="24">
        <f t="shared" si="33"/>
        <v>1</v>
      </c>
      <c r="N181" s="717"/>
      <c r="O181" s="24">
        <f t="shared" si="34"/>
        <v>1</v>
      </c>
      <c r="P181" s="717"/>
      <c r="Q181" s="24">
        <f t="shared" si="35"/>
        <v>1</v>
      </c>
      <c r="R181" s="713">
        <f t="shared" si="36"/>
        <v>0</v>
      </c>
      <c r="S181" s="358">
        <f t="shared" si="27"/>
        <v>0</v>
      </c>
    </row>
    <row r="182" spans="1:19">
      <c r="A182" s="156"/>
      <c r="B182" s="59"/>
      <c r="C182" s="24">
        <f t="shared" si="28"/>
        <v>1</v>
      </c>
      <c r="D182" s="717"/>
      <c r="E182" s="24">
        <f t="shared" si="29"/>
        <v>1</v>
      </c>
      <c r="F182" s="717"/>
      <c r="G182" s="24">
        <f t="shared" si="30"/>
        <v>1</v>
      </c>
      <c r="H182" s="717"/>
      <c r="I182" s="24">
        <f t="shared" si="31"/>
        <v>1</v>
      </c>
      <c r="J182" s="717"/>
      <c r="K182" s="24">
        <f t="shared" si="32"/>
        <v>1</v>
      </c>
      <c r="L182" s="717"/>
      <c r="M182" s="24">
        <f t="shared" si="33"/>
        <v>1</v>
      </c>
      <c r="N182" s="717"/>
      <c r="O182" s="24">
        <f t="shared" si="34"/>
        <v>1</v>
      </c>
      <c r="P182" s="717"/>
      <c r="Q182" s="24">
        <f t="shared" si="35"/>
        <v>1</v>
      </c>
      <c r="R182" s="713">
        <f t="shared" si="36"/>
        <v>0</v>
      </c>
      <c r="S182" s="358">
        <f t="shared" si="27"/>
        <v>0</v>
      </c>
    </row>
    <row r="183" spans="1:19">
      <c r="A183" s="156"/>
      <c r="B183" s="59"/>
      <c r="C183" s="24">
        <f t="shared" si="28"/>
        <v>1</v>
      </c>
      <c r="D183" s="717"/>
      <c r="E183" s="24">
        <f t="shared" si="29"/>
        <v>1</v>
      </c>
      <c r="F183" s="717"/>
      <c r="G183" s="24">
        <f t="shared" si="30"/>
        <v>1</v>
      </c>
      <c r="H183" s="717"/>
      <c r="I183" s="24">
        <f t="shared" si="31"/>
        <v>1</v>
      </c>
      <c r="J183" s="717"/>
      <c r="K183" s="24">
        <f t="shared" si="32"/>
        <v>1</v>
      </c>
      <c r="L183" s="717"/>
      <c r="M183" s="24">
        <f t="shared" si="33"/>
        <v>1</v>
      </c>
      <c r="N183" s="717"/>
      <c r="O183" s="24">
        <f t="shared" si="34"/>
        <v>1</v>
      </c>
      <c r="P183" s="717"/>
      <c r="Q183" s="24">
        <f t="shared" si="35"/>
        <v>1</v>
      </c>
      <c r="R183" s="713">
        <f t="shared" si="36"/>
        <v>0</v>
      </c>
      <c r="S183" s="358">
        <f t="shared" si="27"/>
        <v>0</v>
      </c>
    </row>
    <row r="184" spans="1:19">
      <c r="A184" s="156"/>
      <c r="B184" s="59"/>
      <c r="C184" s="24">
        <f t="shared" si="28"/>
        <v>1</v>
      </c>
      <c r="D184" s="717"/>
      <c r="E184" s="24">
        <f t="shared" si="29"/>
        <v>1</v>
      </c>
      <c r="F184" s="717"/>
      <c r="G184" s="24">
        <f t="shared" si="30"/>
        <v>1</v>
      </c>
      <c r="H184" s="717"/>
      <c r="I184" s="24">
        <f t="shared" si="31"/>
        <v>1</v>
      </c>
      <c r="J184" s="717"/>
      <c r="K184" s="24">
        <f t="shared" si="32"/>
        <v>1</v>
      </c>
      <c r="L184" s="717"/>
      <c r="M184" s="24">
        <f t="shared" si="33"/>
        <v>1</v>
      </c>
      <c r="N184" s="717"/>
      <c r="O184" s="24">
        <f t="shared" si="34"/>
        <v>1</v>
      </c>
      <c r="P184" s="717"/>
      <c r="Q184" s="24">
        <f t="shared" si="35"/>
        <v>1</v>
      </c>
      <c r="R184" s="713">
        <f t="shared" si="36"/>
        <v>0</v>
      </c>
      <c r="S184" s="358">
        <f t="shared" si="27"/>
        <v>0</v>
      </c>
    </row>
    <row r="185" spans="1:19">
      <c r="A185" s="156"/>
      <c r="B185" s="59"/>
      <c r="C185" s="24">
        <f t="shared" si="28"/>
        <v>1</v>
      </c>
      <c r="D185" s="717"/>
      <c r="E185" s="24">
        <f t="shared" si="29"/>
        <v>1</v>
      </c>
      <c r="F185" s="717"/>
      <c r="G185" s="24">
        <f t="shared" si="30"/>
        <v>1</v>
      </c>
      <c r="H185" s="717"/>
      <c r="I185" s="24">
        <f t="shared" si="31"/>
        <v>1</v>
      </c>
      <c r="J185" s="717"/>
      <c r="K185" s="24">
        <f t="shared" si="32"/>
        <v>1</v>
      </c>
      <c r="L185" s="717"/>
      <c r="M185" s="24">
        <f t="shared" si="33"/>
        <v>1</v>
      </c>
      <c r="N185" s="717"/>
      <c r="O185" s="24">
        <f t="shared" si="34"/>
        <v>1</v>
      </c>
      <c r="P185" s="717"/>
      <c r="Q185" s="24">
        <f t="shared" si="35"/>
        <v>1</v>
      </c>
      <c r="R185" s="713">
        <f t="shared" si="36"/>
        <v>0</v>
      </c>
      <c r="S185" s="358">
        <f t="shared" si="27"/>
        <v>0</v>
      </c>
    </row>
    <row r="186" spans="1:19">
      <c r="A186" s="156"/>
      <c r="B186" s="59"/>
      <c r="C186" s="24">
        <f t="shared" si="28"/>
        <v>1</v>
      </c>
      <c r="D186" s="717"/>
      <c r="E186" s="24">
        <f t="shared" si="29"/>
        <v>1</v>
      </c>
      <c r="F186" s="717"/>
      <c r="G186" s="24">
        <f t="shared" si="30"/>
        <v>1</v>
      </c>
      <c r="H186" s="717"/>
      <c r="I186" s="24">
        <f t="shared" si="31"/>
        <v>1</v>
      </c>
      <c r="J186" s="717"/>
      <c r="K186" s="24">
        <f t="shared" si="32"/>
        <v>1</v>
      </c>
      <c r="L186" s="717"/>
      <c r="M186" s="24">
        <f t="shared" si="33"/>
        <v>1</v>
      </c>
      <c r="N186" s="717"/>
      <c r="O186" s="24">
        <f t="shared" si="34"/>
        <v>1</v>
      </c>
      <c r="P186" s="717"/>
      <c r="Q186" s="24">
        <f t="shared" si="35"/>
        <v>1</v>
      </c>
      <c r="R186" s="713">
        <f t="shared" si="36"/>
        <v>0</v>
      </c>
      <c r="S186" s="358">
        <f t="shared" si="27"/>
        <v>0</v>
      </c>
    </row>
    <row r="187" spans="1:19">
      <c r="A187" s="156"/>
      <c r="B187" s="59"/>
      <c r="C187" s="24">
        <f t="shared" si="28"/>
        <v>1</v>
      </c>
      <c r="D187" s="717"/>
      <c r="E187" s="24">
        <f t="shared" si="29"/>
        <v>1</v>
      </c>
      <c r="F187" s="717"/>
      <c r="G187" s="24">
        <f t="shared" si="30"/>
        <v>1</v>
      </c>
      <c r="H187" s="717"/>
      <c r="I187" s="24">
        <f t="shared" si="31"/>
        <v>1</v>
      </c>
      <c r="J187" s="717"/>
      <c r="K187" s="24">
        <f t="shared" si="32"/>
        <v>1</v>
      </c>
      <c r="L187" s="717"/>
      <c r="M187" s="24">
        <f t="shared" si="33"/>
        <v>1</v>
      </c>
      <c r="N187" s="717"/>
      <c r="O187" s="24">
        <f t="shared" si="34"/>
        <v>1</v>
      </c>
      <c r="P187" s="717"/>
      <c r="Q187" s="24">
        <f t="shared" si="35"/>
        <v>1</v>
      </c>
      <c r="R187" s="713">
        <f t="shared" si="36"/>
        <v>0</v>
      </c>
      <c r="S187" s="358">
        <f t="shared" ref="S187:S222" si="37">ROUND(R187*B187/10000,0)</f>
        <v>0</v>
      </c>
    </row>
    <row r="188" spans="1:19">
      <c r="A188" s="156"/>
      <c r="B188" s="59"/>
      <c r="C188" s="24">
        <f t="shared" si="28"/>
        <v>1</v>
      </c>
      <c r="D188" s="717"/>
      <c r="E188" s="24">
        <f t="shared" si="29"/>
        <v>1</v>
      </c>
      <c r="F188" s="717"/>
      <c r="G188" s="24">
        <f t="shared" si="30"/>
        <v>1</v>
      </c>
      <c r="H188" s="717"/>
      <c r="I188" s="24">
        <f t="shared" si="31"/>
        <v>1</v>
      </c>
      <c r="J188" s="717"/>
      <c r="K188" s="24">
        <f t="shared" si="32"/>
        <v>1</v>
      </c>
      <c r="L188" s="717"/>
      <c r="M188" s="24">
        <f t="shared" si="33"/>
        <v>1</v>
      </c>
      <c r="N188" s="717"/>
      <c r="O188" s="24">
        <f t="shared" si="34"/>
        <v>1</v>
      </c>
      <c r="P188" s="717"/>
      <c r="Q188" s="24">
        <f t="shared" si="35"/>
        <v>1</v>
      </c>
      <c r="R188" s="713">
        <f t="shared" si="36"/>
        <v>0</v>
      </c>
      <c r="S188" s="358">
        <f t="shared" si="37"/>
        <v>0</v>
      </c>
    </row>
    <row r="189" spans="1:19">
      <c r="A189" s="156"/>
      <c r="B189" s="59"/>
      <c r="C189" s="24">
        <f t="shared" si="28"/>
        <v>1</v>
      </c>
      <c r="D189" s="717"/>
      <c r="E189" s="24">
        <f t="shared" si="29"/>
        <v>1</v>
      </c>
      <c r="F189" s="717"/>
      <c r="G189" s="24">
        <f t="shared" si="30"/>
        <v>1</v>
      </c>
      <c r="H189" s="717"/>
      <c r="I189" s="24">
        <f t="shared" si="31"/>
        <v>1</v>
      </c>
      <c r="J189" s="717"/>
      <c r="K189" s="24">
        <f t="shared" si="32"/>
        <v>1</v>
      </c>
      <c r="L189" s="717"/>
      <c r="M189" s="24">
        <f t="shared" si="33"/>
        <v>1</v>
      </c>
      <c r="N189" s="717"/>
      <c r="O189" s="24">
        <f t="shared" si="34"/>
        <v>1</v>
      </c>
      <c r="P189" s="717"/>
      <c r="Q189" s="24">
        <f t="shared" si="35"/>
        <v>1</v>
      </c>
      <c r="R189" s="713">
        <f t="shared" si="36"/>
        <v>0</v>
      </c>
      <c r="S189" s="358">
        <f t="shared" si="37"/>
        <v>0</v>
      </c>
    </row>
    <row r="190" spans="1:19">
      <c r="A190" s="156"/>
      <c r="B190" s="59"/>
      <c r="C190" s="24">
        <f t="shared" si="28"/>
        <v>1</v>
      </c>
      <c r="D190" s="717"/>
      <c r="E190" s="24">
        <f t="shared" si="29"/>
        <v>1</v>
      </c>
      <c r="F190" s="717"/>
      <c r="G190" s="24">
        <f t="shared" si="30"/>
        <v>1</v>
      </c>
      <c r="H190" s="717"/>
      <c r="I190" s="24">
        <f t="shared" si="31"/>
        <v>1</v>
      </c>
      <c r="J190" s="717"/>
      <c r="K190" s="24">
        <f t="shared" si="32"/>
        <v>1</v>
      </c>
      <c r="L190" s="717"/>
      <c r="M190" s="24">
        <f t="shared" si="33"/>
        <v>1</v>
      </c>
      <c r="N190" s="717"/>
      <c r="O190" s="24">
        <f t="shared" si="34"/>
        <v>1</v>
      </c>
      <c r="P190" s="717"/>
      <c r="Q190" s="24">
        <f t="shared" si="35"/>
        <v>1</v>
      </c>
      <c r="R190" s="713">
        <f t="shared" si="36"/>
        <v>0</v>
      </c>
      <c r="S190" s="358">
        <f t="shared" si="37"/>
        <v>0</v>
      </c>
    </row>
    <row r="191" spans="1:19">
      <c r="A191" s="156"/>
      <c r="B191" s="59"/>
      <c r="C191" s="24">
        <f t="shared" si="28"/>
        <v>1</v>
      </c>
      <c r="D191" s="717"/>
      <c r="E191" s="24">
        <f t="shared" si="29"/>
        <v>1</v>
      </c>
      <c r="F191" s="717"/>
      <c r="G191" s="24">
        <f t="shared" si="30"/>
        <v>1</v>
      </c>
      <c r="H191" s="717"/>
      <c r="I191" s="24">
        <f t="shared" si="31"/>
        <v>1</v>
      </c>
      <c r="J191" s="717"/>
      <c r="K191" s="24">
        <f t="shared" si="32"/>
        <v>1</v>
      </c>
      <c r="L191" s="717"/>
      <c r="M191" s="24">
        <f t="shared" si="33"/>
        <v>1</v>
      </c>
      <c r="N191" s="717"/>
      <c r="O191" s="24">
        <f t="shared" si="34"/>
        <v>1</v>
      </c>
      <c r="P191" s="717"/>
      <c r="Q191" s="24">
        <f t="shared" si="35"/>
        <v>1</v>
      </c>
      <c r="R191" s="713">
        <f t="shared" si="36"/>
        <v>0</v>
      </c>
      <c r="S191" s="358">
        <f t="shared" si="37"/>
        <v>0</v>
      </c>
    </row>
    <row r="192" spans="1:19">
      <c r="A192" s="156"/>
      <c r="B192" s="59"/>
      <c r="C192" s="24">
        <f t="shared" si="28"/>
        <v>1</v>
      </c>
      <c r="D192" s="717"/>
      <c r="E192" s="24">
        <f t="shared" si="29"/>
        <v>1</v>
      </c>
      <c r="F192" s="717"/>
      <c r="G192" s="24">
        <f t="shared" si="30"/>
        <v>1</v>
      </c>
      <c r="H192" s="717"/>
      <c r="I192" s="24">
        <f t="shared" si="31"/>
        <v>1</v>
      </c>
      <c r="J192" s="717"/>
      <c r="K192" s="24">
        <f t="shared" si="32"/>
        <v>1</v>
      </c>
      <c r="L192" s="717"/>
      <c r="M192" s="24">
        <f t="shared" si="33"/>
        <v>1</v>
      </c>
      <c r="N192" s="717"/>
      <c r="O192" s="24">
        <f t="shared" si="34"/>
        <v>1</v>
      </c>
      <c r="P192" s="717"/>
      <c r="Q192" s="24">
        <f t="shared" si="35"/>
        <v>1</v>
      </c>
      <c r="R192" s="713">
        <f t="shared" si="36"/>
        <v>0</v>
      </c>
      <c r="S192" s="358">
        <f t="shared" si="37"/>
        <v>0</v>
      </c>
    </row>
    <row r="193" spans="1:19">
      <c r="A193" s="156"/>
      <c r="B193" s="59"/>
      <c r="C193" s="24">
        <f t="shared" si="28"/>
        <v>1</v>
      </c>
      <c r="D193" s="717"/>
      <c r="E193" s="24">
        <f t="shared" si="29"/>
        <v>1</v>
      </c>
      <c r="F193" s="717"/>
      <c r="G193" s="24">
        <f t="shared" si="30"/>
        <v>1</v>
      </c>
      <c r="H193" s="717"/>
      <c r="I193" s="24">
        <f t="shared" si="31"/>
        <v>1</v>
      </c>
      <c r="J193" s="717"/>
      <c r="K193" s="24">
        <f t="shared" si="32"/>
        <v>1</v>
      </c>
      <c r="L193" s="717"/>
      <c r="M193" s="24">
        <f t="shared" si="33"/>
        <v>1</v>
      </c>
      <c r="N193" s="717"/>
      <c r="O193" s="24">
        <f t="shared" si="34"/>
        <v>1</v>
      </c>
      <c r="P193" s="717"/>
      <c r="Q193" s="24">
        <f t="shared" si="35"/>
        <v>1</v>
      </c>
      <c r="R193" s="713">
        <f t="shared" si="36"/>
        <v>0</v>
      </c>
      <c r="S193" s="358">
        <f t="shared" si="37"/>
        <v>0</v>
      </c>
    </row>
    <row r="194" spans="1:19">
      <c r="A194" s="156"/>
      <c r="B194" s="59"/>
      <c r="C194" s="24">
        <f t="shared" si="28"/>
        <v>1</v>
      </c>
      <c r="D194" s="717"/>
      <c r="E194" s="24">
        <f t="shared" si="29"/>
        <v>1</v>
      </c>
      <c r="F194" s="717"/>
      <c r="G194" s="24">
        <f t="shared" si="30"/>
        <v>1</v>
      </c>
      <c r="H194" s="717"/>
      <c r="I194" s="24">
        <f t="shared" si="31"/>
        <v>1</v>
      </c>
      <c r="J194" s="717"/>
      <c r="K194" s="24">
        <f t="shared" si="32"/>
        <v>1</v>
      </c>
      <c r="L194" s="717"/>
      <c r="M194" s="24">
        <f t="shared" si="33"/>
        <v>1</v>
      </c>
      <c r="N194" s="717"/>
      <c r="O194" s="24">
        <f t="shared" si="34"/>
        <v>1</v>
      </c>
      <c r="P194" s="717"/>
      <c r="Q194" s="24">
        <f t="shared" si="35"/>
        <v>1</v>
      </c>
      <c r="R194" s="713">
        <f t="shared" si="36"/>
        <v>0</v>
      </c>
      <c r="S194" s="358">
        <f t="shared" si="37"/>
        <v>0</v>
      </c>
    </row>
    <row r="195" spans="1:19">
      <c r="A195" s="156"/>
      <c r="B195" s="59"/>
      <c r="C195" s="24">
        <f t="shared" si="28"/>
        <v>1</v>
      </c>
      <c r="D195" s="717"/>
      <c r="E195" s="24">
        <f t="shared" si="29"/>
        <v>1</v>
      </c>
      <c r="F195" s="717"/>
      <c r="G195" s="24">
        <f t="shared" si="30"/>
        <v>1</v>
      </c>
      <c r="H195" s="717"/>
      <c r="I195" s="24">
        <f t="shared" si="31"/>
        <v>1</v>
      </c>
      <c r="J195" s="717"/>
      <c r="K195" s="24">
        <f t="shared" si="32"/>
        <v>1</v>
      </c>
      <c r="L195" s="717"/>
      <c r="M195" s="24">
        <f t="shared" si="33"/>
        <v>1</v>
      </c>
      <c r="N195" s="717"/>
      <c r="O195" s="24">
        <f t="shared" si="34"/>
        <v>1</v>
      </c>
      <c r="P195" s="717"/>
      <c r="Q195" s="24">
        <f t="shared" si="35"/>
        <v>1</v>
      </c>
      <c r="R195" s="713">
        <f t="shared" si="36"/>
        <v>0</v>
      </c>
      <c r="S195" s="358">
        <f t="shared" si="37"/>
        <v>0</v>
      </c>
    </row>
    <row r="196" spans="1:19">
      <c r="A196" s="156"/>
      <c r="B196" s="59"/>
      <c r="C196" s="24">
        <f t="shared" si="28"/>
        <v>1</v>
      </c>
      <c r="D196" s="717"/>
      <c r="E196" s="24">
        <f t="shared" si="29"/>
        <v>1</v>
      </c>
      <c r="F196" s="717"/>
      <c r="G196" s="24">
        <f t="shared" si="30"/>
        <v>1</v>
      </c>
      <c r="H196" s="717"/>
      <c r="I196" s="24">
        <f t="shared" si="31"/>
        <v>1</v>
      </c>
      <c r="J196" s="717"/>
      <c r="K196" s="24">
        <f t="shared" si="32"/>
        <v>1</v>
      </c>
      <c r="L196" s="717"/>
      <c r="M196" s="24">
        <f t="shared" si="33"/>
        <v>1</v>
      </c>
      <c r="N196" s="717"/>
      <c r="O196" s="24">
        <f t="shared" si="34"/>
        <v>1</v>
      </c>
      <c r="P196" s="717"/>
      <c r="Q196" s="24">
        <f t="shared" si="35"/>
        <v>1</v>
      </c>
      <c r="R196" s="713">
        <f t="shared" si="36"/>
        <v>0</v>
      </c>
      <c r="S196" s="358">
        <f t="shared" si="37"/>
        <v>0</v>
      </c>
    </row>
    <row r="197" spans="1:19">
      <c r="A197" s="156"/>
      <c r="B197" s="59"/>
      <c r="C197" s="24">
        <f t="shared" si="28"/>
        <v>1</v>
      </c>
      <c r="D197" s="717"/>
      <c r="E197" s="24">
        <f t="shared" si="29"/>
        <v>1</v>
      </c>
      <c r="F197" s="717"/>
      <c r="G197" s="24">
        <f t="shared" si="30"/>
        <v>1</v>
      </c>
      <c r="H197" s="717"/>
      <c r="I197" s="24">
        <f t="shared" si="31"/>
        <v>1</v>
      </c>
      <c r="J197" s="717"/>
      <c r="K197" s="24">
        <f t="shared" si="32"/>
        <v>1</v>
      </c>
      <c r="L197" s="717"/>
      <c r="M197" s="24">
        <f t="shared" si="33"/>
        <v>1</v>
      </c>
      <c r="N197" s="717"/>
      <c r="O197" s="24">
        <f t="shared" si="34"/>
        <v>1</v>
      </c>
      <c r="P197" s="717"/>
      <c r="Q197" s="24">
        <f t="shared" si="35"/>
        <v>1</v>
      </c>
      <c r="R197" s="713">
        <f t="shared" si="36"/>
        <v>0</v>
      </c>
      <c r="S197" s="358">
        <f t="shared" si="37"/>
        <v>0</v>
      </c>
    </row>
    <row r="198" spans="1:19">
      <c r="A198" s="156"/>
      <c r="B198" s="59"/>
      <c r="C198" s="24">
        <f t="shared" si="28"/>
        <v>1</v>
      </c>
      <c r="D198" s="717"/>
      <c r="E198" s="24">
        <f t="shared" si="29"/>
        <v>1</v>
      </c>
      <c r="F198" s="717"/>
      <c r="G198" s="24">
        <f t="shared" si="30"/>
        <v>1</v>
      </c>
      <c r="H198" s="717"/>
      <c r="I198" s="24">
        <f t="shared" si="31"/>
        <v>1</v>
      </c>
      <c r="J198" s="717"/>
      <c r="K198" s="24">
        <f t="shared" si="32"/>
        <v>1</v>
      </c>
      <c r="L198" s="717"/>
      <c r="M198" s="24">
        <f t="shared" si="33"/>
        <v>1</v>
      </c>
      <c r="N198" s="717"/>
      <c r="O198" s="24">
        <f t="shared" si="34"/>
        <v>1</v>
      </c>
      <c r="P198" s="717"/>
      <c r="Q198" s="24">
        <f t="shared" si="35"/>
        <v>1</v>
      </c>
      <c r="R198" s="713">
        <f t="shared" si="36"/>
        <v>0</v>
      </c>
      <c r="S198" s="358">
        <f t="shared" si="37"/>
        <v>0</v>
      </c>
    </row>
    <row r="199" spans="1:19">
      <c r="A199" s="156"/>
      <c r="B199" s="59"/>
      <c r="C199" s="24">
        <f t="shared" si="28"/>
        <v>1</v>
      </c>
      <c r="D199" s="717"/>
      <c r="E199" s="24">
        <f t="shared" si="29"/>
        <v>1</v>
      </c>
      <c r="F199" s="717"/>
      <c r="G199" s="24">
        <f t="shared" si="30"/>
        <v>1</v>
      </c>
      <c r="H199" s="717"/>
      <c r="I199" s="24">
        <f t="shared" si="31"/>
        <v>1</v>
      </c>
      <c r="J199" s="717"/>
      <c r="K199" s="24">
        <f t="shared" si="32"/>
        <v>1</v>
      </c>
      <c r="L199" s="717"/>
      <c r="M199" s="24">
        <f t="shared" si="33"/>
        <v>1</v>
      </c>
      <c r="N199" s="717"/>
      <c r="O199" s="24">
        <f t="shared" si="34"/>
        <v>1</v>
      </c>
      <c r="P199" s="717"/>
      <c r="Q199" s="24">
        <f t="shared" si="35"/>
        <v>1</v>
      </c>
      <c r="R199" s="713">
        <f t="shared" si="36"/>
        <v>0</v>
      </c>
      <c r="S199" s="358">
        <f t="shared" si="37"/>
        <v>0</v>
      </c>
    </row>
    <row r="200" spans="1:19">
      <c r="A200" s="156"/>
      <c r="B200" s="59"/>
      <c r="C200" s="24">
        <f t="shared" si="28"/>
        <v>1</v>
      </c>
      <c r="D200" s="717"/>
      <c r="E200" s="24">
        <f t="shared" si="29"/>
        <v>1</v>
      </c>
      <c r="F200" s="717"/>
      <c r="G200" s="24">
        <f t="shared" si="30"/>
        <v>1</v>
      </c>
      <c r="H200" s="717"/>
      <c r="I200" s="24">
        <f t="shared" si="31"/>
        <v>1</v>
      </c>
      <c r="J200" s="717"/>
      <c r="K200" s="24">
        <f t="shared" si="32"/>
        <v>1</v>
      </c>
      <c r="L200" s="717"/>
      <c r="M200" s="24">
        <f t="shared" si="33"/>
        <v>1</v>
      </c>
      <c r="N200" s="717"/>
      <c r="O200" s="24">
        <f t="shared" si="34"/>
        <v>1</v>
      </c>
      <c r="P200" s="717"/>
      <c r="Q200" s="24">
        <f t="shared" si="35"/>
        <v>1</v>
      </c>
      <c r="R200" s="713">
        <f t="shared" si="36"/>
        <v>0</v>
      </c>
      <c r="S200" s="358">
        <f t="shared" si="37"/>
        <v>0</v>
      </c>
    </row>
    <row r="201" spans="1:19">
      <c r="A201" s="156"/>
      <c r="B201" s="59"/>
      <c r="C201" s="24">
        <f t="shared" si="28"/>
        <v>1</v>
      </c>
      <c r="D201" s="717"/>
      <c r="E201" s="24">
        <f t="shared" si="29"/>
        <v>1</v>
      </c>
      <c r="F201" s="717"/>
      <c r="G201" s="24">
        <f t="shared" si="30"/>
        <v>1</v>
      </c>
      <c r="H201" s="717"/>
      <c r="I201" s="24">
        <f t="shared" si="31"/>
        <v>1</v>
      </c>
      <c r="J201" s="717"/>
      <c r="K201" s="24">
        <f t="shared" si="32"/>
        <v>1</v>
      </c>
      <c r="L201" s="717"/>
      <c r="M201" s="24">
        <f t="shared" si="33"/>
        <v>1</v>
      </c>
      <c r="N201" s="717"/>
      <c r="O201" s="24">
        <f t="shared" si="34"/>
        <v>1</v>
      </c>
      <c r="P201" s="717"/>
      <c r="Q201" s="24">
        <f t="shared" si="35"/>
        <v>1</v>
      </c>
      <c r="R201" s="713">
        <f t="shared" si="36"/>
        <v>0</v>
      </c>
      <c r="S201" s="358">
        <f t="shared" si="37"/>
        <v>0</v>
      </c>
    </row>
    <row r="202" spans="1:19">
      <c r="A202" s="156"/>
      <c r="B202" s="59"/>
      <c r="C202" s="24">
        <f t="shared" si="28"/>
        <v>1</v>
      </c>
      <c r="D202" s="717"/>
      <c r="E202" s="24">
        <f t="shared" si="29"/>
        <v>1</v>
      </c>
      <c r="F202" s="717"/>
      <c r="G202" s="24">
        <f t="shared" si="30"/>
        <v>1</v>
      </c>
      <c r="H202" s="717"/>
      <c r="I202" s="24">
        <f t="shared" si="31"/>
        <v>1</v>
      </c>
      <c r="J202" s="717"/>
      <c r="K202" s="24">
        <f t="shared" si="32"/>
        <v>1</v>
      </c>
      <c r="L202" s="717"/>
      <c r="M202" s="24">
        <f t="shared" si="33"/>
        <v>1</v>
      </c>
      <c r="N202" s="717"/>
      <c r="O202" s="24">
        <f t="shared" si="34"/>
        <v>1</v>
      </c>
      <c r="P202" s="717"/>
      <c r="Q202" s="24">
        <f t="shared" si="35"/>
        <v>1</v>
      </c>
      <c r="R202" s="713">
        <f t="shared" si="36"/>
        <v>0</v>
      </c>
      <c r="S202" s="358">
        <f t="shared" si="37"/>
        <v>0</v>
      </c>
    </row>
    <row r="203" spans="1:19">
      <c r="A203" s="156"/>
      <c r="B203" s="59"/>
      <c r="C203" s="24">
        <f t="shared" si="28"/>
        <v>1</v>
      </c>
      <c r="D203" s="717"/>
      <c r="E203" s="24">
        <f t="shared" si="29"/>
        <v>1</v>
      </c>
      <c r="F203" s="717"/>
      <c r="G203" s="24">
        <f t="shared" si="30"/>
        <v>1</v>
      </c>
      <c r="H203" s="717"/>
      <c r="I203" s="24">
        <f t="shared" si="31"/>
        <v>1</v>
      </c>
      <c r="J203" s="717"/>
      <c r="K203" s="24">
        <f t="shared" si="32"/>
        <v>1</v>
      </c>
      <c r="L203" s="717"/>
      <c r="M203" s="24">
        <f t="shared" si="33"/>
        <v>1</v>
      </c>
      <c r="N203" s="717"/>
      <c r="O203" s="24">
        <f t="shared" si="34"/>
        <v>1</v>
      </c>
      <c r="P203" s="717"/>
      <c r="Q203" s="24">
        <f t="shared" si="35"/>
        <v>1</v>
      </c>
      <c r="R203" s="713">
        <f t="shared" si="36"/>
        <v>0</v>
      </c>
      <c r="S203" s="358">
        <f t="shared" si="37"/>
        <v>0</v>
      </c>
    </row>
    <row r="204" spans="1:19">
      <c r="A204" s="156"/>
      <c r="B204" s="59"/>
      <c r="C204" s="24">
        <f t="shared" si="28"/>
        <v>1</v>
      </c>
      <c r="D204" s="717"/>
      <c r="E204" s="24">
        <f t="shared" si="29"/>
        <v>1</v>
      </c>
      <c r="F204" s="717"/>
      <c r="G204" s="24">
        <f t="shared" si="30"/>
        <v>1</v>
      </c>
      <c r="H204" s="717"/>
      <c r="I204" s="24">
        <f t="shared" si="31"/>
        <v>1</v>
      </c>
      <c r="J204" s="717"/>
      <c r="K204" s="24">
        <f t="shared" si="32"/>
        <v>1</v>
      </c>
      <c r="L204" s="717"/>
      <c r="M204" s="24">
        <f t="shared" si="33"/>
        <v>1</v>
      </c>
      <c r="N204" s="717"/>
      <c r="O204" s="24">
        <f t="shared" si="34"/>
        <v>1</v>
      </c>
      <c r="P204" s="717"/>
      <c r="Q204" s="24">
        <f t="shared" si="35"/>
        <v>1</v>
      </c>
      <c r="R204" s="713">
        <f t="shared" si="36"/>
        <v>0</v>
      </c>
      <c r="S204" s="358">
        <f t="shared" si="37"/>
        <v>0</v>
      </c>
    </row>
    <row r="205" spans="1:19">
      <c r="A205" s="156"/>
      <c r="B205" s="59"/>
      <c r="C205" s="24">
        <f t="shared" si="28"/>
        <v>1</v>
      </c>
      <c r="D205" s="717"/>
      <c r="E205" s="24">
        <f t="shared" si="29"/>
        <v>1</v>
      </c>
      <c r="F205" s="717"/>
      <c r="G205" s="24">
        <f t="shared" si="30"/>
        <v>1</v>
      </c>
      <c r="H205" s="717"/>
      <c r="I205" s="24">
        <f t="shared" si="31"/>
        <v>1</v>
      </c>
      <c r="J205" s="717"/>
      <c r="K205" s="24">
        <f t="shared" si="32"/>
        <v>1</v>
      </c>
      <c r="L205" s="717"/>
      <c r="M205" s="24">
        <f t="shared" si="33"/>
        <v>1</v>
      </c>
      <c r="N205" s="717"/>
      <c r="O205" s="24">
        <f t="shared" si="34"/>
        <v>1</v>
      </c>
      <c r="P205" s="717"/>
      <c r="Q205" s="24">
        <f t="shared" si="35"/>
        <v>1</v>
      </c>
      <c r="R205" s="713">
        <f t="shared" si="36"/>
        <v>0</v>
      </c>
      <c r="S205" s="358">
        <f t="shared" si="37"/>
        <v>0</v>
      </c>
    </row>
    <row r="206" spans="1:19">
      <c r="A206" s="156"/>
      <c r="B206" s="59"/>
      <c r="C206" s="24">
        <f t="shared" si="28"/>
        <v>1</v>
      </c>
      <c r="D206" s="717"/>
      <c r="E206" s="24">
        <f t="shared" si="29"/>
        <v>1</v>
      </c>
      <c r="F206" s="717"/>
      <c r="G206" s="24">
        <f t="shared" si="30"/>
        <v>1</v>
      </c>
      <c r="H206" s="717"/>
      <c r="I206" s="24">
        <f t="shared" si="31"/>
        <v>1</v>
      </c>
      <c r="J206" s="717"/>
      <c r="K206" s="24">
        <f t="shared" si="32"/>
        <v>1</v>
      </c>
      <c r="L206" s="717"/>
      <c r="M206" s="24">
        <f t="shared" si="33"/>
        <v>1</v>
      </c>
      <c r="N206" s="717"/>
      <c r="O206" s="24">
        <f t="shared" si="34"/>
        <v>1</v>
      </c>
      <c r="P206" s="717"/>
      <c r="Q206" s="24">
        <f t="shared" si="35"/>
        <v>1</v>
      </c>
      <c r="R206" s="713">
        <f t="shared" si="36"/>
        <v>0</v>
      </c>
      <c r="S206" s="358">
        <f t="shared" si="37"/>
        <v>0</v>
      </c>
    </row>
    <row r="207" spans="1:19">
      <c r="A207" s="156"/>
      <c r="B207" s="59"/>
      <c r="C207" s="24">
        <f t="shared" si="28"/>
        <v>1</v>
      </c>
      <c r="D207" s="717"/>
      <c r="E207" s="24">
        <f t="shared" si="29"/>
        <v>1</v>
      </c>
      <c r="F207" s="717"/>
      <c r="G207" s="24">
        <f t="shared" si="30"/>
        <v>1</v>
      </c>
      <c r="H207" s="717"/>
      <c r="I207" s="24">
        <f t="shared" si="31"/>
        <v>1</v>
      </c>
      <c r="J207" s="717"/>
      <c r="K207" s="24">
        <f t="shared" si="32"/>
        <v>1</v>
      </c>
      <c r="L207" s="717"/>
      <c r="M207" s="24">
        <f t="shared" si="33"/>
        <v>1</v>
      </c>
      <c r="N207" s="717"/>
      <c r="O207" s="24">
        <f t="shared" si="34"/>
        <v>1</v>
      </c>
      <c r="P207" s="717"/>
      <c r="Q207" s="24">
        <f t="shared" si="35"/>
        <v>1</v>
      </c>
      <c r="R207" s="713">
        <f t="shared" si="36"/>
        <v>0</v>
      </c>
      <c r="S207" s="358">
        <f t="shared" si="37"/>
        <v>0</v>
      </c>
    </row>
    <row r="208" spans="1:19">
      <c r="A208" s="156"/>
      <c r="B208" s="59"/>
      <c r="C208" s="24">
        <f t="shared" si="28"/>
        <v>1</v>
      </c>
      <c r="D208" s="717"/>
      <c r="E208" s="24">
        <f t="shared" si="29"/>
        <v>1</v>
      </c>
      <c r="F208" s="717"/>
      <c r="G208" s="24">
        <f t="shared" si="30"/>
        <v>1</v>
      </c>
      <c r="H208" s="717"/>
      <c r="I208" s="24">
        <f t="shared" si="31"/>
        <v>1</v>
      </c>
      <c r="J208" s="717"/>
      <c r="K208" s="24">
        <f t="shared" si="32"/>
        <v>1</v>
      </c>
      <c r="L208" s="717"/>
      <c r="M208" s="24">
        <f t="shared" si="33"/>
        <v>1</v>
      </c>
      <c r="N208" s="717"/>
      <c r="O208" s="24">
        <f t="shared" si="34"/>
        <v>1</v>
      </c>
      <c r="P208" s="717"/>
      <c r="Q208" s="24">
        <f t="shared" si="35"/>
        <v>1</v>
      </c>
      <c r="R208" s="713">
        <f t="shared" si="36"/>
        <v>0</v>
      </c>
      <c r="S208" s="358">
        <f t="shared" si="37"/>
        <v>0</v>
      </c>
    </row>
    <row r="209" spans="1:19">
      <c r="A209" s="156"/>
      <c r="B209" s="59"/>
      <c r="C209" s="24">
        <f t="shared" si="28"/>
        <v>1</v>
      </c>
      <c r="D209" s="717"/>
      <c r="E209" s="24">
        <f t="shared" si="29"/>
        <v>1</v>
      </c>
      <c r="F209" s="717"/>
      <c r="G209" s="24">
        <f t="shared" si="30"/>
        <v>1</v>
      </c>
      <c r="H209" s="717"/>
      <c r="I209" s="24">
        <f t="shared" si="31"/>
        <v>1</v>
      </c>
      <c r="J209" s="717"/>
      <c r="K209" s="24">
        <f t="shared" si="32"/>
        <v>1</v>
      </c>
      <c r="L209" s="717"/>
      <c r="M209" s="24">
        <f t="shared" si="33"/>
        <v>1</v>
      </c>
      <c r="N209" s="717"/>
      <c r="O209" s="24">
        <f t="shared" si="34"/>
        <v>1</v>
      </c>
      <c r="P209" s="717"/>
      <c r="Q209" s="24">
        <f t="shared" si="35"/>
        <v>1</v>
      </c>
      <c r="R209" s="713">
        <f t="shared" si="36"/>
        <v>0</v>
      </c>
      <c r="S209" s="358">
        <f t="shared" si="37"/>
        <v>0</v>
      </c>
    </row>
    <row r="210" spans="1:19">
      <c r="A210" s="156"/>
      <c r="B210" s="59"/>
      <c r="C210" s="24">
        <f t="shared" si="28"/>
        <v>1</v>
      </c>
      <c r="D210" s="717"/>
      <c r="E210" s="24">
        <f t="shared" si="29"/>
        <v>1</v>
      </c>
      <c r="F210" s="717"/>
      <c r="G210" s="24">
        <f t="shared" si="30"/>
        <v>1</v>
      </c>
      <c r="H210" s="717"/>
      <c r="I210" s="24">
        <f t="shared" si="31"/>
        <v>1</v>
      </c>
      <c r="J210" s="717"/>
      <c r="K210" s="24">
        <f t="shared" si="32"/>
        <v>1</v>
      </c>
      <c r="L210" s="717"/>
      <c r="M210" s="24">
        <f t="shared" si="33"/>
        <v>1</v>
      </c>
      <c r="N210" s="717"/>
      <c r="O210" s="24">
        <f t="shared" si="34"/>
        <v>1</v>
      </c>
      <c r="P210" s="717"/>
      <c r="Q210" s="24">
        <f t="shared" si="35"/>
        <v>1</v>
      </c>
      <c r="R210" s="713">
        <f t="shared" si="36"/>
        <v>0</v>
      </c>
      <c r="S210" s="358">
        <f t="shared" si="37"/>
        <v>0</v>
      </c>
    </row>
    <row r="211" spans="1:19">
      <c r="A211" s="156"/>
      <c r="B211" s="59"/>
      <c r="C211" s="24">
        <f t="shared" si="28"/>
        <v>1</v>
      </c>
      <c r="D211" s="717"/>
      <c r="E211" s="24">
        <f t="shared" si="29"/>
        <v>1</v>
      </c>
      <c r="F211" s="717"/>
      <c r="G211" s="24">
        <f t="shared" si="30"/>
        <v>1</v>
      </c>
      <c r="H211" s="717"/>
      <c r="I211" s="24">
        <f t="shared" si="31"/>
        <v>1</v>
      </c>
      <c r="J211" s="717"/>
      <c r="K211" s="24">
        <f t="shared" si="32"/>
        <v>1</v>
      </c>
      <c r="L211" s="717"/>
      <c r="M211" s="24">
        <f t="shared" si="33"/>
        <v>1</v>
      </c>
      <c r="N211" s="717"/>
      <c r="O211" s="24">
        <f t="shared" si="34"/>
        <v>1</v>
      </c>
      <c r="P211" s="717"/>
      <c r="Q211" s="24">
        <f t="shared" si="35"/>
        <v>1</v>
      </c>
      <c r="R211" s="713">
        <f t="shared" si="36"/>
        <v>0</v>
      </c>
      <c r="S211" s="358">
        <f t="shared" si="37"/>
        <v>0</v>
      </c>
    </row>
    <row r="212" spans="1:19">
      <c r="A212" s="156"/>
      <c r="B212" s="59"/>
      <c r="C212" s="24">
        <f t="shared" si="28"/>
        <v>1</v>
      </c>
      <c r="D212" s="717"/>
      <c r="E212" s="24">
        <f t="shared" si="29"/>
        <v>1</v>
      </c>
      <c r="F212" s="717"/>
      <c r="G212" s="24">
        <f t="shared" si="30"/>
        <v>1</v>
      </c>
      <c r="H212" s="717"/>
      <c r="I212" s="24">
        <f t="shared" si="31"/>
        <v>1</v>
      </c>
      <c r="J212" s="717"/>
      <c r="K212" s="24">
        <f t="shared" si="32"/>
        <v>1</v>
      </c>
      <c r="L212" s="717"/>
      <c r="M212" s="24">
        <f t="shared" si="33"/>
        <v>1</v>
      </c>
      <c r="N212" s="717"/>
      <c r="O212" s="24">
        <f t="shared" si="34"/>
        <v>1</v>
      </c>
      <c r="P212" s="717"/>
      <c r="Q212" s="24">
        <f t="shared" si="35"/>
        <v>1</v>
      </c>
      <c r="R212" s="713">
        <f t="shared" si="36"/>
        <v>0</v>
      </c>
      <c r="S212" s="358">
        <f t="shared" si="37"/>
        <v>0</v>
      </c>
    </row>
    <row r="213" spans="1:19">
      <c r="A213" s="156"/>
      <c r="B213" s="59"/>
      <c r="C213" s="24">
        <f t="shared" si="28"/>
        <v>1</v>
      </c>
      <c r="D213" s="717"/>
      <c r="E213" s="24">
        <f t="shared" si="29"/>
        <v>1</v>
      </c>
      <c r="F213" s="717"/>
      <c r="G213" s="24">
        <f t="shared" si="30"/>
        <v>1</v>
      </c>
      <c r="H213" s="717"/>
      <c r="I213" s="24">
        <f t="shared" si="31"/>
        <v>1</v>
      </c>
      <c r="J213" s="717"/>
      <c r="K213" s="24">
        <f t="shared" si="32"/>
        <v>1</v>
      </c>
      <c r="L213" s="717"/>
      <c r="M213" s="24">
        <f t="shared" si="33"/>
        <v>1</v>
      </c>
      <c r="N213" s="717"/>
      <c r="O213" s="24">
        <f t="shared" si="34"/>
        <v>1</v>
      </c>
      <c r="P213" s="717"/>
      <c r="Q213" s="24">
        <f t="shared" si="35"/>
        <v>1</v>
      </c>
      <c r="R213" s="713">
        <f t="shared" si="36"/>
        <v>0</v>
      </c>
      <c r="S213" s="358">
        <f t="shared" si="37"/>
        <v>0</v>
      </c>
    </row>
    <row r="214" spans="1:19">
      <c r="A214" s="156"/>
      <c r="B214" s="59"/>
      <c r="C214" s="24">
        <f t="shared" si="28"/>
        <v>1</v>
      </c>
      <c r="D214" s="717"/>
      <c r="E214" s="24">
        <f t="shared" si="29"/>
        <v>1</v>
      </c>
      <c r="F214" s="717"/>
      <c r="G214" s="24">
        <f t="shared" si="30"/>
        <v>1</v>
      </c>
      <c r="H214" s="717"/>
      <c r="I214" s="24">
        <f t="shared" si="31"/>
        <v>1</v>
      </c>
      <c r="J214" s="717"/>
      <c r="K214" s="24">
        <f t="shared" si="32"/>
        <v>1</v>
      </c>
      <c r="L214" s="717"/>
      <c r="M214" s="24">
        <f t="shared" si="33"/>
        <v>1</v>
      </c>
      <c r="N214" s="717"/>
      <c r="O214" s="24">
        <f t="shared" si="34"/>
        <v>1</v>
      </c>
      <c r="P214" s="717"/>
      <c r="Q214" s="24">
        <f t="shared" si="35"/>
        <v>1</v>
      </c>
      <c r="R214" s="713">
        <f t="shared" si="36"/>
        <v>0</v>
      </c>
      <c r="S214" s="358">
        <f t="shared" si="37"/>
        <v>0</v>
      </c>
    </row>
    <row r="215" spans="1:19">
      <c r="A215" s="156"/>
      <c r="B215" s="59"/>
      <c r="C215" s="24">
        <f t="shared" si="28"/>
        <v>1</v>
      </c>
      <c r="D215" s="717"/>
      <c r="E215" s="24">
        <f t="shared" si="29"/>
        <v>1</v>
      </c>
      <c r="F215" s="717"/>
      <c r="G215" s="24">
        <f t="shared" si="30"/>
        <v>1</v>
      </c>
      <c r="H215" s="717"/>
      <c r="I215" s="24">
        <f t="shared" si="31"/>
        <v>1</v>
      </c>
      <c r="J215" s="717"/>
      <c r="K215" s="24">
        <f t="shared" si="32"/>
        <v>1</v>
      </c>
      <c r="L215" s="717"/>
      <c r="M215" s="24">
        <f t="shared" si="33"/>
        <v>1</v>
      </c>
      <c r="N215" s="717"/>
      <c r="O215" s="24">
        <f t="shared" si="34"/>
        <v>1</v>
      </c>
      <c r="P215" s="717"/>
      <c r="Q215" s="24">
        <f t="shared" si="35"/>
        <v>1</v>
      </c>
      <c r="R215" s="713">
        <f t="shared" si="36"/>
        <v>0</v>
      </c>
      <c r="S215" s="358">
        <f t="shared" si="37"/>
        <v>0</v>
      </c>
    </row>
    <row r="216" spans="1:19">
      <c r="A216" s="156"/>
      <c r="B216" s="59"/>
      <c r="C216" s="24">
        <f t="shared" si="28"/>
        <v>1</v>
      </c>
      <c r="D216" s="717"/>
      <c r="E216" s="24">
        <f t="shared" si="29"/>
        <v>1</v>
      </c>
      <c r="F216" s="717"/>
      <c r="G216" s="24">
        <f t="shared" si="30"/>
        <v>1</v>
      </c>
      <c r="H216" s="717"/>
      <c r="I216" s="24">
        <f t="shared" si="31"/>
        <v>1</v>
      </c>
      <c r="J216" s="717"/>
      <c r="K216" s="24">
        <f t="shared" si="32"/>
        <v>1</v>
      </c>
      <c r="L216" s="717"/>
      <c r="M216" s="24">
        <f t="shared" si="33"/>
        <v>1</v>
      </c>
      <c r="N216" s="717"/>
      <c r="O216" s="24">
        <f t="shared" si="34"/>
        <v>1</v>
      </c>
      <c r="P216" s="717"/>
      <c r="Q216" s="24">
        <f t="shared" si="35"/>
        <v>1</v>
      </c>
      <c r="R216" s="713">
        <f t="shared" si="36"/>
        <v>0</v>
      </c>
      <c r="S216" s="358">
        <f t="shared" si="37"/>
        <v>0</v>
      </c>
    </row>
    <row r="217" spans="1:19">
      <c r="A217" s="156"/>
      <c r="B217" s="59"/>
      <c r="C217" s="24">
        <f t="shared" si="28"/>
        <v>1</v>
      </c>
      <c r="D217" s="717"/>
      <c r="E217" s="24">
        <f t="shared" si="29"/>
        <v>1</v>
      </c>
      <c r="F217" s="717"/>
      <c r="G217" s="24">
        <f t="shared" si="30"/>
        <v>1</v>
      </c>
      <c r="H217" s="717"/>
      <c r="I217" s="24">
        <f t="shared" si="31"/>
        <v>1</v>
      </c>
      <c r="J217" s="717"/>
      <c r="K217" s="24">
        <f t="shared" si="32"/>
        <v>1</v>
      </c>
      <c r="L217" s="717"/>
      <c r="M217" s="24">
        <f t="shared" si="33"/>
        <v>1</v>
      </c>
      <c r="N217" s="717"/>
      <c r="O217" s="24">
        <f t="shared" si="34"/>
        <v>1</v>
      </c>
      <c r="P217" s="717"/>
      <c r="Q217" s="24">
        <f t="shared" si="35"/>
        <v>1</v>
      </c>
      <c r="R217" s="713">
        <f t="shared" si="36"/>
        <v>0</v>
      </c>
      <c r="S217" s="358">
        <f t="shared" si="37"/>
        <v>0</v>
      </c>
    </row>
    <row r="218" spans="1:19">
      <c r="A218" s="156"/>
      <c r="B218" s="59"/>
      <c r="C218" s="24">
        <f t="shared" ref="C218:C281" si="38">IF(B218="",1,(LOOKUP(B218,$3:$3,$4:$4)-LOOKUP($B$24,$3:$3,$4:$4)+100)/100)</f>
        <v>1</v>
      </c>
      <c r="D218" s="717"/>
      <c r="E218" s="24">
        <f t="shared" ref="E218:E281" si="39">(SUMIF($5:$5,D218,$6:$6)-SUMIF($5:$5,$D$24,$6:$6)+100)/100</f>
        <v>1</v>
      </c>
      <c r="F218" s="717"/>
      <c r="G218" s="24">
        <f t="shared" ref="G218:G281" si="40">(SUMIF($7:$7,F218,$8:$8)-SUMIF($7:$7,$F$24,$8:$8)+100)/100</f>
        <v>1</v>
      </c>
      <c r="H218" s="717"/>
      <c r="I218" s="24">
        <f t="shared" ref="I218:I281" si="41">(SUMIF($9:$9,H218,$10:$10)-SUMIF($9:$9,$H$24,$10:$10)+100)/100</f>
        <v>1</v>
      </c>
      <c r="J218" s="717"/>
      <c r="K218" s="24">
        <f t="shared" ref="K218:K281" si="42">(SUMIF($11:$11,J218,$12:$12)-SUMIF($11:$11,$J$24,$12:$12)+100)/100</f>
        <v>1</v>
      </c>
      <c r="L218" s="717"/>
      <c r="M218" s="24">
        <f t="shared" ref="M218:M281" si="43">(SUMIF($13:$13,L218,$14:$14)-SUMIF($13:$13,$L$24,$14:$14)+100)/100</f>
        <v>1</v>
      </c>
      <c r="N218" s="717"/>
      <c r="O218" s="24">
        <f t="shared" ref="O218:O281" si="44">(SUMIF($15:$15,N218,$16:$16)-SUMIF($15:$15,$N$24,$16:$16)+100)/100</f>
        <v>1</v>
      </c>
      <c r="P218" s="717"/>
      <c r="Q218" s="24">
        <f t="shared" ref="Q218:Q281" si="45">(SUMIF($17:$17,P218,$18:$18)-SUMIF($17:$17,$P$24,$18:$18)+100)/100</f>
        <v>1</v>
      </c>
      <c r="R218" s="713">
        <f t="shared" ref="R218:R281" si="46">IF(B218="",0,ROUND($R$24*C218*E218*G218*I218*K218*M218*O218*Q218,0))</f>
        <v>0</v>
      </c>
      <c r="S218" s="358">
        <f t="shared" si="37"/>
        <v>0</v>
      </c>
    </row>
    <row r="219" spans="1:19">
      <c r="A219" s="156"/>
      <c r="B219" s="59"/>
      <c r="C219" s="24">
        <f t="shared" si="38"/>
        <v>1</v>
      </c>
      <c r="D219" s="717"/>
      <c r="E219" s="24">
        <f t="shared" si="39"/>
        <v>1</v>
      </c>
      <c r="F219" s="717"/>
      <c r="G219" s="24">
        <f t="shared" si="40"/>
        <v>1</v>
      </c>
      <c r="H219" s="717"/>
      <c r="I219" s="24">
        <f t="shared" si="41"/>
        <v>1</v>
      </c>
      <c r="J219" s="717"/>
      <c r="K219" s="24">
        <f t="shared" si="42"/>
        <v>1</v>
      </c>
      <c r="L219" s="717"/>
      <c r="M219" s="24">
        <f t="shared" si="43"/>
        <v>1</v>
      </c>
      <c r="N219" s="717"/>
      <c r="O219" s="24">
        <f t="shared" si="44"/>
        <v>1</v>
      </c>
      <c r="P219" s="717"/>
      <c r="Q219" s="24">
        <f t="shared" si="45"/>
        <v>1</v>
      </c>
      <c r="R219" s="713">
        <f t="shared" si="46"/>
        <v>0</v>
      </c>
      <c r="S219" s="358">
        <f t="shared" si="37"/>
        <v>0</v>
      </c>
    </row>
    <row r="220" spans="1:19">
      <c r="A220" s="156"/>
      <c r="B220" s="59"/>
      <c r="C220" s="24">
        <f t="shared" si="38"/>
        <v>1</v>
      </c>
      <c r="D220" s="717"/>
      <c r="E220" s="24">
        <f t="shared" si="39"/>
        <v>1</v>
      </c>
      <c r="F220" s="717"/>
      <c r="G220" s="24">
        <f t="shared" si="40"/>
        <v>1</v>
      </c>
      <c r="H220" s="717"/>
      <c r="I220" s="24">
        <f t="shared" si="41"/>
        <v>1</v>
      </c>
      <c r="J220" s="717"/>
      <c r="K220" s="24">
        <f t="shared" si="42"/>
        <v>1</v>
      </c>
      <c r="L220" s="717"/>
      <c r="M220" s="24">
        <f t="shared" si="43"/>
        <v>1</v>
      </c>
      <c r="N220" s="717"/>
      <c r="O220" s="24">
        <f t="shared" si="44"/>
        <v>1</v>
      </c>
      <c r="P220" s="717"/>
      <c r="Q220" s="24">
        <f t="shared" si="45"/>
        <v>1</v>
      </c>
      <c r="R220" s="713">
        <f t="shared" si="46"/>
        <v>0</v>
      </c>
      <c r="S220" s="358">
        <f t="shared" si="37"/>
        <v>0</v>
      </c>
    </row>
    <row r="221" spans="1:19">
      <c r="A221" s="156"/>
      <c r="B221" s="59"/>
      <c r="C221" s="24">
        <f t="shared" si="38"/>
        <v>1</v>
      </c>
      <c r="D221" s="717"/>
      <c r="E221" s="24">
        <f t="shared" si="39"/>
        <v>1</v>
      </c>
      <c r="F221" s="717"/>
      <c r="G221" s="24">
        <f t="shared" si="40"/>
        <v>1</v>
      </c>
      <c r="H221" s="717"/>
      <c r="I221" s="24">
        <f t="shared" si="41"/>
        <v>1</v>
      </c>
      <c r="J221" s="717"/>
      <c r="K221" s="24">
        <f t="shared" si="42"/>
        <v>1</v>
      </c>
      <c r="L221" s="717"/>
      <c r="M221" s="24">
        <f t="shared" si="43"/>
        <v>1</v>
      </c>
      <c r="N221" s="717"/>
      <c r="O221" s="24">
        <f t="shared" si="44"/>
        <v>1</v>
      </c>
      <c r="P221" s="717"/>
      <c r="Q221" s="24">
        <f t="shared" si="45"/>
        <v>1</v>
      </c>
      <c r="R221" s="713">
        <f t="shared" si="46"/>
        <v>0</v>
      </c>
      <c r="S221" s="358">
        <f t="shared" si="37"/>
        <v>0</v>
      </c>
    </row>
    <row r="222" spans="1:19">
      <c r="A222" s="156"/>
      <c r="B222" s="59"/>
      <c r="C222" s="24">
        <f t="shared" si="38"/>
        <v>1</v>
      </c>
      <c r="D222" s="717"/>
      <c r="E222" s="24">
        <f t="shared" si="39"/>
        <v>1</v>
      </c>
      <c r="F222" s="717"/>
      <c r="G222" s="24">
        <f t="shared" si="40"/>
        <v>1</v>
      </c>
      <c r="H222" s="717"/>
      <c r="I222" s="24">
        <f t="shared" si="41"/>
        <v>1</v>
      </c>
      <c r="J222" s="717"/>
      <c r="K222" s="24">
        <f t="shared" si="42"/>
        <v>1</v>
      </c>
      <c r="L222" s="717"/>
      <c r="M222" s="24">
        <f t="shared" si="43"/>
        <v>1</v>
      </c>
      <c r="N222" s="717"/>
      <c r="O222" s="24">
        <f t="shared" si="44"/>
        <v>1</v>
      </c>
      <c r="P222" s="717"/>
      <c r="Q222" s="24">
        <f t="shared" si="45"/>
        <v>1</v>
      </c>
      <c r="R222" s="713">
        <f t="shared" si="46"/>
        <v>0</v>
      </c>
      <c r="S222" s="358">
        <f t="shared" si="37"/>
        <v>0</v>
      </c>
    </row>
    <row r="223" spans="1:19">
      <c r="A223" s="156"/>
      <c r="B223" s="59"/>
      <c r="C223" s="24">
        <f t="shared" si="38"/>
        <v>1</v>
      </c>
      <c r="D223" s="717"/>
      <c r="E223" s="24">
        <f t="shared" si="39"/>
        <v>1</v>
      </c>
      <c r="F223" s="717"/>
      <c r="G223" s="24">
        <f t="shared" si="40"/>
        <v>1</v>
      </c>
      <c r="H223" s="717"/>
      <c r="I223" s="24">
        <f t="shared" si="41"/>
        <v>1</v>
      </c>
      <c r="J223" s="717"/>
      <c r="K223" s="24">
        <f t="shared" si="42"/>
        <v>1</v>
      </c>
      <c r="L223" s="717"/>
      <c r="M223" s="24">
        <f t="shared" si="43"/>
        <v>1</v>
      </c>
      <c r="N223" s="717"/>
      <c r="O223" s="24">
        <f t="shared" si="44"/>
        <v>1</v>
      </c>
      <c r="P223" s="717"/>
      <c r="Q223" s="24">
        <f t="shared" si="45"/>
        <v>1</v>
      </c>
      <c r="R223" s="713">
        <f t="shared" si="46"/>
        <v>0</v>
      </c>
      <c r="S223" s="358">
        <f t="shared" ref="S223:S286" si="47">ROUND(R223*B223/10000,0)</f>
        <v>0</v>
      </c>
    </row>
    <row r="224" spans="1:19">
      <c r="A224" s="156"/>
      <c r="B224" s="59"/>
      <c r="C224" s="24">
        <f t="shared" si="38"/>
        <v>1</v>
      </c>
      <c r="D224" s="717"/>
      <c r="E224" s="24">
        <f t="shared" si="39"/>
        <v>1</v>
      </c>
      <c r="F224" s="717"/>
      <c r="G224" s="24">
        <f t="shared" si="40"/>
        <v>1</v>
      </c>
      <c r="H224" s="717"/>
      <c r="I224" s="24">
        <f t="shared" si="41"/>
        <v>1</v>
      </c>
      <c r="J224" s="717"/>
      <c r="K224" s="24">
        <f t="shared" si="42"/>
        <v>1</v>
      </c>
      <c r="L224" s="717"/>
      <c r="M224" s="24">
        <f t="shared" si="43"/>
        <v>1</v>
      </c>
      <c r="N224" s="717"/>
      <c r="O224" s="24">
        <f t="shared" si="44"/>
        <v>1</v>
      </c>
      <c r="P224" s="717"/>
      <c r="Q224" s="24">
        <f t="shared" si="45"/>
        <v>1</v>
      </c>
      <c r="R224" s="713">
        <f t="shared" si="46"/>
        <v>0</v>
      </c>
      <c r="S224" s="358">
        <f t="shared" si="47"/>
        <v>0</v>
      </c>
    </row>
    <row r="225" spans="1:19">
      <c r="A225" s="156"/>
      <c r="B225" s="59"/>
      <c r="C225" s="24">
        <f t="shared" si="38"/>
        <v>1</v>
      </c>
      <c r="D225" s="717"/>
      <c r="E225" s="24">
        <f t="shared" si="39"/>
        <v>1</v>
      </c>
      <c r="F225" s="717"/>
      <c r="G225" s="24">
        <f t="shared" si="40"/>
        <v>1</v>
      </c>
      <c r="H225" s="717"/>
      <c r="I225" s="24">
        <f t="shared" si="41"/>
        <v>1</v>
      </c>
      <c r="J225" s="717"/>
      <c r="K225" s="24">
        <f t="shared" si="42"/>
        <v>1</v>
      </c>
      <c r="L225" s="717"/>
      <c r="M225" s="24">
        <f t="shared" si="43"/>
        <v>1</v>
      </c>
      <c r="N225" s="717"/>
      <c r="O225" s="24">
        <f t="shared" si="44"/>
        <v>1</v>
      </c>
      <c r="P225" s="717"/>
      <c r="Q225" s="24">
        <f t="shared" si="45"/>
        <v>1</v>
      </c>
      <c r="R225" s="713">
        <f t="shared" si="46"/>
        <v>0</v>
      </c>
      <c r="S225" s="358">
        <f t="shared" si="47"/>
        <v>0</v>
      </c>
    </row>
    <row r="226" spans="1:19">
      <c r="A226" s="156"/>
      <c r="B226" s="59"/>
      <c r="C226" s="24">
        <f t="shared" si="38"/>
        <v>1</v>
      </c>
      <c r="D226" s="717"/>
      <c r="E226" s="24">
        <f t="shared" si="39"/>
        <v>1</v>
      </c>
      <c r="F226" s="717"/>
      <c r="G226" s="24">
        <f t="shared" si="40"/>
        <v>1</v>
      </c>
      <c r="H226" s="717"/>
      <c r="I226" s="24">
        <f t="shared" si="41"/>
        <v>1</v>
      </c>
      <c r="J226" s="717"/>
      <c r="K226" s="24">
        <f t="shared" si="42"/>
        <v>1</v>
      </c>
      <c r="L226" s="717"/>
      <c r="M226" s="24">
        <f t="shared" si="43"/>
        <v>1</v>
      </c>
      <c r="N226" s="717"/>
      <c r="O226" s="24">
        <f t="shared" si="44"/>
        <v>1</v>
      </c>
      <c r="P226" s="717"/>
      <c r="Q226" s="24">
        <f t="shared" si="45"/>
        <v>1</v>
      </c>
      <c r="R226" s="713">
        <f t="shared" si="46"/>
        <v>0</v>
      </c>
      <c r="S226" s="358">
        <f t="shared" si="47"/>
        <v>0</v>
      </c>
    </row>
    <row r="227" spans="1:19">
      <c r="A227" s="156"/>
      <c r="B227" s="59"/>
      <c r="C227" s="24">
        <f t="shared" si="38"/>
        <v>1</v>
      </c>
      <c r="D227" s="717"/>
      <c r="E227" s="24">
        <f t="shared" si="39"/>
        <v>1</v>
      </c>
      <c r="F227" s="717"/>
      <c r="G227" s="24">
        <f t="shared" si="40"/>
        <v>1</v>
      </c>
      <c r="H227" s="717"/>
      <c r="I227" s="24">
        <f t="shared" si="41"/>
        <v>1</v>
      </c>
      <c r="J227" s="717"/>
      <c r="K227" s="24">
        <f t="shared" si="42"/>
        <v>1</v>
      </c>
      <c r="L227" s="717"/>
      <c r="M227" s="24">
        <f t="shared" si="43"/>
        <v>1</v>
      </c>
      <c r="N227" s="717"/>
      <c r="O227" s="24">
        <f t="shared" si="44"/>
        <v>1</v>
      </c>
      <c r="P227" s="717"/>
      <c r="Q227" s="24">
        <f t="shared" si="45"/>
        <v>1</v>
      </c>
      <c r="R227" s="713">
        <f t="shared" si="46"/>
        <v>0</v>
      </c>
      <c r="S227" s="358">
        <f t="shared" si="47"/>
        <v>0</v>
      </c>
    </row>
    <row r="228" spans="1:19">
      <c r="A228" s="156"/>
      <c r="B228" s="59"/>
      <c r="C228" s="24">
        <f t="shared" si="38"/>
        <v>1</v>
      </c>
      <c r="D228" s="717"/>
      <c r="E228" s="24">
        <f t="shared" si="39"/>
        <v>1</v>
      </c>
      <c r="F228" s="717"/>
      <c r="G228" s="24">
        <f t="shared" si="40"/>
        <v>1</v>
      </c>
      <c r="H228" s="717"/>
      <c r="I228" s="24">
        <f t="shared" si="41"/>
        <v>1</v>
      </c>
      <c r="J228" s="717"/>
      <c r="K228" s="24">
        <f t="shared" si="42"/>
        <v>1</v>
      </c>
      <c r="L228" s="717"/>
      <c r="M228" s="24">
        <f t="shared" si="43"/>
        <v>1</v>
      </c>
      <c r="N228" s="717"/>
      <c r="O228" s="24">
        <f t="shared" si="44"/>
        <v>1</v>
      </c>
      <c r="P228" s="717"/>
      <c r="Q228" s="24">
        <f t="shared" si="45"/>
        <v>1</v>
      </c>
      <c r="R228" s="713">
        <f t="shared" si="46"/>
        <v>0</v>
      </c>
      <c r="S228" s="358">
        <f t="shared" si="47"/>
        <v>0</v>
      </c>
    </row>
    <row r="229" spans="1:19">
      <c r="A229" s="156"/>
      <c r="B229" s="59"/>
      <c r="C229" s="24">
        <f t="shared" si="38"/>
        <v>1</v>
      </c>
      <c r="D229" s="717"/>
      <c r="E229" s="24">
        <f t="shared" si="39"/>
        <v>1</v>
      </c>
      <c r="F229" s="717"/>
      <c r="G229" s="24">
        <f t="shared" si="40"/>
        <v>1</v>
      </c>
      <c r="H229" s="717"/>
      <c r="I229" s="24">
        <f t="shared" si="41"/>
        <v>1</v>
      </c>
      <c r="J229" s="717"/>
      <c r="K229" s="24">
        <f t="shared" si="42"/>
        <v>1</v>
      </c>
      <c r="L229" s="717"/>
      <c r="M229" s="24">
        <f t="shared" si="43"/>
        <v>1</v>
      </c>
      <c r="N229" s="717"/>
      <c r="O229" s="24">
        <f t="shared" si="44"/>
        <v>1</v>
      </c>
      <c r="P229" s="717"/>
      <c r="Q229" s="24">
        <f t="shared" si="45"/>
        <v>1</v>
      </c>
      <c r="R229" s="713">
        <f t="shared" si="46"/>
        <v>0</v>
      </c>
      <c r="S229" s="358">
        <f t="shared" si="47"/>
        <v>0</v>
      </c>
    </row>
    <row r="230" spans="1:19">
      <c r="A230" s="156"/>
      <c r="B230" s="59"/>
      <c r="C230" s="24">
        <f t="shared" si="38"/>
        <v>1</v>
      </c>
      <c r="D230" s="717"/>
      <c r="E230" s="24">
        <f t="shared" si="39"/>
        <v>1</v>
      </c>
      <c r="F230" s="717"/>
      <c r="G230" s="24">
        <f t="shared" si="40"/>
        <v>1</v>
      </c>
      <c r="H230" s="717"/>
      <c r="I230" s="24">
        <f t="shared" si="41"/>
        <v>1</v>
      </c>
      <c r="J230" s="717"/>
      <c r="K230" s="24">
        <f t="shared" si="42"/>
        <v>1</v>
      </c>
      <c r="L230" s="717"/>
      <c r="M230" s="24">
        <f t="shared" si="43"/>
        <v>1</v>
      </c>
      <c r="N230" s="717"/>
      <c r="O230" s="24">
        <f t="shared" si="44"/>
        <v>1</v>
      </c>
      <c r="P230" s="717"/>
      <c r="Q230" s="24">
        <f t="shared" si="45"/>
        <v>1</v>
      </c>
      <c r="R230" s="713">
        <f t="shared" si="46"/>
        <v>0</v>
      </c>
      <c r="S230" s="358">
        <f t="shared" si="47"/>
        <v>0</v>
      </c>
    </row>
    <row r="231" spans="1:19">
      <c r="A231" s="156"/>
      <c r="B231" s="59"/>
      <c r="C231" s="24">
        <f t="shared" si="38"/>
        <v>1</v>
      </c>
      <c r="D231" s="717"/>
      <c r="E231" s="24">
        <f t="shared" si="39"/>
        <v>1</v>
      </c>
      <c r="F231" s="717"/>
      <c r="G231" s="24">
        <f t="shared" si="40"/>
        <v>1</v>
      </c>
      <c r="H231" s="717"/>
      <c r="I231" s="24">
        <f t="shared" si="41"/>
        <v>1</v>
      </c>
      <c r="J231" s="717"/>
      <c r="K231" s="24">
        <f t="shared" si="42"/>
        <v>1</v>
      </c>
      <c r="L231" s="717"/>
      <c r="M231" s="24">
        <f t="shared" si="43"/>
        <v>1</v>
      </c>
      <c r="N231" s="717"/>
      <c r="O231" s="24">
        <f t="shared" si="44"/>
        <v>1</v>
      </c>
      <c r="P231" s="717"/>
      <c r="Q231" s="24">
        <f t="shared" si="45"/>
        <v>1</v>
      </c>
      <c r="R231" s="713">
        <f t="shared" si="46"/>
        <v>0</v>
      </c>
      <c r="S231" s="358">
        <f t="shared" si="47"/>
        <v>0</v>
      </c>
    </row>
    <row r="232" spans="1:19">
      <c r="A232" s="156"/>
      <c r="B232" s="59"/>
      <c r="C232" s="24">
        <f t="shared" si="38"/>
        <v>1</v>
      </c>
      <c r="D232" s="717"/>
      <c r="E232" s="24">
        <f t="shared" si="39"/>
        <v>1</v>
      </c>
      <c r="F232" s="717"/>
      <c r="G232" s="24">
        <f t="shared" si="40"/>
        <v>1</v>
      </c>
      <c r="H232" s="717"/>
      <c r="I232" s="24">
        <f t="shared" si="41"/>
        <v>1</v>
      </c>
      <c r="J232" s="717"/>
      <c r="K232" s="24">
        <f t="shared" si="42"/>
        <v>1</v>
      </c>
      <c r="L232" s="717"/>
      <c r="M232" s="24">
        <f t="shared" si="43"/>
        <v>1</v>
      </c>
      <c r="N232" s="717"/>
      <c r="O232" s="24">
        <f t="shared" si="44"/>
        <v>1</v>
      </c>
      <c r="P232" s="717"/>
      <c r="Q232" s="24">
        <f t="shared" si="45"/>
        <v>1</v>
      </c>
      <c r="R232" s="713">
        <f t="shared" si="46"/>
        <v>0</v>
      </c>
      <c r="S232" s="358">
        <f t="shared" si="47"/>
        <v>0</v>
      </c>
    </row>
    <row r="233" spans="1:19">
      <c r="A233" s="156"/>
      <c r="B233" s="59"/>
      <c r="C233" s="24">
        <f t="shared" si="38"/>
        <v>1</v>
      </c>
      <c r="D233" s="717"/>
      <c r="E233" s="24">
        <f t="shared" si="39"/>
        <v>1</v>
      </c>
      <c r="F233" s="717"/>
      <c r="G233" s="24">
        <f t="shared" si="40"/>
        <v>1</v>
      </c>
      <c r="H233" s="717"/>
      <c r="I233" s="24">
        <f t="shared" si="41"/>
        <v>1</v>
      </c>
      <c r="J233" s="717"/>
      <c r="K233" s="24">
        <f t="shared" si="42"/>
        <v>1</v>
      </c>
      <c r="L233" s="717"/>
      <c r="M233" s="24">
        <f t="shared" si="43"/>
        <v>1</v>
      </c>
      <c r="N233" s="717"/>
      <c r="O233" s="24">
        <f t="shared" si="44"/>
        <v>1</v>
      </c>
      <c r="P233" s="717"/>
      <c r="Q233" s="24">
        <f t="shared" si="45"/>
        <v>1</v>
      </c>
      <c r="R233" s="713">
        <f t="shared" si="46"/>
        <v>0</v>
      </c>
      <c r="S233" s="358">
        <f t="shared" si="47"/>
        <v>0</v>
      </c>
    </row>
    <row r="234" spans="1:19">
      <c r="A234" s="156"/>
      <c r="B234" s="59"/>
      <c r="C234" s="24">
        <f t="shared" si="38"/>
        <v>1</v>
      </c>
      <c r="D234" s="717"/>
      <c r="E234" s="24">
        <f t="shared" si="39"/>
        <v>1</v>
      </c>
      <c r="F234" s="717"/>
      <c r="G234" s="24">
        <f t="shared" si="40"/>
        <v>1</v>
      </c>
      <c r="H234" s="717"/>
      <c r="I234" s="24">
        <f t="shared" si="41"/>
        <v>1</v>
      </c>
      <c r="J234" s="717"/>
      <c r="K234" s="24">
        <f t="shared" si="42"/>
        <v>1</v>
      </c>
      <c r="L234" s="717"/>
      <c r="M234" s="24">
        <f t="shared" si="43"/>
        <v>1</v>
      </c>
      <c r="N234" s="717"/>
      <c r="O234" s="24">
        <f t="shared" si="44"/>
        <v>1</v>
      </c>
      <c r="P234" s="717"/>
      <c r="Q234" s="24">
        <f t="shared" si="45"/>
        <v>1</v>
      </c>
      <c r="R234" s="713">
        <f t="shared" si="46"/>
        <v>0</v>
      </c>
      <c r="S234" s="358">
        <f t="shared" si="47"/>
        <v>0</v>
      </c>
    </row>
    <row r="235" spans="1:19">
      <c r="A235" s="156"/>
      <c r="B235" s="59"/>
      <c r="C235" s="24">
        <f t="shared" si="38"/>
        <v>1</v>
      </c>
      <c r="D235" s="717"/>
      <c r="E235" s="24">
        <f t="shared" si="39"/>
        <v>1</v>
      </c>
      <c r="F235" s="717"/>
      <c r="G235" s="24">
        <f t="shared" si="40"/>
        <v>1</v>
      </c>
      <c r="H235" s="717"/>
      <c r="I235" s="24">
        <f t="shared" si="41"/>
        <v>1</v>
      </c>
      <c r="J235" s="717"/>
      <c r="K235" s="24">
        <f t="shared" si="42"/>
        <v>1</v>
      </c>
      <c r="L235" s="717"/>
      <c r="M235" s="24">
        <f t="shared" si="43"/>
        <v>1</v>
      </c>
      <c r="N235" s="717"/>
      <c r="O235" s="24">
        <f t="shared" si="44"/>
        <v>1</v>
      </c>
      <c r="P235" s="717"/>
      <c r="Q235" s="24">
        <f t="shared" si="45"/>
        <v>1</v>
      </c>
      <c r="R235" s="713">
        <f t="shared" si="46"/>
        <v>0</v>
      </c>
      <c r="S235" s="358">
        <f t="shared" si="47"/>
        <v>0</v>
      </c>
    </row>
    <row r="236" spans="1:19">
      <c r="A236" s="156"/>
      <c r="B236" s="59"/>
      <c r="C236" s="24">
        <f t="shared" si="38"/>
        <v>1</v>
      </c>
      <c r="D236" s="717"/>
      <c r="E236" s="24">
        <f t="shared" si="39"/>
        <v>1</v>
      </c>
      <c r="F236" s="717"/>
      <c r="G236" s="24">
        <f t="shared" si="40"/>
        <v>1</v>
      </c>
      <c r="H236" s="717"/>
      <c r="I236" s="24">
        <f t="shared" si="41"/>
        <v>1</v>
      </c>
      <c r="J236" s="717"/>
      <c r="K236" s="24">
        <f t="shared" si="42"/>
        <v>1</v>
      </c>
      <c r="L236" s="717"/>
      <c r="M236" s="24">
        <f t="shared" si="43"/>
        <v>1</v>
      </c>
      <c r="N236" s="717"/>
      <c r="O236" s="24">
        <f t="shared" si="44"/>
        <v>1</v>
      </c>
      <c r="P236" s="717"/>
      <c r="Q236" s="24">
        <f t="shared" si="45"/>
        <v>1</v>
      </c>
      <c r="R236" s="713">
        <f t="shared" si="46"/>
        <v>0</v>
      </c>
      <c r="S236" s="358">
        <f t="shared" si="47"/>
        <v>0</v>
      </c>
    </row>
    <row r="237" spans="1:19">
      <c r="A237" s="156"/>
      <c r="B237" s="59"/>
      <c r="C237" s="24">
        <f t="shared" si="38"/>
        <v>1</v>
      </c>
      <c r="D237" s="717"/>
      <c r="E237" s="24">
        <f t="shared" si="39"/>
        <v>1</v>
      </c>
      <c r="F237" s="717"/>
      <c r="G237" s="24">
        <f t="shared" si="40"/>
        <v>1</v>
      </c>
      <c r="H237" s="717"/>
      <c r="I237" s="24">
        <f t="shared" si="41"/>
        <v>1</v>
      </c>
      <c r="J237" s="717"/>
      <c r="K237" s="24">
        <f t="shared" si="42"/>
        <v>1</v>
      </c>
      <c r="L237" s="717"/>
      <c r="M237" s="24">
        <f t="shared" si="43"/>
        <v>1</v>
      </c>
      <c r="N237" s="717"/>
      <c r="O237" s="24">
        <f t="shared" si="44"/>
        <v>1</v>
      </c>
      <c r="P237" s="717"/>
      <c r="Q237" s="24">
        <f t="shared" si="45"/>
        <v>1</v>
      </c>
      <c r="R237" s="713">
        <f t="shared" si="46"/>
        <v>0</v>
      </c>
      <c r="S237" s="358">
        <f t="shared" si="47"/>
        <v>0</v>
      </c>
    </row>
    <row r="238" spans="1:19">
      <c r="A238" s="156"/>
      <c r="B238" s="59"/>
      <c r="C238" s="24">
        <f t="shared" si="38"/>
        <v>1</v>
      </c>
      <c r="D238" s="717"/>
      <c r="E238" s="24">
        <f t="shared" si="39"/>
        <v>1</v>
      </c>
      <c r="F238" s="717"/>
      <c r="G238" s="24">
        <f t="shared" si="40"/>
        <v>1</v>
      </c>
      <c r="H238" s="717"/>
      <c r="I238" s="24">
        <f t="shared" si="41"/>
        <v>1</v>
      </c>
      <c r="J238" s="717"/>
      <c r="K238" s="24">
        <f t="shared" si="42"/>
        <v>1</v>
      </c>
      <c r="L238" s="717"/>
      <c r="M238" s="24">
        <f t="shared" si="43"/>
        <v>1</v>
      </c>
      <c r="N238" s="717"/>
      <c r="O238" s="24">
        <f t="shared" si="44"/>
        <v>1</v>
      </c>
      <c r="P238" s="717"/>
      <c r="Q238" s="24">
        <f t="shared" si="45"/>
        <v>1</v>
      </c>
      <c r="R238" s="713">
        <f t="shared" si="46"/>
        <v>0</v>
      </c>
      <c r="S238" s="358">
        <f t="shared" si="47"/>
        <v>0</v>
      </c>
    </row>
    <row r="239" spans="1:19">
      <c r="A239" s="156"/>
      <c r="B239" s="59"/>
      <c r="C239" s="24">
        <f t="shared" si="38"/>
        <v>1</v>
      </c>
      <c r="D239" s="717"/>
      <c r="E239" s="24">
        <f t="shared" si="39"/>
        <v>1</v>
      </c>
      <c r="F239" s="717"/>
      <c r="G239" s="24">
        <f t="shared" si="40"/>
        <v>1</v>
      </c>
      <c r="H239" s="717"/>
      <c r="I239" s="24">
        <f t="shared" si="41"/>
        <v>1</v>
      </c>
      <c r="J239" s="717"/>
      <c r="K239" s="24">
        <f t="shared" si="42"/>
        <v>1</v>
      </c>
      <c r="L239" s="717"/>
      <c r="M239" s="24">
        <f t="shared" si="43"/>
        <v>1</v>
      </c>
      <c r="N239" s="717"/>
      <c r="O239" s="24">
        <f t="shared" si="44"/>
        <v>1</v>
      </c>
      <c r="P239" s="717"/>
      <c r="Q239" s="24">
        <f t="shared" si="45"/>
        <v>1</v>
      </c>
      <c r="R239" s="713">
        <f t="shared" si="46"/>
        <v>0</v>
      </c>
      <c r="S239" s="358">
        <f t="shared" si="47"/>
        <v>0</v>
      </c>
    </row>
    <row r="240" spans="1:19">
      <c r="A240" s="156"/>
      <c r="B240" s="59"/>
      <c r="C240" s="24">
        <f t="shared" si="38"/>
        <v>1</v>
      </c>
      <c r="D240" s="717"/>
      <c r="E240" s="24">
        <f t="shared" si="39"/>
        <v>1</v>
      </c>
      <c r="F240" s="717"/>
      <c r="G240" s="24">
        <f t="shared" si="40"/>
        <v>1</v>
      </c>
      <c r="H240" s="717"/>
      <c r="I240" s="24">
        <f t="shared" si="41"/>
        <v>1</v>
      </c>
      <c r="J240" s="717"/>
      <c r="K240" s="24">
        <f t="shared" si="42"/>
        <v>1</v>
      </c>
      <c r="L240" s="717"/>
      <c r="M240" s="24">
        <f t="shared" si="43"/>
        <v>1</v>
      </c>
      <c r="N240" s="717"/>
      <c r="O240" s="24">
        <f t="shared" si="44"/>
        <v>1</v>
      </c>
      <c r="P240" s="717"/>
      <c r="Q240" s="24">
        <f t="shared" si="45"/>
        <v>1</v>
      </c>
      <c r="R240" s="713">
        <f t="shared" si="46"/>
        <v>0</v>
      </c>
      <c r="S240" s="358">
        <f t="shared" si="47"/>
        <v>0</v>
      </c>
    </row>
    <row r="241" spans="1:19">
      <c r="A241" s="156"/>
      <c r="B241" s="59"/>
      <c r="C241" s="24">
        <f t="shared" si="38"/>
        <v>1</v>
      </c>
      <c r="D241" s="717"/>
      <c r="E241" s="24">
        <f t="shared" si="39"/>
        <v>1</v>
      </c>
      <c r="F241" s="717"/>
      <c r="G241" s="24">
        <f t="shared" si="40"/>
        <v>1</v>
      </c>
      <c r="H241" s="717"/>
      <c r="I241" s="24">
        <f t="shared" si="41"/>
        <v>1</v>
      </c>
      <c r="J241" s="717"/>
      <c r="K241" s="24">
        <f t="shared" si="42"/>
        <v>1</v>
      </c>
      <c r="L241" s="717"/>
      <c r="M241" s="24">
        <f t="shared" si="43"/>
        <v>1</v>
      </c>
      <c r="N241" s="717"/>
      <c r="O241" s="24">
        <f t="shared" si="44"/>
        <v>1</v>
      </c>
      <c r="P241" s="717"/>
      <c r="Q241" s="24">
        <f t="shared" si="45"/>
        <v>1</v>
      </c>
      <c r="R241" s="713">
        <f t="shared" si="46"/>
        <v>0</v>
      </c>
      <c r="S241" s="358">
        <f t="shared" si="47"/>
        <v>0</v>
      </c>
    </row>
    <row r="242" spans="1:19">
      <c r="A242" s="156"/>
      <c r="B242" s="59"/>
      <c r="C242" s="24">
        <f t="shared" si="38"/>
        <v>1</v>
      </c>
      <c r="D242" s="717"/>
      <c r="E242" s="24">
        <f t="shared" si="39"/>
        <v>1</v>
      </c>
      <c r="F242" s="717"/>
      <c r="G242" s="24">
        <f t="shared" si="40"/>
        <v>1</v>
      </c>
      <c r="H242" s="717"/>
      <c r="I242" s="24">
        <f t="shared" si="41"/>
        <v>1</v>
      </c>
      <c r="J242" s="717"/>
      <c r="K242" s="24">
        <f t="shared" si="42"/>
        <v>1</v>
      </c>
      <c r="L242" s="717"/>
      <c r="M242" s="24">
        <f t="shared" si="43"/>
        <v>1</v>
      </c>
      <c r="N242" s="717"/>
      <c r="O242" s="24">
        <f t="shared" si="44"/>
        <v>1</v>
      </c>
      <c r="P242" s="717"/>
      <c r="Q242" s="24">
        <f t="shared" si="45"/>
        <v>1</v>
      </c>
      <c r="R242" s="713">
        <f t="shared" si="46"/>
        <v>0</v>
      </c>
      <c r="S242" s="358">
        <f t="shared" si="47"/>
        <v>0</v>
      </c>
    </row>
    <row r="243" spans="1:19">
      <c r="A243" s="156"/>
      <c r="B243" s="59"/>
      <c r="C243" s="24">
        <f t="shared" si="38"/>
        <v>1</v>
      </c>
      <c r="D243" s="717"/>
      <c r="E243" s="24">
        <f t="shared" si="39"/>
        <v>1</v>
      </c>
      <c r="F243" s="717"/>
      <c r="G243" s="24">
        <f t="shared" si="40"/>
        <v>1</v>
      </c>
      <c r="H243" s="717"/>
      <c r="I243" s="24">
        <f t="shared" si="41"/>
        <v>1</v>
      </c>
      <c r="J243" s="717"/>
      <c r="K243" s="24">
        <f t="shared" si="42"/>
        <v>1</v>
      </c>
      <c r="L243" s="717"/>
      <c r="M243" s="24">
        <f t="shared" si="43"/>
        <v>1</v>
      </c>
      <c r="N243" s="717"/>
      <c r="O243" s="24">
        <f t="shared" si="44"/>
        <v>1</v>
      </c>
      <c r="P243" s="717"/>
      <c r="Q243" s="24">
        <f t="shared" si="45"/>
        <v>1</v>
      </c>
      <c r="R243" s="713">
        <f t="shared" si="46"/>
        <v>0</v>
      </c>
      <c r="S243" s="358">
        <f t="shared" si="47"/>
        <v>0</v>
      </c>
    </row>
    <row r="244" spans="1:19">
      <c r="A244" s="156"/>
      <c r="B244" s="59"/>
      <c r="C244" s="24">
        <f t="shared" si="38"/>
        <v>1</v>
      </c>
      <c r="D244" s="717"/>
      <c r="E244" s="24">
        <f t="shared" si="39"/>
        <v>1</v>
      </c>
      <c r="F244" s="717"/>
      <c r="G244" s="24">
        <f t="shared" si="40"/>
        <v>1</v>
      </c>
      <c r="H244" s="717"/>
      <c r="I244" s="24">
        <f t="shared" si="41"/>
        <v>1</v>
      </c>
      <c r="J244" s="717"/>
      <c r="K244" s="24">
        <f t="shared" si="42"/>
        <v>1</v>
      </c>
      <c r="L244" s="717"/>
      <c r="M244" s="24">
        <f t="shared" si="43"/>
        <v>1</v>
      </c>
      <c r="N244" s="717"/>
      <c r="O244" s="24">
        <f t="shared" si="44"/>
        <v>1</v>
      </c>
      <c r="P244" s="717"/>
      <c r="Q244" s="24">
        <f t="shared" si="45"/>
        <v>1</v>
      </c>
      <c r="R244" s="713">
        <f t="shared" si="46"/>
        <v>0</v>
      </c>
      <c r="S244" s="358">
        <f t="shared" si="47"/>
        <v>0</v>
      </c>
    </row>
    <row r="245" spans="1:19">
      <c r="A245" s="156"/>
      <c r="B245" s="59"/>
      <c r="C245" s="24">
        <f t="shared" si="38"/>
        <v>1</v>
      </c>
      <c r="D245" s="717"/>
      <c r="E245" s="24">
        <f t="shared" si="39"/>
        <v>1</v>
      </c>
      <c r="F245" s="717"/>
      <c r="G245" s="24">
        <f t="shared" si="40"/>
        <v>1</v>
      </c>
      <c r="H245" s="717"/>
      <c r="I245" s="24">
        <f t="shared" si="41"/>
        <v>1</v>
      </c>
      <c r="J245" s="717"/>
      <c r="K245" s="24">
        <f t="shared" si="42"/>
        <v>1</v>
      </c>
      <c r="L245" s="717"/>
      <c r="M245" s="24">
        <f t="shared" si="43"/>
        <v>1</v>
      </c>
      <c r="N245" s="717"/>
      <c r="O245" s="24">
        <f t="shared" si="44"/>
        <v>1</v>
      </c>
      <c r="P245" s="717"/>
      <c r="Q245" s="24">
        <f t="shared" si="45"/>
        <v>1</v>
      </c>
      <c r="R245" s="713">
        <f t="shared" si="46"/>
        <v>0</v>
      </c>
      <c r="S245" s="358">
        <f t="shared" si="47"/>
        <v>0</v>
      </c>
    </row>
    <row r="246" spans="1:19">
      <c r="A246" s="156"/>
      <c r="B246" s="59"/>
      <c r="C246" s="24">
        <f t="shared" si="38"/>
        <v>1</v>
      </c>
      <c r="D246" s="717"/>
      <c r="E246" s="24">
        <f t="shared" si="39"/>
        <v>1</v>
      </c>
      <c r="F246" s="717"/>
      <c r="G246" s="24">
        <f t="shared" si="40"/>
        <v>1</v>
      </c>
      <c r="H246" s="717"/>
      <c r="I246" s="24">
        <f t="shared" si="41"/>
        <v>1</v>
      </c>
      <c r="J246" s="717"/>
      <c r="K246" s="24">
        <f t="shared" si="42"/>
        <v>1</v>
      </c>
      <c r="L246" s="717"/>
      <c r="M246" s="24">
        <f t="shared" si="43"/>
        <v>1</v>
      </c>
      <c r="N246" s="717"/>
      <c r="O246" s="24">
        <f t="shared" si="44"/>
        <v>1</v>
      </c>
      <c r="P246" s="717"/>
      <c r="Q246" s="24">
        <f t="shared" si="45"/>
        <v>1</v>
      </c>
      <c r="R246" s="713">
        <f t="shared" si="46"/>
        <v>0</v>
      </c>
      <c r="S246" s="358">
        <f t="shared" si="47"/>
        <v>0</v>
      </c>
    </row>
    <row r="247" spans="1:19">
      <c r="A247" s="156"/>
      <c r="B247" s="59"/>
      <c r="C247" s="24">
        <f t="shared" si="38"/>
        <v>1</v>
      </c>
      <c r="D247" s="717"/>
      <c r="E247" s="24">
        <f t="shared" si="39"/>
        <v>1</v>
      </c>
      <c r="F247" s="717"/>
      <c r="G247" s="24">
        <f t="shared" si="40"/>
        <v>1</v>
      </c>
      <c r="H247" s="717"/>
      <c r="I247" s="24">
        <f t="shared" si="41"/>
        <v>1</v>
      </c>
      <c r="J247" s="717"/>
      <c r="K247" s="24">
        <f t="shared" si="42"/>
        <v>1</v>
      </c>
      <c r="L247" s="717"/>
      <c r="M247" s="24">
        <f t="shared" si="43"/>
        <v>1</v>
      </c>
      <c r="N247" s="717"/>
      <c r="O247" s="24">
        <f t="shared" si="44"/>
        <v>1</v>
      </c>
      <c r="P247" s="717"/>
      <c r="Q247" s="24">
        <f t="shared" si="45"/>
        <v>1</v>
      </c>
      <c r="R247" s="713">
        <f t="shared" si="46"/>
        <v>0</v>
      </c>
      <c r="S247" s="358">
        <f t="shared" si="47"/>
        <v>0</v>
      </c>
    </row>
    <row r="248" spans="1:19">
      <c r="A248" s="156"/>
      <c r="B248" s="59"/>
      <c r="C248" s="24">
        <f t="shared" si="38"/>
        <v>1</v>
      </c>
      <c r="D248" s="717"/>
      <c r="E248" s="24">
        <f t="shared" si="39"/>
        <v>1</v>
      </c>
      <c r="F248" s="717"/>
      <c r="G248" s="24">
        <f t="shared" si="40"/>
        <v>1</v>
      </c>
      <c r="H248" s="717"/>
      <c r="I248" s="24">
        <f t="shared" si="41"/>
        <v>1</v>
      </c>
      <c r="J248" s="717"/>
      <c r="K248" s="24">
        <f t="shared" si="42"/>
        <v>1</v>
      </c>
      <c r="L248" s="717"/>
      <c r="M248" s="24">
        <f t="shared" si="43"/>
        <v>1</v>
      </c>
      <c r="N248" s="717"/>
      <c r="O248" s="24">
        <f t="shared" si="44"/>
        <v>1</v>
      </c>
      <c r="P248" s="717"/>
      <c r="Q248" s="24">
        <f t="shared" si="45"/>
        <v>1</v>
      </c>
      <c r="R248" s="713">
        <f t="shared" si="46"/>
        <v>0</v>
      </c>
      <c r="S248" s="358">
        <f t="shared" si="47"/>
        <v>0</v>
      </c>
    </row>
    <row r="249" spans="1:19">
      <c r="A249" s="156"/>
      <c r="B249" s="59"/>
      <c r="C249" s="24">
        <f t="shared" si="38"/>
        <v>1</v>
      </c>
      <c r="D249" s="717"/>
      <c r="E249" s="24">
        <f t="shared" si="39"/>
        <v>1</v>
      </c>
      <c r="F249" s="717"/>
      <c r="G249" s="24">
        <f t="shared" si="40"/>
        <v>1</v>
      </c>
      <c r="H249" s="717"/>
      <c r="I249" s="24">
        <f t="shared" si="41"/>
        <v>1</v>
      </c>
      <c r="J249" s="717"/>
      <c r="K249" s="24">
        <f t="shared" si="42"/>
        <v>1</v>
      </c>
      <c r="L249" s="717"/>
      <c r="M249" s="24">
        <f t="shared" si="43"/>
        <v>1</v>
      </c>
      <c r="N249" s="717"/>
      <c r="O249" s="24">
        <f t="shared" si="44"/>
        <v>1</v>
      </c>
      <c r="P249" s="717"/>
      <c r="Q249" s="24">
        <f t="shared" si="45"/>
        <v>1</v>
      </c>
      <c r="R249" s="713">
        <f t="shared" si="46"/>
        <v>0</v>
      </c>
      <c r="S249" s="358">
        <f t="shared" si="47"/>
        <v>0</v>
      </c>
    </row>
    <row r="250" spans="1:19">
      <c r="A250" s="156"/>
      <c r="B250" s="59"/>
      <c r="C250" s="24">
        <f t="shared" si="38"/>
        <v>1</v>
      </c>
      <c r="D250" s="717"/>
      <c r="E250" s="24">
        <f t="shared" si="39"/>
        <v>1</v>
      </c>
      <c r="F250" s="717"/>
      <c r="G250" s="24">
        <f t="shared" si="40"/>
        <v>1</v>
      </c>
      <c r="H250" s="717"/>
      <c r="I250" s="24">
        <f t="shared" si="41"/>
        <v>1</v>
      </c>
      <c r="J250" s="717"/>
      <c r="K250" s="24">
        <f t="shared" si="42"/>
        <v>1</v>
      </c>
      <c r="L250" s="717"/>
      <c r="M250" s="24">
        <f t="shared" si="43"/>
        <v>1</v>
      </c>
      <c r="N250" s="717"/>
      <c r="O250" s="24">
        <f t="shared" si="44"/>
        <v>1</v>
      </c>
      <c r="P250" s="717"/>
      <c r="Q250" s="24">
        <f t="shared" si="45"/>
        <v>1</v>
      </c>
      <c r="R250" s="713">
        <f t="shared" si="46"/>
        <v>0</v>
      </c>
      <c r="S250" s="358">
        <f t="shared" si="47"/>
        <v>0</v>
      </c>
    </row>
    <row r="251" spans="1:19">
      <c r="A251" s="156"/>
      <c r="B251" s="59"/>
      <c r="C251" s="24">
        <f t="shared" si="38"/>
        <v>1</v>
      </c>
      <c r="D251" s="717"/>
      <c r="E251" s="24">
        <f t="shared" si="39"/>
        <v>1</v>
      </c>
      <c r="F251" s="717"/>
      <c r="G251" s="24">
        <f t="shared" si="40"/>
        <v>1</v>
      </c>
      <c r="H251" s="717"/>
      <c r="I251" s="24">
        <f t="shared" si="41"/>
        <v>1</v>
      </c>
      <c r="J251" s="717"/>
      <c r="K251" s="24">
        <f t="shared" si="42"/>
        <v>1</v>
      </c>
      <c r="L251" s="717"/>
      <c r="M251" s="24">
        <f t="shared" si="43"/>
        <v>1</v>
      </c>
      <c r="N251" s="717"/>
      <c r="O251" s="24">
        <f t="shared" si="44"/>
        <v>1</v>
      </c>
      <c r="P251" s="717"/>
      <c r="Q251" s="24">
        <f t="shared" si="45"/>
        <v>1</v>
      </c>
      <c r="R251" s="713">
        <f t="shared" si="46"/>
        <v>0</v>
      </c>
      <c r="S251" s="358">
        <f t="shared" si="47"/>
        <v>0</v>
      </c>
    </row>
    <row r="252" spans="1:19">
      <c r="A252" s="156"/>
      <c r="B252" s="59"/>
      <c r="C252" s="24">
        <f t="shared" si="38"/>
        <v>1</v>
      </c>
      <c r="D252" s="717"/>
      <c r="E252" s="24">
        <f t="shared" si="39"/>
        <v>1</v>
      </c>
      <c r="F252" s="717"/>
      <c r="G252" s="24">
        <f t="shared" si="40"/>
        <v>1</v>
      </c>
      <c r="H252" s="717"/>
      <c r="I252" s="24">
        <f t="shared" si="41"/>
        <v>1</v>
      </c>
      <c r="J252" s="717"/>
      <c r="K252" s="24">
        <f t="shared" si="42"/>
        <v>1</v>
      </c>
      <c r="L252" s="717"/>
      <c r="M252" s="24">
        <f t="shared" si="43"/>
        <v>1</v>
      </c>
      <c r="N252" s="717"/>
      <c r="O252" s="24">
        <f t="shared" si="44"/>
        <v>1</v>
      </c>
      <c r="P252" s="717"/>
      <c r="Q252" s="24">
        <f t="shared" si="45"/>
        <v>1</v>
      </c>
      <c r="R252" s="713">
        <f t="shared" si="46"/>
        <v>0</v>
      </c>
      <c r="S252" s="358">
        <f t="shared" si="47"/>
        <v>0</v>
      </c>
    </row>
    <row r="253" spans="1:19">
      <c r="A253" s="156"/>
      <c r="B253" s="59"/>
      <c r="C253" s="24">
        <f t="shared" si="38"/>
        <v>1</v>
      </c>
      <c r="D253" s="717"/>
      <c r="E253" s="24">
        <f t="shared" si="39"/>
        <v>1</v>
      </c>
      <c r="F253" s="717"/>
      <c r="G253" s="24">
        <f t="shared" si="40"/>
        <v>1</v>
      </c>
      <c r="H253" s="717"/>
      <c r="I253" s="24">
        <f t="shared" si="41"/>
        <v>1</v>
      </c>
      <c r="J253" s="717"/>
      <c r="K253" s="24">
        <f t="shared" si="42"/>
        <v>1</v>
      </c>
      <c r="L253" s="717"/>
      <c r="M253" s="24">
        <f t="shared" si="43"/>
        <v>1</v>
      </c>
      <c r="N253" s="717"/>
      <c r="O253" s="24">
        <f t="shared" si="44"/>
        <v>1</v>
      </c>
      <c r="P253" s="717"/>
      <c r="Q253" s="24">
        <f t="shared" si="45"/>
        <v>1</v>
      </c>
      <c r="R253" s="713">
        <f t="shared" si="46"/>
        <v>0</v>
      </c>
      <c r="S253" s="358">
        <f t="shared" si="47"/>
        <v>0</v>
      </c>
    </row>
    <row r="254" spans="1:19">
      <c r="A254" s="156"/>
      <c r="B254" s="59"/>
      <c r="C254" s="24">
        <f t="shared" si="38"/>
        <v>1</v>
      </c>
      <c r="D254" s="717"/>
      <c r="E254" s="24">
        <f t="shared" si="39"/>
        <v>1</v>
      </c>
      <c r="F254" s="717"/>
      <c r="G254" s="24">
        <f t="shared" si="40"/>
        <v>1</v>
      </c>
      <c r="H254" s="717"/>
      <c r="I254" s="24">
        <f t="shared" si="41"/>
        <v>1</v>
      </c>
      <c r="J254" s="717"/>
      <c r="K254" s="24">
        <f t="shared" si="42"/>
        <v>1</v>
      </c>
      <c r="L254" s="717"/>
      <c r="M254" s="24">
        <f t="shared" si="43"/>
        <v>1</v>
      </c>
      <c r="N254" s="717"/>
      <c r="O254" s="24">
        <f t="shared" si="44"/>
        <v>1</v>
      </c>
      <c r="P254" s="717"/>
      <c r="Q254" s="24">
        <f t="shared" si="45"/>
        <v>1</v>
      </c>
      <c r="R254" s="713">
        <f t="shared" si="46"/>
        <v>0</v>
      </c>
      <c r="S254" s="358">
        <f t="shared" si="47"/>
        <v>0</v>
      </c>
    </row>
    <row r="255" spans="1:19">
      <c r="A255" s="156"/>
      <c r="B255" s="59"/>
      <c r="C255" s="24">
        <f t="shared" si="38"/>
        <v>1</v>
      </c>
      <c r="D255" s="717"/>
      <c r="E255" s="24">
        <f t="shared" si="39"/>
        <v>1</v>
      </c>
      <c r="F255" s="717"/>
      <c r="G255" s="24">
        <f t="shared" si="40"/>
        <v>1</v>
      </c>
      <c r="H255" s="717"/>
      <c r="I255" s="24">
        <f t="shared" si="41"/>
        <v>1</v>
      </c>
      <c r="J255" s="717"/>
      <c r="K255" s="24">
        <f t="shared" si="42"/>
        <v>1</v>
      </c>
      <c r="L255" s="717"/>
      <c r="M255" s="24">
        <f t="shared" si="43"/>
        <v>1</v>
      </c>
      <c r="N255" s="717"/>
      <c r="O255" s="24">
        <f t="shared" si="44"/>
        <v>1</v>
      </c>
      <c r="P255" s="717"/>
      <c r="Q255" s="24">
        <f t="shared" si="45"/>
        <v>1</v>
      </c>
      <c r="R255" s="713">
        <f t="shared" si="46"/>
        <v>0</v>
      </c>
      <c r="S255" s="358">
        <f t="shared" si="47"/>
        <v>0</v>
      </c>
    </row>
    <row r="256" spans="1:19">
      <c r="A256" s="156"/>
      <c r="B256" s="59"/>
      <c r="C256" s="24">
        <f t="shared" si="38"/>
        <v>1</v>
      </c>
      <c r="D256" s="717"/>
      <c r="E256" s="24">
        <f t="shared" si="39"/>
        <v>1</v>
      </c>
      <c r="F256" s="717"/>
      <c r="G256" s="24">
        <f t="shared" si="40"/>
        <v>1</v>
      </c>
      <c r="H256" s="717"/>
      <c r="I256" s="24">
        <f t="shared" si="41"/>
        <v>1</v>
      </c>
      <c r="J256" s="717"/>
      <c r="K256" s="24">
        <f t="shared" si="42"/>
        <v>1</v>
      </c>
      <c r="L256" s="717"/>
      <c r="M256" s="24">
        <f t="shared" si="43"/>
        <v>1</v>
      </c>
      <c r="N256" s="717"/>
      <c r="O256" s="24">
        <f t="shared" si="44"/>
        <v>1</v>
      </c>
      <c r="P256" s="717"/>
      <c r="Q256" s="24">
        <f t="shared" si="45"/>
        <v>1</v>
      </c>
      <c r="R256" s="713">
        <f t="shared" si="46"/>
        <v>0</v>
      </c>
      <c r="S256" s="358">
        <f t="shared" si="47"/>
        <v>0</v>
      </c>
    </row>
    <row r="257" spans="1:19">
      <c r="A257" s="156"/>
      <c r="B257" s="59"/>
      <c r="C257" s="24">
        <f t="shared" si="38"/>
        <v>1</v>
      </c>
      <c r="D257" s="717"/>
      <c r="E257" s="24">
        <f t="shared" si="39"/>
        <v>1</v>
      </c>
      <c r="F257" s="717"/>
      <c r="G257" s="24">
        <f t="shared" si="40"/>
        <v>1</v>
      </c>
      <c r="H257" s="717"/>
      <c r="I257" s="24">
        <f t="shared" si="41"/>
        <v>1</v>
      </c>
      <c r="J257" s="717"/>
      <c r="K257" s="24">
        <f t="shared" si="42"/>
        <v>1</v>
      </c>
      <c r="L257" s="717"/>
      <c r="M257" s="24">
        <f t="shared" si="43"/>
        <v>1</v>
      </c>
      <c r="N257" s="717"/>
      <c r="O257" s="24">
        <f t="shared" si="44"/>
        <v>1</v>
      </c>
      <c r="P257" s="717"/>
      <c r="Q257" s="24">
        <f t="shared" si="45"/>
        <v>1</v>
      </c>
      <c r="R257" s="713">
        <f t="shared" si="46"/>
        <v>0</v>
      </c>
      <c r="S257" s="358">
        <f t="shared" si="47"/>
        <v>0</v>
      </c>
    </row>
    <row r="258" spans="1:19">
      <c r="A258" s="156"/>
      <c r="B258" s="59"/>
      <c r="C258" s="24">
        <f t="shared" si="38"/>
        <v>1</v>
      </c>
      <c r="D258" s="717"/>
      <c r="E258" s="24">
        <f t="shared" si="39"/>
        <v>1</v>
      </c>
      <c r="F258" s="717"/>
      <c r="G258" s="24">
        <f t="shared" si="40"/>
        <v>1</v>
      </c>
      <c r="H258" s="717"/>
      <c r="I258" s="24">
        <f t="shared" si="41"/>
        <v>1</v>
      </c>
      <c r="J258" s="717"/>
      <c r="K258" s="24">
        <f t="shared" si="42"/>
        <v>1</v>
      </c>
      <c r="L258" s="717"/>
      <c r="M258" s="24">
        <f t="shared" si="43"/>
        <v>1</v>
      </c>
      <c r="N258" s="717"/>
      <c r="O258" s="24">
        <f t="shared" si="44"/>
        <v>1</v>
      </c>
      <c r="P258" s="717"/>
      <c r="Q258" s="24">
        <f t="shared" si="45"/>
        <v>1</v>
      </c>
      <c r="R258" s="713">
        <f t="shared" si="46"/>
        <v>0</v>
      </c>
      <c r="S258" s="358">
        <f t="shared" si="47"/>
        <v>0</v>
      </c>
    </row>
    <row r="259" spans="1:19">
      <c r="A259" s="156"/>
      <c r="B259" s="59"/>
      <c r="C259" s="24">
        <f t="shared" si="38"/>
        <v>1</v>
      </c>
      <c r="D259" s="717"/>
      <c r="E259" s="24">
        <f t="shared" si="39"/>
        <v>1</v>
      </c>
      <c r="F259" s="717"/>
      <c r="G259" s="24">
        <f t="shared" si="40"/>
        <v>1</v>
      </c>
      <c r="H259" s="717"/>
      <c r="I259" s="24">
        <f t="shared" si="41"/>
        <v>1</v>
      </c>
      <c r="J259" s="717"/>
      <c r="K259" s="24">
        <f t="shared" si="42"/>
        <v>1</v>
      </c>
      <c r="L259" s="717"/>
      <c r="M259" s="24">
        <f t="shared" si="43"/>
        <v>1</v>
      </c>
      <c r="N259" s="717"/>
      <c r="O259" s="24">
        <f t="shared" si="44"/>
        <v>1</v>
      </c>
      <c r="P259" s="717"/>
      <c r="Q259" s="24">
        <f t="shared" si="45"/>
        <v>1</v>
      </c>
      <c r="R259" s="713">
        <f t="shared" si="46"/>
        <v>0</v>
      </c>
      <c r="S259" s="358">
        <f t="shared" si="47"/>
        <v>0</v>
      </c>
    </row>
    <row r="260" spans="1:19">
      <c r="A260" s="156"/>
      <c r="B260" s="59"/>
      <c r="C260" s="24">
        <f t="shared" si="38"/>
        <v>1</v>
      </c>
      <c r="D260" s="717"/>
      <c r="E260" s="24">
        <f t="shared" si="39"/>
        <v>1</v>
      </c>
      <c r="F260" s="717"/>
      <c r="G260" s="24">
        <f t="shared" si="40"/>
        <v>1</v>
      </c>
      <c r="H260" s="717"/>
      <c r="I260" s="24">
        <f t="shared" si="41"/>
        <v>1</v>
      </c>
      <c r="J260" s="717"/>
      <c r="K260" s="24">
        <f t="shared" si="42"/>
        <v>1</v>
      </c>
      <c r="L260" s="717"/>
      <c r="M260" s="24">
        <f t="shared" si="43"/>
        <v>1</v>
      </c>
      <c r="N260" s="717"/>
      <c r="O260" s="24">
        <f t="shared" si="44"/>
        <v>1</v>
      </c>
      <c r="P260" s="717"/>
      <c r="Q260" s="24">
        <f t="shared" si="45"/>
        <v>1</v>
      </c>
      <c r="R260" s="713">
        <f t="shared" si="46"/>
        <v>0</v>
      </c>
      <c r="S260" s="358">
        <f t="shared" si="47"/>
        <v>0</v>
      </c>
    </row>
    <row r="261" spans="1:19">
      <c r="A261" s="156"/>
      <c r="B261" s="59"/>
      <c r="C261" s="24">
        <f t="shared" si="38"/>
        <v>1</v>
      </c>
      <c r="D261" s="717"/>
      <c r="E261" s="24">
        <f t="shared" si="39"/>
        <v>1</v>
      </c>
      <c r="F261" s="717"/>
      <c r="G261" s="24">
        <f t="shared" si="40"/>
        <v>1</v>
      </c>
      <c r="H261" s="717"/>
      <c r="I261" s="24">
        <f t="shared" si="41"/>
        <v>1</v>
      </c>
      <c r="J261" s="717"/>
      <c r="K261" s="24">
        <f t="shared" si="42"/>
        <v>1</v>
      </c>
      <c r="L261" s="717"/>
      <c r="M261" s="24">
        <f t="shared" si="43"/>
        <v>1</v>
      </c>
      <c r="N261" s="717"/>
      <c r="O261" s="24">
        <f t="shared" si="44"/>
        <v>1</v>
      </c>
      <c r="P261" s="717"/>
      <c r="Q261" s="24">
        <f t="shared" si="45"/>
        <v>1</v>
      </c>
      <c r="R261" s="713">
        <f t="shared" si="46"/>
        <v>0</v>
      </c>
      <c r="S261" s="358">
        <f t="shared" si="47"/>
        <v>0</v>
      </c>
    </row>
    <row r="262" spans="1:19">
      <c r="A262" s="156"/>
      <c r="B262" s="59"/>
      <c r="C262" s="24">
        <f t="shared" si="38"/>
        <v>1</v>
      </c>
      <c r="D262" s="717"/>
      <c r="E262" s="24">
        <f t="shared" si="39"/>
        <v>1</v>
      </c>
      <c r="F262" s="717"/>
      <c r="G262" s="24">
        <f t="shared" si="40"/>
        <v>1</v>
      </c>
      <c r="H262" s="717"/>
      <c r="I262" s="24">
        <f t="shared" si="41"/>
        <v>1</v>
      </c>
      <c r="J262" s="717"/>
      <c r="K262" s="24">
        <f t="shared" si="42"/>
        <v>1</v>
      </c>
      <c r="L262" s="717"/>
      <c r="M262" s="24">
        <f t="shared" si="43"/>
        <v>1</v>
      </c>
      <c r="N262" s="717"/>
      <c r="O262" s="24">
        <f t="shared" si="44"/>
        <v>1</v>
      </c>
      <c r="P262" s="717"/>
      <c r="Q262" s="24">
        <f t="shared" si="45"/>
        <v>1</v>
      </c>
      <c r="R262" s="713">
        <f t="shared" si="46"/>
        <v>0</v>
      </c>
      <c r="S262" s="358">
        <f t="shared" si="47"/>
        <v>0</v>
      </c>
    </row>
    <row r="263" spans="1:19">
      <c r="A263" s="156"/>
      <c r="B263" s="59"/>
      <c r="C263" s="24">
        <f t="shared" si="38"/>
        <v>1</v>
      </c>
      <c r="D263" s="717"/>
      <c r="E263" s="24">
        <f t="shared" si="39"/>
        <v>1</v>
      </c>
      <c r="F263" s="717"/>
      <c r="G263" s="24">
        <f t="shared" si="40"/>
        <v>1</v>
      </c>
      <c r="H263" s="717"/>
      <c r="I263" s="24">
        <f t="shared" si="41"/>
        <v>1</v>
      </c>
      <c r="J263" s="717"/>
      <c r="K263" s="24">
        <f t="shared" si="42"/>
        <v>1</v>
      </c>
      <c r="L263" s="717"/>
      <c r="M263" s="24">
        <f t="shared" si="43"/>
        <v>1</v>
      </c>
      <c r="N263" s="717"/>
      <c r="O263" s="24">
        <f t="shared" si="44"/>
        <v>1</v>
      </c>
      <c r="P263" s="717"/>
      <c r="Q263" s="24">
        <f t="shared" si="45"/>
        <v>1</v>
      </c>
      <c r="R263" s="713">
        <f t="shared" si="46"/>
        <v>0</v>
      </c>
      <c r="S263" s="358">
        <f t="shared" si="47"/>
        <v>0</v>
      </c>
    </row>
    <row r="264" spans="1:19">
      <c r="A264" s="156"/>
      <c r="B264" s="59"/>
      <c r="C264" s="24">
        <f t="shared" si="38"/>
        <v>1</v>
      </c>
      <c r="D264" s="717"/>
      <c r="E264" s="24">
        <f t="shared" si="39"/>
        <v>1</v>
      </c>
      <c r="F264" s="717"/>
      <c r="G264" s="24">
        <f t="shared" si="40"/>
        <v>1</v>
      </c>
      <c r="H264" s="717"/>
      <c r="I264" s="24">
        <f t="shared" si="41"/>
        <v>1</v>
      </c>
      <c r="J264" s="717"/>
      <c r="K264" s="24">
        <f t="shared" si="42"/>
        <v>1</v>
      </c>
      <c r="L264" s="717"/>
      <c r="M264" s="24">
        <f t="shared" si="43"/>
        <v>1</v>
      </c>
      <c r="N264" s="717"/>
      <c r="O264" s="24">
        <f t="shared" si="44"/>
        <v>1</v>
      </c>
      <c r="P264" s="717"/>
      <c r="Q264" s="24">
        <f t="shared" si="45"/>
        <v>1</v>
      </c>
      <c r="R264" s="713">
        <f t="shared" si="46"/>
        <v>0</v>
      </c>
      <c r="S264" s="358">
        <f t="shared" si="47"/>
        <v>0</v>
      </c>
    </row>
    <row r="265" spans="1:19">
      <c r="A265" s="156"/>
      <c r="B265" s="59"/>
      <c r="C265" s="24">
        <f t="shared" si="38"/>
        <v>1</v>
      </c>
      <c r="D265" s="717"/>
      <c r="E265" s="24">
        <f t="shared" si="39"/>
        <v>1</v>
      </c>
      <c r="F265" s="717"/>
      <c r="G265" s="24">
        <f t="shared" si="40"/>
        <v>1</v>
      </c>
      <c r="H265" s="717"/>
      <c r="I265" s="24">
        <f t="shared" si="41"/>
        <v>1</v>
      </c>
      <c r="J265" s="717"/>
      <c r="K265" s="24">
        <f t="shared" si="42"/>
        <v>1</v>
      </c>
      <c r="L265" s="717"/>
      <c r="M265" s="24">
        <f t="shared" si="43"/>
        <v>1</v>
      </c>
      <c r="N265" s="717"/>
      <c r="O265" s="24">
        <f t="shared" si="44"/>
        <v>1</v>
      </c>
      <c r="P265" s="717"/>
      <c r="Q265" s="24">
        <f t="shared" si="45"/>
        <v>1</v>
      </c>
      <c r="R265" s="713">
        <f t="shared" si="46"/>
        <v>0</v>
      </c>
      <c r="S265" s="358">
        <f t="shared" si="47"/>
        <v>0</v>
      </c>
    </row>
    <row r="266" spans="1:19">
      <c r="A266" s="156"/>
      <c r="B266" s="59"/>
      <c r="C266" s="24">
        <f t="shared" si="38"/>
        <v>1</v>
      </c>
      <c r="D266" s="717"/>
      <c r="E266" s="24">
        <f t="shared" si="39"/>
        <v>1</v>
      </c>
      <c r="F266" s="717"/>
      <c r="G266" s="24">
        <f t="shared" si="40"/>
        <v>1</v>
      </c>
      <c r="H266" s="717"/>
      <c r="I266" s="24">
        <f t="shared" si="41"/>
        <v>1</v>
      </c>
      <c r="J266" s="717"/>
      <c r="K266" s="24">
        <f t="shared" si="42"/>
        <v>1</v>
      </c>
      <c r="L266" s="717"/>
      <c r="M266" s="24">
        <f t="shared" si="43"/>
        <v>1</v>
      </c>
      <c r="N266" s="717"/>
      <c r="O266" s="24">
        <f t="shared" si="44"/>
        <v>1</v>
      </c>
      <c r="P266" s="717"/>
      <c r="Q266" s="24">
        <f t="shared" si="45"/>
        <v>1</v>
      </c>
      <c r="R266" s="713">
        <f t="shared" si="46"/>
        <v>0</v>
      </c>
      <c r="S266" s="358">
        <f t="shared" si="47"/>
        <v>0</v>
      </c>
    </row>
    <row r="267" spans="1:19">
      <c r="A267" s="156"/>
      <c r="B267" s="59"/>
      <c r="C267" s="24">
        <f t="shared" si="38"/>
        <v>1</v>
      </c>
      <c r="D267" s="717"/>
      <c r="E267" s="24">
        <f t="shared" si="39"/>
        <v>1</v>
      </c>
      <c r="F267" s="717"/>
      <c r="G267" s="24">
        <f t="shared" si="40"/>
        <v>1</v>
      </c>
      <c r="H267" s="717"/>
      <c r="I267" s="24">
        <f t="shared" si="41"/>
        <v>1</v>
      </c>
      <c r="J267" s="717"/>
      <c r="K267" s="24">
        <f t="shared" si="42"/>
        <v>1</v>
      </c>
      <c r="L267" s="717"/>
      <c r="M267" s="24">
        <f t="shared" si="43"/>
        <v>1</v>
      </c>
      <c r="N267" s="717"/>
      <c r="O267" s="24">
        <f t="shared" si="44"/>
        <v>1</v>
      </c>
      <c r="P267" s="717"/>
      <c r="Q267" s="24">
        <f t="shared" si="45"/>
        <v>1</v>
      </c>
      <c r="R267" s="713">
        <f t="shared" si="46"/>
        <v>0</v>
      </c>
      <c r="S267" s="358">
        <f t="shared" si="47"/>
        <v>0</v>
      </c>
    </row>
    <row r="268" spans="1:19">
      <c r="A268" s="156"/>
      <c r="B268" s="59"/>
      <c r="C268" s="24">
        <f t="shared" si="38"/>
        <v>1</v>
      </c>
      <c r="D268" s="717"/>
      <c r="E268" s="24">
        <f t="shared" si="39"/>
        <v>1</v>
      </c>
      <c r="F268" s="717"/>
      <c r="G268" s="24">
        <f t="shared" si="40"/>
        <v>1</v>
      </c>
      <c r="H268" s="717"/>
      <c r="I268" s="24">
        <f t="shared" si="41"/>
        <v>1</v>
      </c>
      <c r="J268" s="717"/>
      <c r="K268" s="24">
        <f t="shared" si="42"/>
        <v>1</v>
      </c>
      <c r="L268" s="717"/>
      <c r="M268" s="24">
        <f t="shared" si="43"/>
        <v>1</v>
      </c>
      <c r="N268" s="717"/>
      <c r="O268" s="24">
        <f t="shared" si="44"/>
        <v>1</v>
      </c>
      <c r="P268" s="717"/>
      <c r="Q268" s="24">
        <f t="shared" si="45"/>
        <v>1</v>
      </c>
      <c r="R268" s="713">
        <f t="shared" si="46"/>
        <v>0</v>
      </c>
      <c r="S268" s="358">
        <f t="shared" si="47"/>
        <v>0</v>
      </c>
    </row>
    <row r="269" spans="1:19">
      <c r="A269" s="156"/>
      <c r="B269" s="59"/>
      <c r="C269" s="24">
        <f t="shared" si="38"/>
        <v>1</v>
      </c>
      <c r="D269" s="717"/>
      <c r="E269" s="24">
        <f t="shared" si="39"/>
        <v>1</v>
      </c>
      <c r="F269" s="717"/>
      <c r="G269" s="24">
        <f t="shared" si="40"/>
        <v>1</v>
      </c>
      <c r="H269" s="717"/>
      <c r="I269" s="24">
        <f t="shared" si="41"/>
        <v>1</v>
      </c>
      <c r="J269" s="717"/>
      <c r="K269" s="24">
        <f t="shared" si="42"/>
        <v>1</v>
      </c>
      <c r="L269" s="717"/>
      <c r="M269" s="24">
        <f t="shared" si="43"/>
        <v>1</v>
      </c>
      <c r="N269" s="717"/>
      <c r="O269" s="24">
        <f t="shared" si="44"/>
        <v>1</v>
      </c>
      <c r="P269" s="717"/>
      <c r="Q269" s="24">
        <f t="shared" si="45"/>
        <v>1</v>
      </c>
      <c r="R269" s="713">
        <f t="shared" si="46"/>
        <v>0</v>
      </c>
      <c r="S269" s="358">
        <f t="shared" si="47"/>
        <v>0</v>
      </c>
    </row>
    <row r="270" spans="1:19">
      <c r="A270" s="156"/>
      <c r="B270" s="59"/>
      <c r="C270" s="24">
        <f t="shared" si="38"/>
        <v>1</v>
      </c>
      <c r="D270" s="717"/>
      <c r="E270" s="24">
        <f t="shared" si="39"/>
        <v>1</v>
      </c>
      <c r="F270" s="717"/>
      <c r="G270" s="24">
        <f t="shared" si="40"/>
        <v>1</v>
      </c>
      <c r="H270" s="717"/>
      <c r="I270" s="24">
        <f t="shared" si="41"/>
        <v>1</v>
      </c>
      <c r="J270" s="717"/>
      <c r="K270" s="24">
        <f t="shared" si="42"/>
        <v>1</v>
      </c>
      <c r="L270" s="717"/>
      <c r="M270" s="24">
        <f t="shared" si="43"/>
        <v>1</v>
      </c>
      <c r="N270" s="717"/>
      <c r="O270" s="24">
        <f t="shared" si="44"/>
        <v>1</v>
      </c>
      <c r="P270" s="717"/>
      <c r="Q270" s="24">
        <f t="shared" si="45"/>
        <v>1</v>
      </c>
      <c r="R270" s="713">
        <f t="shared" si="46"/>
        <v>0</v>
      </c>
      <c r="S270" s="358">
        <f t="shared" si="47"/>
        <v>0</v>
      </c>
    </row>
    <row r="271" spans="1:19">
      <c r="A271" s="156"/>
      <c r="B271" s="59"/>
      <c r="C271" s="24">
        <f t="shared" si="38"/>
        <v>1</v>
      </c>
      <c r="D271" s="717"/>
      <c r="E271" s="24">
        <f t="shared" si="39"/>
        <v>1</v>
      </c>
      <c r="F271" s="717"/>
      <c r="G271" s="24">
        <f t="shared" si="40"/>
        <v>1</v>
      </c>
      <c r="H271" s="717"/>
      <c r="I271" s="24">
        <f t="shared" si="41"/>
        <v>1</v>
      </c>
      <c r="J271" s="717"/>
      <c r="K271" s="24">
        <f t="shared" si="42"/>
        <v>1</v>
      </c>
      <c r="L271" s="717"/>
      <c r="M271" s="24">
        <f t="shared" si="43"/>
        <v>1</v>
      </c>
      <c r="N271" s="717"/>
      <c r="O271" s="24">
        <f t="shared" si="44"/>
        <v>1</v>
      </c>
      <c r="P271" s="717"/>
      <c r="Q271" s="24">
        <f t="shared" si="45"/>
        <v>1</v>
      </c>
      <c r="R271" s="713">
        <f t="shared" si="46"/>
        <v>0</v>
      </c>
      <c r="S271" s="358">
        <f t="shared" si="47"/>
        <v>0</v>
      </c>
    </row>
    <row r="272" spans="1:19">
      <c r="A272" s="156"/>
      <c r="B272" s="59"/>
      <c r="C272" s="24">
        <f t="shared" si="38"/>
        <v>1</v>
      </c>
      <c r="D272" s="717"/>
      <c r="E272" s="24">
        <f t="shared" si="39"/>
        <v>1</v>
      </c>
      <c r="F272" s="717"/>
      <c r="G272" s="24">
        <f t="shared" si="40"/>
        <v>1</v>
      </c>
      <c r="H272" s="717"/>
      <c r="I272" s="24">
        <f t="shared" si="41"/>
        <v>1</v>
      </c>
      <c r="J272" s="717"/>
      <c r="K272" s="24">
        <f t="shared" si="42"/>
        <v>1</v>
      </c>
      <c r="L272" s="717"/>
      <c r="M272" s="24">
        <f t="shared" si="43"/>
        <v>1</v>
      </c>
      <c r="N272" s="717"/>
      <c r="O272" s="24">
        <f t="shared" si="44"/>
        <v>1</v>
      </c>
      <c r="P272" s="717"/>
      <c r="Q272" s="24">
        <f t="shared" si="45"/>
        <v>1</v>
      </c>
      <c r="R272" s="713">
        <f t="shared" si="46"/>
        <v>0</v>
      </c>
      <c r="S272" s="358">
        <f t="shared" si="47"/>
        <v>0</v>
      </c>
    </row>
    <row r="273" spans="1:19">
      <c r="A273" s="156"/>
      <c r="B273" s="59"/>
      <c r="C273" s="24">
        <f t="shared" si="38"/>
        <v>1</v>
      </c>
      <c r="D273" s="717"/>
      <c r="E273" s="24">
        <f t="shared" si="39"/>
        <v>1</v>
      </c>
      <c r="F273" s="717"/>
      <c r="G273" s="24">
        <f t="shared" si="40"/>
        <v>1</v>
      </c>
      <c r="H273" s="717"/>
      <c r="I273" s="24">
        <f t="shared" si="41"/>
        <v>1</v>
      </c>
      <c r="J273" s="717"/>
      <c r="K273" s="24">
        <f t="shared" si="42"/>
        <v>1</v>
      </c>
      <c r="L273" s="717"/>
      <c r="M273" s="24">
        <f t="shared" si="43"/>
        <v>1</v>
      </c>
      <c r="N273" s="717"/>
      <c r="O273" s="24">
        <f t="shared" si="44"/>
        <v>1</v>
      </c>
      <c r="P273" s="717"/>
      <c r="Q273" s="24">
        <f t="shared" si="45"/>
        <v>1</v>
      </c>
      <c r="R273" s="713">
        <f t="shared" si="46"/>
        <v>0</v>
      </c>
      <c r="S273" s="358">
        <f t="shared" si="47"/>
        <v>0</v>
      </c>
    </row>
    <row r="274" spans="1:19">
      <c r="A274" s="156"/>
      <c r="B274" s="59"/>
      <c r="C274" s="24">
        <f t="shared" si="38"/>
        <v>1</v>
      </c>
      <c r="D274" s="717"/>
      <c r="E274" s="24">
        <f t="shared" si="39"/>
        <v>1</v>
      </c>
      <c r="F274" s="717"/>
      <c r="G274" s="24">
        <f t="shared" si="40"/>
        <v>1</v>
      </c>
      <c r="H274" s="717"/>
      <c r="I274" s="24">
        <f t="shared" si="41"/>
        <v>1</v>
      </c>
      <c r="J274" s="717"/>
      <c r="K274" s="24">
        <f t="shared" si="42"/>
        <v>1</v>
      </c>
      <c r="L274" s="717"/>
      <c r="M274" s="24">
        <f t="shared" si="43"/>
        <v>1</v>
      </c>
      <c r="N274" s="717"/>
      <c r="O274" s="24">
        <f t="shared" si="44"/>
        <v>1</v>
      </c>
      <c r="P274" s="717"/>
      <c r="Q274" s="24">
        <f t="shared" si="45"/>
        <v>1</v>
      </c>
      <c r="R274" s="713">
        <f t="shared" si="46"/>
        <v>0</v>
      </c>
      <c r="S274" s="358">
        <f t="shared" si="47"/>
        <v>0</v>
      </c>
    </row>
    <row r="275" spans="1:19">
      <c r="A275" s="156"/>
      <c r="B275" s="59"/>
      <c r="C275" s="24">
        <f t="shared" si="38"/>
        <v>1</v>
      </c>
      <c r="D275" s="717"/>
      <c r="E275" s="24">
        <f t="shared" si="39"/>
        <v>1</v>
      </c>
      <c r="F275" s="717"/>
      <c r="G275" s="24">
        <f t="shared" si="40"/>
        <v>1</v>
      </c>
      <c r="H275" s="717"/>
      <c r="I275" s="24">
        <f t="shared" si="41"/>
        <v>1</v>
      </c>
      <c r="J275" s="717"/>
      <c r="K275" s="24">
        <f t="shared" si="42"/>
        <v>1</v>
      </c>
      <c r="L275" s="717"/>
      <c r="M275" s="24">
        <f t="shared" si="43"/>
        <v>1</v>
      </c>
      <c r="N275" s="717"/>
      <c r="O275" s="24">
        <f t="shared" si="44"/>
        <v>1</v>
      </c>
      <c r="P275" s="717"/>
      <c r="Q275" s="24">
        <f t="shared" si="45"/>
        <v>1</v>
      </c>
      <c r="R275" s="713">
        <f t="shared" si="46"/>
        <v>0</v>
      </c>
      <c r="S275" s="358">
        <f t="shared" si="47"/>
        <v>0</v>
      </c>
    </row>
    <row r="276" spans="1:19">
      <c r="A276" s="156"/>
      <c r="B276" s="59"/>
      <c r="C276" s="24">
        <f t="shared" si="38"/>
        <v>1</v>
      </c>
      <c r="D276" s="717"/>
      <c r="E276" s="24">
        <f t="shared" si="39"/>
        <v>1</v>
      </c>
      <c r="F276" s="717"/>
      <c r="G276" s="24">
        <f t="shared" si="40"/>
        <v>1</v>
      </c>
      <c r="H276" s="717"/>
      <c r="I276" s="24">
        <f t="shared" si="41"/>
        <v>1</v>
      </c>
      <c r="J276" s="717"/>
      <c r="K276" s="24">
        <f t="shared" si="42"/>
        <v>1</v>
      </c>
      <c r="L276" s="717"/>
      <c r="M276" s="24">
        <f t="shared" si="43"/>
        <v>1</v>
      </c>
      <c r="N276" s="717"/>
      <c r="O276" s="24">
        <f t="shared" si="44"/>
        <v>1</v>
      </c>
      <c r="P276" s="717"/>
      <c r="Q276" s="24">
        <f t="shared" si="45"/>
        <v>1</v>
      </c>
      <c r="R276" s="713">
        <f t="shared" si="46"/>
        <v>0</v>
      </c>
      <c r="S276" s="358">
        <f t="shared" si="47"/>
        <v>0</v>
      </c>
    </row>
    <row r="277" spans="1:19">
      <c r="A277" s="156"/>
      <c r="B277" s="59"/>
      <c r="C277" s="24">
        <f t="shared" si="38"/>
        <v>1</v>
      </c>
      <c r="D277" s="717"/>
      <c r="E277" s="24">
        <f t="shared" si="39"/>
        <v>1</v>
      </c>
      <c r="F277" s="717"/>
      <c r="G277" s="24">
        <f t="shared" si="40"/>
        <v>1</v>
      </c>
      <c r="H277" s="717"/>
      <c r="I277" s="24">
        <f t="shared" si="41"/>
        <v>1</v>
      </c>
      <c r="J277" s="717"/>
      <c r="K277" s="24">
        <f t="shared" si="42"/>
        <v>1</v>
      </c>
      <c r="L277" s="717"/>
      <c r="M277" s="24">
        <f t="shared" si="43"/>
        <v>1</v>
      </c>
      <c r="N277" s="717"/>
      <c r="O277" s="24">
        <f t="shared" si="44"/>
        <v>1</v>
      </c>
      <c r="P277" s="717"/>
      <c r="Q277" s="24">
        <f t="shared" si="45"/>
        <v>1</v>
      </c>
      <c r="R277" s="713">
        <f t="shared" si="46"/>
        <v>0</v>
      </c>
      <c r="S277" s="358">
        <f t="shared" si="47"/>
        <v>0</v>
      </c>
    </row>
    <row r="278" spans="1:19">
      <c r="A278" s="156"/>
      <c r="B278" s="59"/>
      <c r="C278" s="24">
        <f t="shared" si="38"/>
        <v>1</v>
      </c>
      <c r="D278" s="717"/>
      <c r="E278" s="24">
        <f t="shared" si="39"/>
        <v>1</v>
      </c>
      <c r="F278" s="717"/>
      <c r="G278" s="24">
        <f t="shared" si="40"/>
        <v>1</v>
      </c>
      <c r="H278" s="717"/>
      <c r="I278" s="24">
        <f t="shared" si="41"/>
        <v>1</v>
      </c>
      <c r="J278" s="717"/>
      <c r="K278" s="24">
        <f t="shared" si="42"/>
        <v>1</v>
      </c>
      <c r="L278" s="717"/>
      <c r="M278" s="24">
        <f t="shared" si="43"/>
        <v>1</v>
      </c>
      <c r="N278" s="717"/>
      <c r="O278" s="24">
        <f t="shared" si="44"/>
        <v>1</v>
      </c>
      <c r="P278" s="717"/>
      <c r="Q278" s="24">
        <f t="shared" si="45"/>
        <v>1</v>
      </c>
      <c r="R278" s="713">
        <f t="shared" si="46"/>
        <v>0</v>
      </c>
      <c r="S278" s="358">
        <f t="shared" si="47"/>
        <v>0</v>
      </c>
    </row>
    <row r="279" spans="1:19">
      <c r="A279" s="156"/>
      <c r="B279" s="59"/>
      <c r="C279" s="24">
        <f t="shared" si="38"/>
        <v>1</v>
      </c>
      <c r="D279" s="717"/>
      <c r="E279" s="24">
        <f t="shared" si="39"/>
        <v>1</v>
      </c>
      <c r="F279" s="717"/>
      <c r="G279" s="24">
        <f t="shared" si="40"/>
        <v>1</v>
      </c>
      <c r="H279" s="717"/>
      <c r="I279" s="24">
        <f t="shared" si="41"/>
        <v>1</v>
      </c>
      <c r="J279" s="717"/>
      <c r="K279" s="24">
        <f t="shared" si="42"/>
        <v>1</v>
      </c>
      <c r="L279" s="717"/>
      <c r="M279" s="24">
        <f t="shared" si="43"/>
        <v>1</v>
      </c>
      <c r="N279" s="717"/>
      <c r="O279" s="24">
        <f t="shared" si="44"/>
        <v>1</v>
      </c>
      <c r="P279" s="717"/>
      <c r="Q279" s="24">
        <f t="shared" si="45"/>
        <v>1</v>
      </c>
      <c r="R279" s="713">
        <f t="shared" si="46"/>
        <v>0</v>
      </c>
      <c r="S279" s="358">
        <f t="shared" si="47"/>
        <v>0</v>
      </c>
    </row>
    <row r="280" spans="1:19">
      <c r="A280" s="156"/>
      <c r="B280" s="59"/>
      <c r="C280" s="24">
        <f t="shared" si="38"/>
        <v>1</v>
      </c>
      <c r="D280" s="717"/>
      <c r="E280" s="24">
        <f t="shared" si="39"/>
        <v>1</v>
      </c>
      <c r="F280" s="717"/>
      <c r="G280" s="24">
        <f t="shared" si="40"/>
        <v>1</v>
      </c>
      <c r="H280" s="717"/>
      <c r="I280" s="24">
        <f t="shared" si="41"/>
        <v>1</v>
      </c>
      <c r="J280" s="717"/>
      <c r="K280" s="24">
        <f t="shared" si="42"/>
        <v>1</v>
      </c>
      <c r="L280" s="717"/>
      <c r="M280" s="24">
        <f t="shared" si="43"/>
        <v>1</v>
      </c>
      <c r="N280" s="717"/>
      <c r="O280" s="24">
        <f t="shared" si="44"/>
        <v>1</v>
      </c>
      <c r="P280" s="717"/>
      <c r="Q280" s="24">
        <f t="shared" si="45"/>
        <v>1</v>
      </c>
      <c r="R280" s="713">
        <f t="shared" si="46"/>
        <v>0</v>
      </c>
      <c r="S280" s="358">
        <f t="shared" si="47"/>
        <v>0</v>
      </c>
    </row>
    <row r="281" spans="1:19">
      <c r="A281" s="156"/>
      <c r="B281" s="59"/>
      <c r="C281" s="24">
        <f t="shared" si="38"/>
        <v>1</v>
      </c>
      <c r="D281" s="717"/>
      <c r="E281" s="24">
        <f t="shared" si="39"/>
        <v>1</v>
      </c>
      <c r="F281" s="717"/>
      <c r="G281" s="24">
        <f t="shared" si="40"/>
        <v>1</v>
      </c>
      <c r="H281" s="717"/>
      <c r="I281" s="24">
        <f t="shared" si="41"/>
        <v>1</v>
      </c>
      <c r="J281" s="717"/>
      <c r="K281" s="24">
        <f t="shared" si="42"/>
        <v>1</v>
      </c>
      <c r="L281" s="717"/>
      <c r="M281" s="24">
        <f t="shared" si="43"/>
        <v>1</v>
      </c>
      <c r="N281" s="717"/>
      <c r="O281" s="24">
        <f t="shared" si="44"/>
        <v>1</v>
      </c>
      <c r="P281" s="717"/>
      <c r="Q281" s="24">
        <f t="shared" si="45"/>
        <v>1</v>
      </c>
      <c r="R281" s="713">
        <f t="shared" si="46"/>
        <v>0</v>
      </c>
      <c r="S281" s="358">
        <f t="shared" si="47"/>
        <v>0</v>
      </c>
    </row>
    <row r="282" spans="1:19">
      <c r="A282" s="156"/>
      <c r="B282" s="59"/>
      <c r="C282" s="24">
        <f t="shared" ref="C282:C345" si="48">IF(B282="",1,(LOOKUP(B282,$3:$3,$4:$4)-LOOKUP($B$24,$3:$3,$4:$4)+100)/100)</f>
        <v>1</v>
      </c>
      <c r="D282" s="717"/>
      <c r="E282" s="24">
        <f t="shared" ref="E282:E345" si="49">(SUMIF($5:$5,D282,$6:$6)-SUMIF($5:$5,$D$24,$6:$6)+100)/100</f>
        <v>1</v>
      </c>
      <c r="F282" s="717"/>
      <c r="G282" s="24">
        <f t="shared" ref="G282:G345" si="50">(SUMIF($7:$7,F282,$8:$8)-SUMIF($7:$7,$F$24,$8:$8)+100)/100</f>
        <v>1</v>
      </c>
      <c r="H282" s="717"/>
      <c r="I282" s="24">
        <f t="shared" ref="I282:I345" si="51">(SUMIF($9:$9,H282,$10:$10)-SUMIF($9:$9,$H$24,$10:$10)+100)/100</f>
        <v>1</v>
      </c>
      <c r="J282" s="717"/>
      <c r="K282" s="24">
        <f t="shared" ref="K282:K345" si="52">(SUMIF($11:$11,J282,$12:$12)-SUMIF($11:$11,$J$24,$12:$12)+100)/100</f>
        <v>1</v>
      </c>
      <c r="L282" s="717"/>
      <c r="M282" s="24">
        <f t="shared" ref="M282:M345" si="53">(SUMIF($13:$13,L282,$14:$14)-SUMIF($13:$13,$L$24,$14:$14)+100)/100</f>
        <v>1</v>
      </c>
      <c r="N282" s="717"/>
      <c r="O282" s="24">
        <f t="shared" ref="O282:O345" si="54">(SUMIF($15:$15,N282,$16:$16)-SUMIF($15:$15,$N$24,$16:$16)+100)/100</f>
        <v>1</v>
      </c>
      <c r="P282" s="717"/>
      <c r="Q282" s="24">
        <f t="shared" ref="Q282:Q345" si="55">(SUMIF($17:$17,P282,$18:$18)-SUMIF($17:$17,$P$24,$18:$18)+100)/100</f>
        <v>1</v>
      </c>
      <c r="R282" s="713">
        <f t="shared" ref="R282:R345" si="56">IF(B282="",0,ROUND($R$24*C282*E282*G282*I282*K282*M282*O282*Q282,0))</f>
        <v>0</v>
      </c>
      <c r="S282" s="358">
        <f t="shared" si="47"/>
        <v>0</v>
      </c>
    </row>
    <row r="283" spans="1:19">
      <c r="A283" s="156"/>
      <c r="B283" s="59"/>
      <c r="C283" s="24">
        <f t="shared" si="48"/>
        <v>1</v>
      </c>
      <c r="D283" s="717"/>
      <c r="E283" s="24">
        <f t="shared" si="49"/>
        <v>1</v>
      </c>
      <c r="F283" s="717"/>
      <c r="G283" s="24">
        <f t="shared" si="50"/>
        <v>1</v>
      </c>
      <c r="H283" s="717"/>
      <c r="I283" s="24">
        <f t="shared" si="51"/>
        <v>1</v>
      </c>
      <c r="J283" s="717"/>
      <c r="K283" s="24">
        <f t="shared" si="52"/>
        <v>1</v>
      </c>
      <c r="L283" s="717"/>
      <c r="M283" s="24">
        <f t="shared" si="53"/>
        <v>1</v>
      </c>
      <c r="N283" s="717"/>
      <c r="O283" s="24">
        <f t="shared" si="54"/>
        <v>1</v>
      </c>
      <c r="P283" s="717"/>
      <c r="Q283" s="24">
        <f t="shared" si="55"/>
        <v>1</v>
      </c>
      <c r="R283" s="713">
        <f t="shared" si="56"/>
        <v>0</v>
      </c>
      <c r="S283" s="358">
        <f t="shared" si="47"/>
        <v>0</v>
      </c>
    </row>
    <row r="284" spans="1:19">
      <c r="A284" s="156"/>
      <c r="B284" s="59"/>
      <c r="C284" s="24">
        <f t="shared" si="48"/>
        <v>1</v>
      </c>
      <c r="D284" s="717"/>
      <c r="E284" s="24">
        <f t="shared" si="49"/>
        <v>1</v>
      </c>
      <c r="F284" s="717"/>
      <c r="G284" s="24">
        <f t="shared" si="50"/>
        <v>1</v>
      </c>
      <c r="H284" s="717"/>
      <c r="I284" s="24">
        <f t="shared" si="51"/>
        <v>1</v>
      </c>
      <c r="J284" s="717"/>
      <c r="K284" s="24">
        <f t="shared" si="52"/>
        <v>1</v>
      </c>
      <c r="L284" s="717"/>
      <c r="M284" s="24">
        <f t="shared" si="53"/>
        <v>1</v>
      </c>
      <c r="N284" s="717"/>
      <c r="O284" s="24">
        <f t="shared" si="54"/>
        <v>1</v>
      </c>
      <c r="P284" s="717"/>
      <c r="Q284" s="24">
        <f t="shared" si="55"/>
        <v>1</v>
      </c>
      <c r="R284" s="713">
        <f t="shared" si="56"/>
        <v>0</v>
      </c>
      <c r="S284" s="358">
        <f t="shared" si="47"/>
        <v>0</v>
      </c>
    </row>
    <row r="285" spans="1:19">
      <c r="A285" s="156"/>
      <c r="B285" s="59"/>
      <c r="C285" s="24">
        <f t="shared" si="48"/>
        <v>1</v>
      </c>
      <c r="D285" s="717"/>
      <c r="E285" s="24">
        <f t="shared" si="49"/>
        <v>1</v>
      </c>
      <c r="F285" s="717"/>
      <c r="G285" s="24">
        <f t="shared" si="50"/>
        <v>1</v>
      </c>
      <c r="H285" s="717"/>
      <c r="I285" s="24">
        <f t="shared" si="51"/>
        <v>1</v>
      </c>
      <c r="J285" s="717"/>
      <c r="K285" s="24">
        <f t="shared" si="52"/>
        <v>1</v>
      </c>
      <c r="L285" s="717"/>
      <c r="M285" s="24">
        <f t="shared" si="53"/>
        <v>1</v>
      </c>
      <c r="N285" s="717"/>
      <c r="O285" s="24">
        <f t="shared" si="54"/>
        <v>1</v>
      </c>
      <c r="P285" s="717"/>
      <c r="Q285" s="24">
        <f t="shared" si="55"/>
        <v>1</v>
      </c>
      <c r="R285" s="713">
        <f t="shared" si="56"/>
        <v>0</v>
      </c>
      <c r="S285" s="358">
        <f t="shared" si="47"/>
        <v>0</v>
      </c>
    </row>
    <row r="286" spans="1:19">
      <c r="A286" s="156"/>
      <c r="B286" s="59"/>
      <c r="C286" s="24">
        <f t="shared" si="48"/>
        <v>1</v>
      </c>
      <c r="D286" s="717"/>
      <c r="E286" s="24">
        <f t="shared" si="49"/>
        <v>1</v>
      </c>
      <c r="F286" s="717"/>
      <c r="G286" s="24">
        <f t="shared" si="50"/>
        <v>1</v>
      </c>
      <c r="H286" s="717"/>
      <c r="I286" s="24">
        <f t="shared" si="51"/>
        <v>1</v>
      </c>
      <c r="J286" s="717"/>
      <c r="K286" s="24">
        <f t="shared" si="52"/>
        <v>1</v>
      </c>
      <c r="L286" s="717"/>
      <c r="M286" s="24">
        <f t="shared" si="53"/>
        <v>1</v>
      </c>
      <c r="N286" s="717"/>
      <c r="O286" s="24">
        <f t="shared" si="54"/>
        <v>1</v>
      </c>
      <c r="P286" s="717"/>
      <c r="Q286" s="24">
        <f t="shared" si="55"/>
        <v>1</v>
      </c>
      <c r="R286" s="713">
        <f t="shared" si="56"/>
        <v>0</v>
      </c>
      <c r="S286" s="358">
        <f t="shared" si="47"/>
        <v>0</v>
      </c>
    </row>
    <row r="287" spans="1:19">
      <c r="A287" s="156"/>
      <c r="B287" s="59"/>
      <c r="C287" s="24">
        <f t="shared" si="48"/>
        <v>1</v>
      </c>
      <c r="D287" s="717"/>
      <c r="E287" s="24">
        <f t="shared" si="49"/>
        <v>1</v>
      </c>
      <c r="F287" s="717"/>
      <c r="G287" s="24">
        <f t="shared" si="50"/>
        <v>1</v>
      </c>
      <c r="H287" s="717"/>
      <c r="I287" s="24">
        <f t="shared" si="51"/>
        <v>1</v>
      </c>
      <c r="J287" s="717"/>
      <c r="K287" s="24">
        <f t="shared" si="52"/>
        <v>1</v>
      </c>
      <c r="L287" s="717"/>
      <c r="M287" s="24">
        <f t="shared" si="53"/>
        <v>1</v>
      </c>
      <c r="N287" s="717"/>
      <c r="O287" s="24">
        <f t="shared" si="54"/>
        <v>1</v>
      </c>
      <c r="P287" s="717"/>
      <c r="Q287" s="24">
        <f t="shared" si="55"/>
        <v>1</v>
      </c>
      <c r="R287" s="713">
        <f t="shared" si="56"/>
        <v>0</v>
      </c>
      <c r="S287" s="358">
        <f t="shared" ref="S287:S320" si="57">ROUND(R287*B287/10000,0)</f>
        <v>0</v>
      </c>
    </row>
    <row r="288" spans="1:19">
      <c r="A288" s="156"/>
      <c r="B288" s="59"/>
      <c r="C288" s="24">
        <f t="shared" si="48"/>
        <v>1</v>
      </c>
      <c r="D288" s="717"/>
      <c r="E288" s="24">
        <f t="shared" si="49"/>
        <v>1</v>
      </c>
      <c r="F288" s="717"/>
      <c r="G288" s="24">
        <f t="shared" si="50"/>
        <v>1</v>
      </c>
      <c r="H288" s="717"/>
      <c r="I288" s="24">
        <f t="shared" si="51"/>
        <v>1</v>
      </c>
      <c r="J288" s="717"/>
      <c r="K288" s="24">
        <f t="shared" si="52"/>
        <v>1</v>
      </c>
      <c r="L288" s="717"/>
      <c r="M288" s="24">
        <f t="shared" si="53"/>
        <v>1</v>
      </c>
      <c r="N288" s="717"/>
      <c r="O288" s="24">
        <f t="shared" si="54"/>
        <v>1</v>
      </c>
      <c r="P288" s="717"/>
      <c r="Q288" s="24">
        <f t="shared" si="55"/>
        <v>1</v>
      </c>
      <c r="R288" s="713">
        <f t="shared" si="56"/>
        <v>0</v>
      </c>
      <c r="S288" s="358">
        <f t="shared" si="57"/>
        <v>0</v>
      </c>
    </row>
    <row r="289" spans="1:19">
      <c r="A289" s="156"/>
      <c r="B289" s="59"/>
      <c r="C289" s="24">
        <f t="shared" si="48"/>
        <v>1</v>
      </c>
      <c r="D289" s="717"/>
      <c r="E289" s="24">
        <f t="shared" si="49"/>
        <v>1</v>
      </c>
      <c r="F289" s="717"/>
      <c r="G289" s="24">
        <f t="shared" si="50"/>
        <v>1</v>
      </c>
      <c r="H289" s="717"/>
      <c r="I289" s="24">
        <f t="shared" si="51"/>
        <v>1</v>
      </c>
      <c r="J289" s="717"/>
      <c r="K289" s="24">
        <f t="shared" si="52"/>
        <v>1</v>
      </c>
      <c r="L289" s="717"/>
      <c r="M289" s="24">
        <f t="shared" si="53"/>
        <v>1</v>
      </c>
      <c r="N289" s="717"/>
      <c r="O289" s="24">
        <f t="shared" si="54"/>
        <v>1</v>
      </c>
      <c r="P289" s="717"/>
      <c r="Q289" s="24">
        <f t="shared" si="55"/>
        <v>1</v>
      </c>
      <c r="R289" s="713">
        <f t="shared" si="56"/>
        <v>0</v>
      </c>
      <c r="S289" s="358">
        <f t="shared" si="57"/>
        <v>0</v>
      </c>
    </row>
    <row r="290" spans="1:19">
      <c r="A290" s="156"/>
      <c r="B290" s="59"/>
      <c r="C290" s="24">
        <f t="shared" si="48"/>
        <v>1</v>
      </c>
      <c r="D290" s="717"/>
      <c r="E290" s="24">
        <f t="shared" si="49"/>
        <v>1</v>
      </c>
      <c r="F290" s="717"/>
      <c r="G290" s="24">
        <f t="shared" si="50"/>
        <v>1</v>
      </c>
      <c r="H290" s="717"/>
      <c r="I290" s="24">
        <f t="shared" si="51"/>
        <v>1</v>
      </c>
      <c r="J290" s="717"/>
      <c r="K290" s="24">
        <f t="shared" si="52"/>
        <v>1</v>
      </c>
      <c r="L290" s="717"/>
      <c r="M290" s="24">
        <f t="shared" si="53"/>
        <v>1</v>
      </c>
      <c r="N290" s="717"/>
      <c r="O290" s="24">
        <f t="shared" si="54"/>
        <v>1</v>
      </c>
      <c r="P290" s="717"/>
      <c r="Q290" s="24">
        <f t="shared" si="55"/>
        <v>1</v>
      </c>
      <c r="R290" s="713">
        <f t="shared" si="56"/>
        <v>0</v>
      </c>
      <c r="S290" s="358">
        <f t="shared" si="57"/>
        <v>0</v>
      </c>
    </row>
    <row r="291" spans="1:19">
      <c r="A291" s="156"/>
      <c r="B291" s="59"/>
      <c r="C291" s="24">
        <f t="shared" si="48"/>
        <v>1</v>
      </c>
      <c r="D291" s="717"/>
      <c r="E291" s="24">
        <f t="shared" si="49"/>
        <v>1</v>
      </c>
      <c r="F291" s="717"/>
      <c r="G291" s="24">
        <f t="shared" si="50"/>
        <v>1</v>
      </c>
      <c r="H291" s="717"/>
      <c r="I291" s="24">
        <f t="shared" si="51"/>
        <v>1</v>
      </c>
      <c r="J291" s="717"/>
      <c r="K291" s="24">
        <f t="shared" si="52"/>
        <v>1</v>
      </c>
      <c r="L291" s="717"/>
      <c r="M291" s="24">
        <f t="shared" si="53"/>
        <v>1</v>
      </c>
      <c r="N291" s="717"/>
      <c r="O291" s="24">
        <f t="shared" si="54"/>
        <v>1</v>
      </c>
      <c r="P291" s="717"/>
      <c r="Q291" s="24">
        <f t="shared" si="55"/>
        <v>1</v>
      </c>
      <c r="R291" s="713">
        <f t="shared" si="56"/>
        <v>0</v>
      </c>
      <c r="S291" s="358">
        <f t="shared" si="57"/>
        <v>0</v>
      </c>
    </row>
    <row r="292" spans="1:19">
      <c r="A292" s="156"/>
      <c r="B292" s="59"/>
      <c r="C292" s="24">
        <f t="shared" si="48"/>
        <v>1</v>
      </c>
      <c r="D292" s="717"/>
      <c r="E292" s="24">
        <f t="shared" si="49"/>
        <v>1</v>
      </c>
      <c r="F292" s="717"/>
      <c r="G292" s="24">
        <f t="shared" si="50"/>
        <v>1</v>
      </c>
      <c r="H292" s="717"/>
      <c r="I292" s="24">
        <f t="shared" si="51"/>
        <v>1</v>
      </c>
      <c r="J292" s="717"/>
      <c r="K292" s="24">
        <f t="shared" si="52"/>
        <v>1</v>
      </c>
      <c r="L292" s="717"/>
      <c r="M292" s="24">
        <f t="shared" si="53"/>
        <v>1</v>
      </c>
      <c r="N292" s="717"/>
      <c r="O292" s="24">
        <f t="shared" si="54"/>
        <v>1</v>
      </c>
      <c r="P292" s="717"/>
      <c r="Q292" s="24">
        <f t="shared" si="55"/>
        <v>1</v>
      </c>
      <c r="R292" s="713">
        <f t="shared" si="56"/>
        <v>0</v>
      </c>
      <c r="S292" s="358">
        <f t="shared" si="57"/>
        <v>0</v>
      </c>
    </row>
    <row r="293" spans="1:19">
      <c r="A293" s="156"/>
      <c r="B293" s="59"/>
      <c r="C293" s="24">
        <f t="shared" si="48"/>
        <v>1</v>
      </c>
      <c r="D293" s="717"/>
      <c r="E293" s="24">
        <f t="shared" si="49"/>
        <v>1</v>
      </c>
      <c r="F293" s="717"/>
      <c r="G293" s="24">
        <f t="shared" si="50"/>
        <v>1</v>
      </c>
      <c r="H293" s="717"/>
      <c r="I293" s="24">
        <f t="shared" si="51"/>
        <v>1</v>
      </c>
      <c r="J293" s="717"/>
      <c r="K293" s="24">
        <f t="shared" si="52"/>
        <v>1</v>
      </c>
      <c r="L293" s="717"/>
      <c r="M293" s="24">
        <f t="shared" si="53"/>
        <v>1</v>
      </c>
      <c r="N293" s="717"/>
      <c r="O293" s="24">
        <f t="shared" si="54"/>
        <v>1</v>
      </c>
      <c r="P293" s="717"/>
      <c r="Q293" s="24">
        <f t="shared" si="55"/>
        <v>1</v>
      </c>
      <c r="R293" s="713">
        <f t="shared" si="56"/>
        <v>0</v>
      </c>
      <c r="S293" s="358">
        <f t="shared" si="57"/>
        <v>0</v>
      </c>
    </row>
    <row r="294" spans="1:19">
      <c r="A294" s="156"/>
      <c r="B294" s="59"/>
      <c r="C294" s="24">
        <f t="shared" si="48"/>
        <v>1</v>
      </c>
      <c r="D294" s="717"/>
      <c r="E294" s="24">
        <f t="shared" si="49"/>
        <v>1</v>
      </c>
      <c r="F294" s="717"/>
      <c r="G294" s="24">
        <f t="shared" si="50"/>
        <v>1</v>
      </c>
      <c r="H294" s="717"/>
      <c r="I294" s="24">
        <f t="shared" si="51"/>
        <v>1</v>
      </c>
      <c r="J294" s="717"/>
      <c r="K294" s="24">
        <f t="shared" si="52"/>
        <v>1</v>
      </c>
      <c r="L294" s="717"/>
      <c r="M294" s="24">
        <f t="shared" si="53"/>
        <v>1</v>
      </c>
      <c r="N294" s="717"/>
      <c r="O294" s="24">
        <f t="shared" si="54"/>
        <v>1</v>
      </c>
      <c r="P294" s="717"/>
      <c r="Q294" s="24">
        <f t="shared" si="55"/>
        <v>1</v>
      </c>
      <c r="R294" s="713">
        <f t="shared" si="56"/>
        <v>0</v>
      </c>
      <c r="S294" s="358">
        <f t="shared" si="57"/>
        <v>0</v>
      </c>
    </row>
    <row r="295" spans="1:19">
      <c r="A295" s="156"/>
      <c r="B295" s="59"/>
      <c r="C295" s="24">
        <f t="shared" si="48"/>
        <v>1</v>
      </c>
      <c r="D295" s="717"/>
      <c r="E295" s="24">
        <f t="shared" si="49"/>
        <v>1</v>
      </c>
      <c r="F295" s="717"/>
      <c r="G295" s="24">
        <f t="shared" si="50"/>
        <v>1</v>
      </c>
      <c r="H295" s="717"/>
      <c r="I295" s="24">
        <f t="shared" si="51"/>
        <v>1</v>
      </c>
      <c r="J295" s="717"/>
      <c r="K295" s="24">
        <f t="shared" si="52"/>
        <v>1</v>
      </c>
      <c r="L295" s="717"/>
      <c r="M295" s="24">
        <f t="shared" si="53"/>
        <v>1</v>
      </c>
      <c r="N295" s="717"/>
      <c r="O295" s="24">
        <f t="shared" si="54"/>
        <v>1</v>
      </c>
      <c r="P295" s="717"/>
      <c r="Q295" s="24">
        <f t="shared" si="55"/>
        <v>1</v>
      </c>
      <c r="R295" s="713">
        <f t="shared" si="56"/>
        <v>0</v>
      </c>
      <c r="S295" s="358">
        <f t="shared" si="57"/>
        <v>0</v>
      </c>
    </row>
    <row r="296" spans="1:19">
      <c r="A296" s="156"/>
      <c r="B296" s="59"/>
      <c r="C296" s="24">
        <f t="shared" si="48"/>
        <v>1</v>
      </c>
      <c r="D296" s="717"/>
      <c r="E296" s="24">
        <f t="shared" si="49"/>
        <v>1</v>
      </c>
      <c r="F296" s="717"/>
      <c r="G296" s="24">
        <f t="shared" si="50"/>
        <v>1</v>
      </c>
      <c r="H296" s="717"/>
      <c r="I296" s="24">
        <f t="shared" si="51"/>
        <v>1</v>
      </c>
      <c r="J296" s="717"/>
      <c r="K296" s="24">
        <f t="shared" si="52"/>
        <v>1</v>
      </c>
      <c r="L296" s="717"/>
      <c r="M296" s="24">
        <f t="shared" si="53"/>
        <v>1</v>
      </c>
      <c r="N296" s="717"/>
      <c r="O296" s="24">
        <f t="shared" si="54"/>
        <v>1</v>
      </c>
      <c r="P296" s="717"/>
      <c r="Q296" s="24">
        <f t="shared" si="55"/>
        <v>1</v>
      </c>
      <c r="R296" s="713">
        <f t="shared" si="56"/>
        <v>0</v>
      </c>
      <c r="S296" s="358">
        <f t="shared" si="57"/>
        <v>0</v>
      </c>
    </row>
    <row r="297" spans="1:19">
      <c r="A297" s="156"/>
      <c r="B297" s="59"/>
      <c r="C297" s="24">
        <f t="shared" si="48"/>
        <v>1</v>
      </c>
      <c r="D297" s="717"/>
      <c r="E297" s="24">
        <f t="shared" si="49"/>
        <v>1</v>
      </c>
      <c r="F297" s="717"/>
      <c r="G297" s="24">
        <f t="shared" si="50"/>
        <v>1</v>
      </c>
      <c r="H297" s="717"/>
      <c r="I297" s="24">
        <f t="shared" si="51"/>
        <v>1</v>
      </c>
      <c r="J297" s="717"/>
      <c r="K297" s="24">
        <f t="shared" si="52"/>
        <v>1</v>
      </c>
      <c r="L297" s="717"/>
      <c r="M297" s="24">
        <f t="shared" si="53"/>
        <v>1</v>
      </c>
      <c r="N297" s="717"/>
      <c r="O297" s="24">
        <f t="shared" si="54"/>
        <v>1</v>
      </c>
      <c r="P297" s="717"/>
      <c r="Q297" s="24">
        <f t="shared" si="55"/>
        <v>1</v>
      </c>
      <c r="R297" s="713">
        <f t="shared" si="56"/>
        <v>0</v>
      </c>
      <c r="S297" s="358">
        <f t="shared" si="57"/>
        <v>0</v>
      </c>
    </row>
    <row r="298" spans="1:19">
      <c r="A298" s="156"/>
      <c r="B298" s="59"/>
      <c r="C298" s="24">
        <f t="shared" si="48"/>
        <v>1</v>
      </c>
      <c r="D298" s="717"/>
      <c r="E298" s="24">
        <f t="shared" si="49"/>
        <v>1</v>
      </c>
      <c r="F298" s="717"/>
      <c r="G298" s="24">
        <f t="shared" si="50"/>
        <v>1</v>
      </c>
      <c r="H298" s="717"/>
      <c r="I298" s="24">
        <f t="shared" si="51"/>
        <v>1</v>
      </c>
      <c r="J298" s="717"/>
      <c r="K298" s="24">
        <f t="shared" si="52"/>
        <v>1</v>
      </c>
      <c r="L298" s="717"/>
      <c r="M298" s="24">
        <f t="shared" si="53"/>
        <v>1</v>
      </c>
      <c r="N298" s="717"/>
      <c r="O298" s="24">
        <f t="shared" si="54"/>
        <v>1</v>
      </c>
      <c r="P298" s="717"/>
      <c r="Q298" s="24">
        <f t="shared" si="55"/>
        <v>1</v>
      </c>
      <c r="R298" s="713">
        <f t="shared" si="56"/>
        <v>0</v>
      </c>
      <c r="S298" s="358">
        <f t="shared" si="57"/>
        <v>0</v>
      </c>
    </row>
    <row r="299" spans="1:19">
      <c r="A299" s="156"/>
      <c r="B299" s="59"/>
      <c r="C299" s="24">
        <f t="shared" si="48"/>
        <v>1</v>
      </c>
      <c r="D299" s="717"/>
      <c r="E299" s="24">
        <f t="shared" si="49"/>
        <v>1</v>
      </c>
      <c r="F299" s="717"/>
      <c r="G299" s="24">
        <f t="shared" si="50"/>
        <v>1</v>
      </c>
      <c r="H299" s="717"/>
      <c r="I299" s="24">
        <f t="shared" si="51"/>
        <v>1</v>
      </c>
      <c r="J299" s="717"/>
      <c r="K299" s="24">
        <f t="shared" si="52"/>
        <v>1</v>
      </c>
      <c r="L299" s="717"/>
      <c r="M299" s="24">
        <f t="shared" si="53"/>
        <v>1</v>
      </c>
      <c r="N299" s="717"/>
      <c r="O299" s="24">
        <f t="shared" si="54"/>
        <v>1</v>
      </c>
      <c r="P299" s="717"/>
      <c r="Q299" s="24">
        <f t="shared" si="55"/>
        <v>1</v>
      </c>
      <c r="R299" s="713">
        <f t="shared" si="56"/>
        <v>0</v>
      </c>
      <c r="S299" s="358">
        <f t="shared" si="57"/>
        <v>0</v>
      </c>
    </row>
    <row r="300" spans="1:19">
      <c r="A300" s="156"/>
      <c r="B300" s="59"/>
      <c r="C300" s="24">
        <f t="shared" si="48"/>
        <v>1</v>
      </c>
      <c r="D300" s="717"/>
      <c r="E300" s="24">
        <f t="shared" si="49"/>
        <v>1</v>
      </c>
      <c r="F300" s="717"/>
      <c r="G300" s="24">
        <f t="shared" si="50"/>
        <v>1</v>
      </c>
      <c r="H300" s="717"/>
      <c r="I300" s="24">
        <f t="shared" si="51"/>
        <v>1</v>
      </c>
      <c r="J300" s="717"/>
      <c r="K300" s="24">
        <f t="shared" si="52"/>
        <v>1</v>
      </c>
      <c r="L300" s="717"/>
      <c r="M300" s="24">
        <f t="shared" si="53"/>
        <v>1</v>
      </c>
      <c r="N300" s="717"/>
      <c r="O300" s="24">
        <f t="shared" si="54"/>
        <v>1</v>
      </c>
      <c r="P300" s="717"/>
      <c r="Q300" s="24">
        <f t="shared" si="55"/>
        <v>1</v>
      </c>
      <c r="R300" s="713">
        <f t="shared" si="56"/>
        <v>0</v>
      </c>
      <c r="S300" s="358">
        <f t="shared" si="57"/>
        <v>0</v>
      </c>
    </row>
    <row r="301" spans="1:19">
      <c r="A301" s="156"/>
      <c r="B301" s="59"/>
      <c r="C301" s="24">
        <f t="shared" si="48"/>
        <v>1</v>
      </c>
      <c r="D301" s="717"/>
      <c r="E301" s="24">
        <f t="shared" si="49"/>
        <v>1</v>
      </c>
      <c r="F301" s="717"/>
      <c r="G301" s="24">
        <f t="shared" si="50"/>
        <v>1</v>
      </c>
      <c r="H301" s="717"/>
      <c r="I301" s="24">
        <f t="shared" si="51"/>
        <v>1</v>
      </c>
      <c r="J301" s="717"/>
      <c r="K301" s="24">
        <f t="shared" si="52"/>
        <v>1</v>
      </c>
      <c r="L301" s="717"/>
      <c r="M301" s="24">
        <f t="shared" si="53"/>
        <v>1</v>
      </c>
      <c r="N301" s="717"/>
      <c r="O301" s="24">
        <f t="shared" si="54"/>
        <v>1</v>
      </c>
      <c r="P301" s="717"/>
      <c r="Q301" s="24">
        <f t="shared" si="55"/>
        <v>1</v>
      </c>
      <c r="R301" s="713">
        <f t="shared" si="56"/>
        <v>0</v>
      </c>
      <c r="S301" s="358">
        <f t="shared" si="57"/>
        <v>0</v>
      </c>
    </row>
    <row r="302" spans="1:19">
      <c r="A302" s="156"/>
      <c r="B302" s="59"/>
      <c r="C302" s="24">
        <f t="shared" si="48"/>
        <v>1</v>
      </c>
      <c r="D302" s="717"/>
      <c r="E302" s="24">
        <f t="shared" si="49"/>
        <v>1</v>
      </c>
      <c r="F302" s="717"/>
      <c r="G302" s="24">
        <f t="shared" si="50"/>
        <v>1</v>
      </c>
      <c r="H302" s="717"/>
      <c r="I302" s="24">
        <f t="shared" si="51"/>
        <v>1</v>
      </c>
      <c r="J302" s="717"/>
      <c r="K302" s="24">
        <f t="shared" si="52"/>
        <v>1</v>
      </c>
      <c r="L302" s="717"/>
      <c r="M302" s="24">
        <f t="shared" si="53"/>
        <v>1</v>
      </c>
      <c r="N302" s="717"/>
      <c r="O302" s="24">
        <f t="shared" si="54"/>
        <v>1</v>
      </c>
      <c r="P302" s="717"/>
      <c r="Q302" s="24">
        <f t="shared" si="55"/>
        <v>1</v>
      </c>
      <c r="R302" s="713">
        <f t="shared" si="56"/>
        <v>0</v>
      </c>
      <c r="S302" s="358">
        <f t="shared" si="57"/>
        <v>0</v>
      </c>
    </row>
    <row r="303" spans="1:19">
      <c r="A303" s="156"/>
      <c r="B303" s="59"/>
      <c r="C303" s="24">
        <f t="shared" si="48"/>
        <v>1</v>
      </c>
      <c r="D303" s="717"/>
      <c r="E303" s="24">
        <f t="shared" si="49"/>
        <v>1</v>
      </c>
      <c r="F303" s="717"/>
      <c r="G303" s="24">
        <f t="shared" si="50"/>
        <v>1</v>
      </c>
      <c r="H303" s="717"/>
      <c r="I303" s="24">
        <f t="shared" si="51"/>
        <v>1</v>
      </c>
      <c r="J303" s="717"/>
      <c r="K303" s="24">
        <f t="shared" si="52"/>
        <v>1</v>
      </c>
      <c r="L303" s="717"/>
      <c r="M303" s="24">
        <f t="shared" si="53"/>
        <v>1</v>
      </c>
      <c r="N303" s="717"/>
      <c r="O303" s="24">
        <f t="shared" si="54"/>
        <v>1</v>
      </c>
      <c r="P303" s="717"/>
      <c r="Q303" s="24">
        <f t="shared" si="55"/>
        <v>1</v>
      </c>
      <c r="R303" s="713">
        <f t="shared" si="56"/>
        <v>0</v>
      </c>
      <c r="S303" s="358">
        <f t="shared" si="57"/>
        <v>0</v>
      </c>
    </row>
    <row r="304" spans="1:19">
      <c r="A304" s="156"/>
      <c r="B304" s="59"/>
      <c r="C304" s="24">
        <f t="shared" si="48"/>
        <v>1</v>
      </c>
      <c r="D304" s="717"/>
      <c r="E304" s="24">
        <f t="shared" si="49"/>
        <v>1</v>
      </c>
      <c r="F304" s="717"/>
      <c r="G304" s="24">
        <f t="shared" si="50"/>
        <v>1</v>
      </c>
      <c r="H304" s="717"/>
      <c r="I304" s="24">
        <f t="shared" si="51"/>
        <v>1</v>
      </c>
      <c r="J304" s="717"/>
      <c r="K304" s="24">
        <f t="shared" si="52"/>
        <v>1</v>
      </c>
      <c r="L304" s="717"/>
      <c r="M304" s="24">
        <f t="shared" si="53"/>
        <v>1</v>
      </c>
      <c r="N304" s="717"/>
      <c r="O304" s="24">
        <f t="shared" si="54"/>
        <v>1</v>
      </c>
      <c r="P304" s="717"/>
      <c r="Q304" s="24">
        <f t="shared" si="55"/>
        <v>1</v>
      </c>
      <c r="R304" s="713">
        <f t="shared" si="56"/>
        <v>0</v>
      </c>
      <c r="S304" s="358">
        <f t="shared" si="57"/>
        <v>0</v>
      </c>
    </row>
    <row r="305" spans="1:19">
      <c r="A305" s="156"/>
      <c r="B305" s="59"/>
      <c r="C305" s="24">
        <f t="shared" si="48"/>
        <v>1</v>
      </c>
      <c r="D305" s="717"/>
      <c r="E305" s="24">
        <f t="shared" si="49"/>
        <v>1</v>
      </c>
      <c r="F305" s="717"/>
      <c r="G305" s="24">
        <f t="shared" si="50"/>
        <v>1</v>
      </c>
      <c r="H305" s="717"/>
      <c r="I305" s="24">
        <f t="shared" si="51"/>
        <v>1</v>
      </c>
      <c r="J305" s="717"/>
      <c r="K305" s="24">
        <f t="shared" si="52"/>
        <v>1</v>
      </c>
      <c r="L305" s="717"/>
      <c r="M305" s="24">
        <f t="shared" si="53"/>
        <v>1</v>
      </c>
      <c r="N305" s="717"/>
      <c r="O305" s="24">
        <f t="shared" si="54"/>
        <v>1</v>
      </c>
      <c r="P305" s="717"/>
      <c r="Q305" s="24">
        <f t="shared" si="55"/>
        <v>1</v>
      </c>
      <c r="R305" s="713">
        <f t="shared" si="56"/>
        <v>0</v>
      </c>
      <c r="S305" s="358">
        <f t="shared" si="57"/>
        <v>0</v>
      </c>
    </row>
    <row r="306" spans="1:19">
      <c r="A306" s="156"/>
      <c r="B306" s="59"/>
      <c r="C306" s="24">
        <f t="shared" si="48"/>
        <v>1</v>
      </c>
      <c r="D306" s="717"/>
      <c r="E306" s="24">
        <f t="shared" si="49"/>
        <v>1</v>
      </c>
      <c r="F306" s="717"/>
      <c r="G306" s="24">
        <f t="shared" si="50"/>
        <v>1</v>
      </c>
      <c r="H306" s="717"/>
      <c r="I306" s="24">
        <f t="shared" si="51"/>
        <v>1</v>
      </c>
      <c r="J306" s="717"/>
      <c r="K306" s="24">
        <f t="shared" si="52"/>
        <v>1</v>
      </c>
      <c r="L306" s="717"/>
      <c r="M306" s="24">
        <f t="shared" si="53"/>
        <v>1</v>
      </c>
      <c r="N306" s="717"/>
      <c r="O306" s="24">
        <f t="shared" si="54"/>
        <v>1</v>
      </c>
      <c r="P306" s="717"/>
      <c r="Q306" s="24">
        <f t="shared" si="55"/>
        <v>1</v>
      </c>
      <c r="R306" s="713">
        <f t="shared" si="56"/>
        <v>0</v>
      </c>
      <c r="S306" s="358">
        <f t="shared" si="57"/>
        <v>0</v>
      </c>
    </row>
    <row r="307" spans="1:19">
      <c r="A307" s="156"/>
      <c r="B307" s="59"/>
      <c r="C307" s="24">
        <f t="shared" si="48"/>
        <v>1</v>
      </c>
      <c r="D307" s="717"/>
      <c r="E307" s="24">
        <f t="shared" si="49"/>
        <v>1</v>
      </c>
      <c r="F307" s="717"/>
      <c r="G307" s="24">
        <f t="shared" si="50"/>
        <v>1</v>
      </c>
      <c r="H307" s="717"/>
      <c r="I307" s="24">
        <f t="shared" si="51"/>
        <v>1</v>
      </c>
      <c r="J307" s="717"/>
      <c r="K307" s="24">
        <f t="shared" si="52"/>
        <v>1</v>
      </c>
      <c r="L307" s="717"/>
      <c r="M307" s="24">
        <f t="shared" si="53"/>
        <v>1</v>
      </c>
      <c r="N307" s="717"/>
      <c r="O307" s="24">
        <f t="shared" si="54"/>
        <v>1</v>
      </c>
      <c r="P307" s="717"/>
      <c r="Q307" s="24">
        <f t="shared" si="55"/>
        <v>1</v>
      </c>
      <c r="R307" s="713">
        <f t="shared" si="56"/>
        <v>0</v>
      </c>
      <c r="S307" s="358">
        <f t="shared" si="57"/>
        <v>0</v>
      </c>
    </row>
    <row r="308" spans="1:19">
      <c r="A308" s="156"/>
      <c r="B308" s="59"/>
      <c r="C308" s="24">
        <f t="shared" si="48"/>
        <v>1</v>
      </c>
      <c r="D308" s="717"/>
      <c r="E308" s="24">
        <f t="shared" si="49"/>
        <v>1</v>
      </c>
      <c r="F308" s="717"/>
      <c r="G308" s="24">
        <f t="shared" si="50"/>
        <v>1</v>
      </c>
      <c r="H308" s="717"/>
      <c r="I308" s="24">
        <f t="shared" si="51"/>
        <v>1</v>
      </c>
      <c r="J308" s="717"/>
      <c r="K308" s="24">
        <f t="shared" si="52"/>
        <v>1</v>
      </c>
      <c r="L308" s="717"/>
      <c r="M308" s="24">
        <f t="shared" si="53"/>
        <v>1</v>
      </c>
      <c r="N308" s="717"/>
      <c r="O308" s="24">
        <f t="shared" si="54"/>
        <v>1</v>
      </c>
      <c r="P308" s="717"/>
      <c r="Q308" s="24">
        <f t="shared" si="55"/>
        <v>1</v>
      </c>
      <c r="R308" s="713">
        <f t="shared" si="56"/>
        <v>0</v>
      </c>
      <c r="S308" s="358">
        <f t="shared" si="57"/>
        <v>0</v>
      </c>
    </row>
    <row r="309" spans="1:19">
      <c r="A309" s="156"/>
      <c r="B309" s="59"/>
      <c r="C309" s="24">
        <f t="shared" si="48"/>
        <v>1</v>
      </c>
      <c r="D309" s="717"/>
      <c r="E309" s="24">
        <f t="shared" si="49"/>
        <v>1</v>
      </c>
      <c r="F309" s="717"/>
      <c r="G309" s="24">
        <f t="shared" si="50"/>
        <v>1</v>
      </c>
      <c r="H309" s="717"/>
      <c r="I309" s="24">
        <f t="shared" si="51"/>
        <v>1</v>
      </c>
      <c r="J309" s="717"/>
      <c r="K309" s="24">
        <f t="shared" si="52"/>
        <v>1</v>
      </c>
      <c r="L309" s="717"/>
      <c r="M309" s="24">
        <f t="shared" si="53"/>
        <v>1</v>
      </c>
      <c r="N309" s="717"/>
      <c r="O309" s="24">
        <f t="shared" si="54"/>
        <v>1</v>
      </c>
      <c r="P309" s="717"/>
      <c r="Q309" s="24">
        <f t="shared" si="55"/>
        <v>1</v>
      </c>
      <c r="R309" s="713">
        <f t="shared" si="56"/>
        <v>0</v>
      </c>
      <c r="S309" s="358">
        <f t="shared" si="57"/>
        <v>0</v>
      </c>
    </row>
    <row r="310" spans="1:19">
      <c r="A310" s="156"/>
      <c r="B310" s="59"/>
      <c r="C310" s="24">
        <f t="shared" si="48"/>
        <v>1</v>
      </c>
      <c r="D310" s="717"/>
      <c r="E310" s="24">
        <f t="shared" si="49"/>
        <v>1</v>
      </c>
      <c r="F310" s="717"/>
      <c r="G310" s="24">
        <f t="shared" si="50"/>
        <v>1</v>
      </c>
      <c r="H310" s="717"/>
      <c r="I310" s="24">
        <f t="shared" si="51"/>
        <v>1</v>
      </c>
      <c r="J310" s="717"/>
      <c r="K310" s="24">
        <f t="shared" si="52"/>
        <v>1</v>
      </c>
      <c r="L310" s="717"/>
      <c r="M310" s="24">
        <f t="shared" si="53"/>
        <v>1</v>
      </c>
      <c r="N310" s="717"/>
      <c r="O310" s="24">
        <f t="shared" si="54"/>
        <v>1</v>
      </c>
      <c r="P310" s="717"/>
      <c r="Q310" s="24">
        <f t="shared" si="55"/>
        <v>1</v>
      </c>
      <c r="R310" s="713">
        <f t="shared" si="56"/>
        <v>0</v>
      </c>
      <c r="S310" s="358">
        <f t="shared" si="57"/>
        <v>0</v>
      </c>
    </row>
    <row r="311" spans="1:19">
      <c r="A311" s="156"/>
      <c r="B311" s="59"/>
      <c r="C311" s="24">
        <f t="shared" si="48"/>
        <v>1</v>
      </c>
      <c r="D311" s="717"/>
      <c r="E311" s="24">
        <f t="shared" si="49"/>
        <v>1</v>
      </c>
      <c r="F311" s="717"/>
      <c r="G311" s="24">
        <f t="shared" si="50"/>
        <v>1</v>
      </c>
      <c r="H311" s="717"/>
      <c r="I311" s="24">
        <f t="shared" si="51"/>
        <v>1</v>
      </c>
      <c r="J311" s="717"/>
      <c r="K311" s="24">
        <f t="shared" si="52"/>
        <v>1</v>
      </c>
      <c r="L311" s="717"/>
      <c r="M311" s="24">
        <f t="shared" si="53"/>
        <v>1</v>
      </c>
      <c r="N311" s="717"/>
      <c r="O311" s="24">
        <f t="shared" si="54"/>
        <v>1</v>
      </c>
      <c r="P311" s="717"/>
      <c r="Q311" s="24">
        <f t="shared" si="55"/>
        <v>1</v>
      </c>
      <c r="R311" s="713">
        <f t="shared" si="56"/>
        <v>0</v>
      </c>
      <c r="S311" s="358">
        <f t="shared" si="57"/>
        <v>0</v>
      </c>
    </row>
    <row r="312" spans="1:19">
      <c r="A312" s="156"/>
      <c r="B312" s="59"/>
      <c r="C312" s="24">
        <f t="shared" si="48"/>
        <v>1</v>
      </c>
      <c r="D312" s="717"/>
      <c r="E312" s="24">
        <f t="shared" si="49"/>
        <v>1</v>
      </c>
      <c r="F312" s="717"/>
      <c r="G312" s="24">
        <f t="shared" si="50"/>
        <v>1</v>
      </c>
      <c r="H312" s="717"/>
      <c r="I312" s="24">
        <f t="shared" si="51"/>
        <v>1</v>
      </c>
      <c r="J312" s="717"/>
      <c r="K312" s="24">
        <f t="shared" si="52"/>
        <v>1</v>
      </c>
      <c r="L312" s="717"/>
      <c r="M312" s="24">
        <f t="shared" si="53"/>
        <v>1</v>
      </c>
      <c r="N312" s="717"/>
      <c r="O312" s="24">
        <f t="shared" si="54"/>
        <v>1</v>
      </c>
      <c r="P312" s="717"/>
      <c r="Q312" s="24">
        <f t="shared" si="55"/>
        <v>1</v>
      </c>
      <c r="R312" s="713">
        <f t="shared" si="56"/>
        <v>0</v>
      </c>
      <c r="S312" s="358">
        <f t="shared" si="57"/>
        <v>0</v>
      </c>
    </row>
    <row r="313" spans="1:19">
      <c r="A313" s="156"/>
      <c r="B313" s="59"/>
      <c r="C313" s="24">
        <f t="shared" si="48"/>
        <v>1</v>
      </c>
      <c r="D313" s="717"/>
      <c r="E313" s="24">
        <f t="shared" si="49"/>
        <v>1</v>
      </c>
      <c r="F313" s="717"/>
      <c r="G313" s="24">
        <f t="shared" si="50"/>
        <v>1</v>
      </c>
      <c r="H313" s="717"/>
      <c r="I313" s="24">
        <f t="shared" si="51"/>
        <v>1</v>
      </c>
      <c r="J313" s="717"/>
      <c r="K313" s="24">
        <f t="shared" si="52"/>
        <v>1</v>
      </c>
      <c r="L313" s="717"/>
      <c r="M313" s="24">
        <f t="shared" si="53"/>
        <v>1</v>
      </c>
      <c r="N313" s="717"/>
      <c r="O313" s="24">
        <f t="shared" si="54"/>
        <v>1</v>
      </c>
      <c r="P313" s="717"/>
      <c r="Q313" s="24">
        <f t="shared" si="55"/>
        <v>1</v>
      </c>
      <c r="R313" s="713">
        <f t="shared" si="56"/>
        <v>0</v>
      </c>
      <c r="S313" s="358">
        <f t="shared" si="57"/>
        <v>0</v>
      </c>
    </row>
    <row r="314" spans="1:19">
      <c r="A314" s="156"/>
      <c r="B314" s="59"/>
      <c r="C314" s="24">
        <f t="shared" si="48"/>
        <v>1</v>
      </c>
      <c r="D314" s="717"/>
      <c r="E314" s="24">
        <f t="shared" si="49"/>
        <v>1</v>
      </c>
      <c r="F314" s="717"/>
      <c r="G314" s="24">
        <f t="shared" si="50"/>
        <v>1</v>
      </c>
      <c r="H314" s="717"/>
      <c r="I314" s="24">
        <f t="shared" si="51"/>
        <v>1</v>
      </c>
      <c r="J314" s="717"/>
      <c r="K314" s="24">
        <f t="shared" si="52"/>
        <v>1</v>
      </c>
      <c r="L314" s="717"/>
      <c r="M314" s="24">
        <f t="shared" si="53"/>
        <v>1</v>
      </c>
      <c r="N314" s="717"/>
      <c r="O314" s="24">
        <f t="shared" si="54"/>
        <v>1</v>
      </c>
      <c r="P314" s="717"/>
      <c r="Q314" s="24">
        <f t="shared" si="55"/>
        <v>1</v>
      </c>
      <c r="R314" s="713">
        <f t="shared" si="56"/>
        <v>0</v>
      </c>
      <c r="S314" s="358">
        <f t="shared" si="57"/>
        <v>0</v>
      </c>
    </row>
    <row r="315" spans="1:19">
      <c r="A315" s="156"/>
      <c r="B315" s="59"/>
      <c r="C315" s="24">
        <f t="shared" si="48"/>
        <v>1</v>
      </c>
      <c r="D315" s="717"/>
      <c r="E315" s="24">
        <f t="shared" si="49"/>
        <v>1</v>
      </c>
      <c r="F315" s="717"/>
      <c r="G315" s="24">
        <f t="shared" si="50"/>
        <v>1</v>
      </c>
      <c r="H315" s="717"/>
      <c r="I315" s="24">
        <f t="shared" si="51"/>
        <v>1</v>
      </c>
      <c r="J315" s="717"/>
      <c r="K315" s="24">
        <f t="shared" si="52"/>
        <v>1</v>
      </c>
      <c r="L315" s="717"/>
      <c r="M315" s="24">
        <f t="shared" si="53"/>
        <v>1</v>
      </c>
      <c r="N315" s="717"/>
      <c r="O315" s="24">
        <f t="shared" si="54"/>
        <v>1</v>
      </c>
      <c r="P315" s="717"/>
      <c r="Q315" s="24">
        <f t="shared" si="55"/>
        <v>1</v>
      </c>
      <c r="R315" s="713">
        <f t="shared" si="56"/>
        <v>0</v>
      </c>
      <c r="S315" s="358">
        <f t="shared" si="57"/>
        <v>0</v>
      </c>
    </row>
    <row r="316" spans="1:19">
      <c r="A316" s="156"/>
      <c r="B316" s="59"/>
      <c r="C316" s="24">
        <f t="shared" si="48"/>
        <v>1</v>
      </c>
      <c r="D316" s="717"/>
      <c r="E316" s="24">
        <f t="shared" si="49"/>
        <v>1</v>
      </c>
      <c r="F316" s="717"/>
      <c r="G316" s="24">
        <f t="shared" si="50"/>
        <v>1</v>
      </c>
      <c r="H316" s="717"/>
      <c r="I316" s="24">
        <f t="shared" si="51"/>
        <v>1</v>
      </c>
      <c r="J316" s="717"/>
      <c r="K316" s="24">
        <f t="shared" si="52"/>
        <v>1</v>
      </c>
      <c r="L316" s="717"/>
      <c r="M316" s="24">
        <f t="shared" si="53"/>
        <v>1</v>
      </c>
      <c r="N316" s="717"/>
      <c r="O316" s="24">
        <f t="shared" si="54"/>
        <v>1</v>
      </c>
      <c r="P316" s="717"/>
      <c r="Q316" s="24">
        <f t="shared" si="55"/>
        <v>1</v>
      </c>
      <c r="R316" s="713">
        <f t="shared" si="56"/>
        <v>0</v>
      </c>
      <c r="S316" s="358">
        <f t="shared" si="57"/>
        <v>0</v>
      </c>
    </row>
    <row r="317" spans="1:19">
      <c r="A317" s="156"/>
      <c r="B317" s="59"/>
      <c r="C317" s="24">
        <f t="shared" si="48"/>
        <v>1</v>
      </c>
      <c r="D317" s="717"/>
      <c r="E317" s="24">
        <f t="shared" si="49"/>
        <v>1</v>
      </c>
      <c r="F317" s="717"/>
      <c r="G317" s="24">
        <f t="shared" si="50"/>
        <v>1</v>
      </c>
      <c r="H317" s="717"/>
      <c r="I317" s="24">
        <f t="shared" si="51"/>
        <v>1</v>
      </c>
      <c r="J317" s="717"/>
      <c r="K317" s="24">
        <f t="shared" si="52"/>
        <v>1</v>
      </c>
      <c r="L317" s="717"/>
      <c r="M317" s="24">
        <f t="shared" si="53"/>
        <v>1</v>
      </c>
      <c r="N317" s="717"/>
      <c r="O317" s="24">
        <f t="shared" si="54"/>
        <v>1</v>
      </c>
      <c r="P317" s="717"/>
      <c r="Q317" s="24">
        <f t="shared" si="55"/>
        <v>1</v>
      </c>
      <c r="R317" s="713">
        <f t="shared" si="56"/>
        <v>0</v>
      </c>
      <c r="S317" s="358">
        <f t="shared" si="57"/>
        <v>0</v>
      </c>
    </row>
    <row r="318" spans="1:19">
      <c r="A318" s="156"/>
      <c r="B318" s="59"/>
      <c r="C318" s="24">
        <f t="shared" si="48"/>
        <v>1</v>
      </c>
      <c r="D318" s="717"/>
      <c r="E318" s="24">
        <f t="shared" si="49"/>
        <v>1</v>
      </c>
      <c r="F318" s="717"/>
      <c r="G318" s="24">
        <f t="shared" si="50"/>
        <v>1</v>
      </c>
      <c r="H318" s="717"/>
      <c r="I318" s="24">
        <f t="shared" si="51"/>
        <v>1</v>
      </c>
      <c r="J318" s="717"/>
      <c r="K318" s="24">
        <f t="shared" si="52"/>
        <v>1</v>
      </c>
      <c r="L318" s="717"/>
      <c r="M318" s="24">
        <f t="shared" si="53"/>
        <v>1</v>
      </c>
      <c r="N318" s="717"/>
      <c r="O318" s="24">
        <f t="shared" si="54"/>
        <v>1</v>
      </c>
      <c r="P318" s="717"/>
      <c r="Q318" s="24">
        <f t="shared" si="55"/>
        <v>1</v>
      </c>
      <c r="R318" s="713">
        <f t="shared" si="56"/>
        <v>0</v>
      </c>
      <c r="S318" s="358">
        <f t="shared" si="57"/>
        <v>0</v>
      </c>
    </row>
    <row r="319" spans="1:19">
      <c r="A319" s="156"/>
      <c r="B319" s="59"/>
      <c r="C319" s="24">
        <f t="shared" si="48"/>
        <v>1</v>
      </c>
      <c r="D319" s="717"/>
      <c r="E319" s="24">
        <f t="shared" si="49"/>
        <v>1</v>
      </c>
      <c r="F319" s="717"/>
      <c r="G319" s="24">
        <f t="shared" si="50"/>
        <v>1</v>
      </c>
      <c r="H319" s="717"/>
      <c r="I319" s="24">
        <f t="shared" si="51"/>
        <v>1</v>
      </c>
      <c r="J319" s="717"/>
      <c r="K319" s="24">
        <f t="shared" si="52"/>
        <v>1</v>
      </c>
      <c r="L319" s="717"/>
      <c r="M319" s="24">
        <f t="shared" si="53"/>
        <v>1</v>
      </c>
      <c r="N319" s="717"/>
      <c r="O319" s="24">
        <f t="shared" si="54"/>
        <v>1</v>
      </c>
      <c r="P319" s="717"/>
      <c r="Q319" s="24">
        <f t="shared" si="55"/>
        <v>1</v>
      </c>
      <c r="R319" s="713">
        <f t="shared" si="56"/>
        <v>0</v>
      </c>
      <c r="S319" s="358">
        <f t="shared" si="57"/>
        <v>0</v>
      </c>
    </row>
    <row r="320" spans="1:19">
      <c r="A320" s="156"/>
      <c r="B320" s="59"/>
      <c r="C320" s="24">
        <f t="shared" si="48"/>
        <v>1</v>
      </c>
      <c r="D320" s="717"/>
      <c r="E320" s="24">
        <f t="shared" si="49"/>
        <v>1</v>
      </c>
      <c r="F320" s="717"/>
      <c r="G320" s="24">
        <f t="shared" si="50"/>
        <v>1</v>
      </c>
      <c r="H320" s="717"/>
      <c r="I320" s="24">
        <f t="shared" si="51"/>
        <v>1</v>
      </c>
      <c r="J320" s="717"/>
      <c r="K320" s="24">
        <f t="shared" si="52"/>
        <v>1</v>
      </c>
      <c r="L320" s="717"/>
      <c r="M320" s="24">
        <f t="shared" si="53"/>
        <v>1</v>
      </c>
      <c r="N320" s="717"/>
      <c r="O320" s="24">
        <f t="shared" si="54"/>
        <v>1</v>
      </c>
      <c r="P320" s="717"/>
      <c r="Q320" s="24">
        <f t="shared" si="55"/>
        <v>1</v>
      </c>
      <c r="R320" s="713">
        <f t="shared" si="56"/>
        <v>0</v>
      </c>
      <c r="S320" s="358">
        <f t="shared" si="57"/>
        <v>0</v>
      </c>
    </row>
    <row r="321" spans="1:19">
      <c r="A321" s="156"/>
      <c r="B321" s="59"/>
      <c r="C321" s="24">
        <f t="shared" si="48"/>
        <v>1</v>
      </c>
      <c r="D321" s="717"/>
      <c r="E321" s="24">
        <f t="shared" si="49"/>
        <v>1</v>
      </c>
      <c r="F321" s="717"/>
      <c r="G321" s="24">
        <f t="shared" si="50"/>
        <v>1</v>
      </c>
      <c r="H321" s="717"/>
      <c r="I321" s="24">
        <f t="shared" si="51"/>
        <v>1</v>
      </c>
      <c r="J321" s="717"/>
      <c r="K321" s="24">
        <f t="shared" si="52"/>
        <v>1</v>
      </c>
      <c r="L321" s="717"/>
      <c r="M321" s="24">
        <f t="shared" si="53"/>
        <v>1</v>
      </c>
      <c r="N321" s="717"/>
      <c r="O321" s="24">
        <f t="shared" si="54"/>
        <v>1</v>
      </c>
      <c r="P321" s="717"/>
      <c r="Q321" s="24">
        <f t="shared" si="55"/>
        <v>1</v>
      </c>
      <c r="R321" s="713">
        <f t="shared" si="56"/>
        <v>0</v>
      </c>
      <c r="S321" s="358">
        <f t="shared" ref="S321:S384" si="58">ROUND(R321*B321/10000,0)</f>
        <v>0</v>
      </c>
    </row>
    <row r="322" spans="1:19">
      <c r="A322" s="156"/>
      <c r="B322" s="59"/>
      <c r="C322" s="24">
        <f t="shared" si="48"/>
        <v>1</v>
      </c>
      <c r="D322" s="717"/>
      <c r="E322" s="24">
        <f t="shared" si="49"/>
        <v>1</v>
      </c>
      <c r="F322" s="717"/>
      <c r="G322" s="24">
        <f t="shared" si="50"/>
        <v>1</v>
      </c>
      <c r="H322" s="717"/>
      <c r="I322" s="24">
        <f t="shared" si="51"/>
        <v>1</v>
      </c>
      <c r="J322" s="717"/>
      <c r="K322" s="24">
        <f t="shared" si="52"/>
        <v>1</v>
      </c>
      <c r="L322" s="717"/>
      <c r="M322" s="24">
        <f t="shared" si="53"/>
        <v>1</v>
      </c>
      <c r="N322" s="717"/>
      <c r="O322" s="24">
        <f t="shared" si="54"/>
        <v>1</v>
      </c>
      <c r="P322" s="717"/>
      <c r="Q322" s="24">
        <f t="shared" si="55"/>
        <v>1</v>
      </c>
      <c r="R322" s="713">
        <f t="shared" si="56"/>
        <v>0</v>
      </c>
      <c r="S322" s="358">
        <f t="shared" si="58"/>
        <v>0</v>
      </c>
    </row>
    <row r="323" spans="1:19">
      <c r="A323" s="156"/>
      <c r="B323" s="59"/>
      <c r="C323" s="24">
        <f t="shared" si="48"/>
        <v>1</v>
      </c>
      <c r="D323" s="717"/>
      <c r="E323" s="24">
        <f t="shared" si="49"/>
        <v>1</v>
      </c>
      <c r="F323" s="717"/>
      <c r="G323" s="24">
        <f t="shared" si="50"/>
        <v>1</v>
      </c>
      <c r="H323" s="717"/>
      <c r="I323" s="24">
        <f t="shared" si="51"/>
        <v>1</v>
      </c>
      <c r="J323" s="717"/>
      <c r="K323" s="24">
        <f t="shared" si="52"/>
        <v>1</v>
      </c>
      <c r="L323" s="717"/>
      <c r="M323" s="24">
        <f t="shared" si="53"/>
        <v>1</v>
      </c>
      <c r="N323" s="717"/>
      <c r="O323" s="24">
        <f t="shared" si="54"/>
        <v>1</v>
      </c>
      <c r="P323" s="717"/>
      <c r="Q323" s="24">
        <f t="shared" si="55"/>
        <v>1</v>
      </c>
      <c r="R323" s="713">
        <f t="shared" si="56"/>
        <v>0</v>
      </c>
      <c r="S323" s="358">
        <f t="shared" si="58"/>
        <v>0</v>
      </c>
    </row>
    <row r="324" spans="1:19">
      <c r="A324" s="156"/>
      <c r="B324" s="59"/>
      <c r="C324" s="24">
        <f t="shared" si="48"/>
        <v>1</v>
      </c>
      <c r="D324" s="717"/>
      <c r="E324" s="24">
        <f t="shared" si="49"/>
        <v>1</v>
      </c>
      <c r="F324" s="717"/>
      <c r="G324" s="24">
        <f t="shared" si="50"/>
        <v>1</v>
      </c>
      <c r="H324" s="717"/>
      <c r="I324" s="24">
        <f t="shared" si="51"/>
        <v>1</v>
      </c>
      <c r="J324" s="717"/>
      <c r="K324" s="24">
        <f t="shared" si="52"/>
        <v>1</v>
      </c>
      <c r="L324" s="717"/>
      <c r="M324" s="24">
        <f t="shared" si="53"/>
        <v>1</v>
      </c>
      <c r="N324" s="717"/>
      <c r="O324" s="24">
        <f t="shared" si="54"/>
        <v>1</v>
      </c>
      <c r="P324" s="717"/>
      <c r="Q324" s="24">
        <f t="shared" si="55"/>
        <v>1</v>
      </c>
      <c r="R324" s="713">
        <f t="shared" si="56"/>
        <v>0</v>
      </c>
      <c r="S324" s="358">
        <f t="shared" si="58"/>
        <v>0</v>
      </c>
    </row>
    <row r="325" spans="1:19">
      <c r="A325" s="156"/>
      <c r="B325" s="59"/>
      <c r="C325" s="24">
        <f t="shared" si="48"/>
        <v>1</v>
      </c>
      <c r="D325" s="717"/>
      <c r="E325" s="24">
        <f t="shared" si="49"/>
        <v>1</v>
      </c>
      <c r="F325" s="717"/>
      <c r="G325" s="24">
        <f t="shared" si="50"/>
        <v>1</v>
      </c>
      <c r="H325" s="717"/>
      <c r="I325" s="24">
        <f t="shared" si="51"/>
        <v>1</v>
      </c>
      <c r="J325" s="717"/>
      <c r="K325" s="24">
        <f t="shared" si="52"/>
        <v>1</v>
      </c>
      <c r="L325" s="717"/>
      <c r="M325" s="24">
        <f t="shared" si="53"/>
        <v>1</v>
      </c>
      <c r="N325" s="717"/>
      <c r="O325" s="24">
        <f t="shared" si="54"/>
        <v>1</v>
      </c>
      <c r="P325" s="717"/>
      <c r="Q325" s="24">
        <f t="shared" si="55"/>
        <v>1</v>
      </c>
      <c r="R325" s="713">
        <f t="shared" si="56"/>
        <v>0</v>
      </c>
      <c r="S325" s="358">
        <f t="shared" si="58"/>
        <v>0</v>
      </c>
    </row>
    <row r="326" spans="1:19">
      <c r="A326" s="156"/>
      <c r="B326" s="59"/>
      <c r="C326" s="24">
        <f t="shared" si="48"/>
        <v>1</v>
      </c>
      <c r="D326" s="717"/>
      <c r="E326" s="24">
        <f t="shared" si="49"/>
        <v>1</v>
      </c>
      <c r="F326" s="717"/>
      <c r="G326" s="24">
        <f t="shared" si="50"/>
        <v>1</v>
      </c>
      <c r="H326" s="717"/>
      <c r="I326" s="24">
        <f t="shared" si="51"/>
        <v>1</v>
      </c>
      <c r="J326" s="717"/>
      <c r="K326" s="24">
        <f t="shared" si="52"/>
        <v>1</v>
      </c>
      <c r="L326" s="717"/>
      <c r="M326" s="24">
        <f t="shared" si="53"/>
        <v>1</v>
      </c>
      <c r="N326" s="717"/>
      <c r="O326" s="24">
        <f t="shared" si="54"/>
        <v>1</v>
      </c>
      <c r="P326" s="717"/>
      <c r="Q326" s="24">
        <f t="shared" si="55"/>
        <v>1</v>
      </c>
      <c r="R326" s="713">
        <f t="shared" si="56"/>
        <v>0</v>
      </c>
      <c r="S326" s="358">
        <f t="shared" si="58"/>
        <v>0</v>
      </c>
    </row>
    <row r="327" spans="1:19">
      <c r="A327" s="156"/>
      <c r="B327" s="59"/>
      <c r="C327" s="24">
        <f t="shared" si="48"/>
        <v>1</v>
      </c>
      <c r="D327" s="717"/>
      <c r="E327" s="24">
        <f t="shared" si="49"/>
        <v>1</v>
      </c>
      <c r="F327" s="717"/>
      <c r="G327" s="24">
        <f t="shared" si="50"/>
        <v>1</v>
      </c>
      <c r="H327" s="717"/>
      <c r="I327" s="24">
        <f t="shared" si="51"/>
        <v>1</v>
      </c>
      <c r="J327" s="717"/>
      <c r="K327" s="24">
        <f t="shared" si="52"/>
        <v>1</v>
      </c>
      <c r="L327" s="717"/>
      <c r="M327" s="24">
        <f t="shared" si="53"/>
        <v>1</v>
      </c>
      <c r="N327" s="717"/>
      <c r="O327" s="24">
        <f t="shared" si="54"/>
        <v>1</v>
      </c>
      <c r="P327" s="717"/>
      <c r="Q327" s="24">
        <f t="shared" si="55"/>
        <v>1</v>
      </c>
      <c r="R327" s="713">
        <f t="shared" si="56"/>
        <v>0</v>
      </c>
      <c r="S327" s="358">
        <f t="shared" si="58"/>
        <v>0</v>
      </c>
    </row>
    <row r="328" spans="1:19">
      <c r="A328" s="156"/>
      <c r="B328" s="59"/>
      <c r="C328" s="24">
        <f t="shared" si="48"/>
        <v>1</v>
      </c>
      <c r="D328" s="717"/>
      <c r="E328" s="24">
        <f t="shared" si="49"/>
        <v>1</v>
      </c>
      <c r="F328" s="717"/>
      <c r="G328" s="24">
        <f t="shared" si="50"/>
        <v>1</v>
      </c>
      <c r="H328" s="717"/>
      <c r="I328" s="24">
        <f t="shared" si="51"/>
        <v>1</v>
      </c>
      <c r="J328" s="717"/>
      <c r="K328" s="24">
        <f t="shared" si="52"/>
        <v>1</v>
      </c>
      <c r="L328" s="717"/>
      <c r="M328" s="24">
        <f t="shared" si="53"/>
        <v>1</v>
      </c>
      <c r="N328" s="717"/>
      <c r="O328" s="24">
        <f t="shared" si="54"/>
        <v>1</v>
      </c>
      <c r="P328" s="717"/>
      <c r="Q328" s="24">
        <f t="shared" si="55"/>
        <v>1</v>
      </c>
      <c r="R328" s="713">
        <f t="shared" si="56"/>
        <v>0</v>
      </c>
      <c r="S328" s="358">
        <f t="shared" si="58"/>
        <v>0</v>
      </c>
    </row>
    <row r="329" spans="1:19">
      <c r="A329" s="156"/>
      <c r="B329" s="59"/>
      <c r="C329" s="24">
        <f t="shared" si="48"/>
        <v>1</v>
      </c>
      <c r="D329" s="717"/>
      <c r="E329" s="24">
        <f t="shared" si="49"/>
        <v>1</v>
      </c>
      <c r="F329" s="717"/>
      <c r="G329" s="24">
        <f t="shared" si="50"/>
        <v>1</v>
      </c>
      <c r="H329" s="717"/>
      <c r="I329" s="24">
        <f t="shared" si="51"/>
        <v>1</v>
      </c>
      <c r="J329" s="717"/>
      <c r="K329" s="24">
        <f t="shared" si="52"/>
        <v>1</v>
      </c>
      <c r="L329" s="717"/>
      <c r="M329" s="24">
        <f t="shared" si="53"/>
        <v>1</v>
      </c>
      <c r="N329" s="717"/>
      <c r="O329" s="24">
        <f t="shared" si="54"/>
        <v>1</v>
      </c>
      <c r="P329" s="717"/>
      <c r="Q329" s="24">
        <f t="shared" si="55"/>
        <v>1</v>
      </c>
      <c r="R329" s="713">
        <f t="shared" si="56"/>
        <v>0</v>
      </c>
      <c r="S329" s="358">
        <f t="shared" si="58"/>
        <v>0</v>
      </c>
    </row>
    <row r="330" spans="1:19">
      <c r="A330" s="156"/>
      <c r="B330" s="59"/>
      <c r="C330" s="24">
        <f t="shared" si="48"/>
        <v>1</v>
      </c>
      <c r="D330" s="717"/>
      <c r="E330" s="24">
        <f t="shared" si="49"/>
        <v>1</v>
      </c>
      <c r="F330" s="717"/>
      <c r="G330" s="24">
        <f t="shared" si="50"/>
        <v>1</v>
      </c>
      <c r="H330" s="717"/>
      <c r="I330" s="24">
        <f t="shared" si="51"/>
        <v>1</v>
      </c>
      <c r="J330" s="717"/>
      <c r="K330" s="24">
        <f t="shared" si="52"/>
        <v>1</v>
      </c>
      <c r="L330" s="717"/>
      <c r="M330" s="24">
        <f t="shared" si="53"/>
        <v>1</v>
      </c>
      <c r="N330" s="717"/>
      <c r="O330" s="24">
        <f t="shared" si="54"/>
        <v>1</v>
      </c>
      <c r="P330" s="717"/>
      <c r="Q330" s="24">
        <f t="shared" si="55"/>
        <v>1</v>
      </c>
      <c r="R330" s="713">
        <f t="shared" si="56"/>
        <v>0</v>
      </c>
      <c r="S330" s="358">
        <f t="shared" si="58"/>
        <v>0</v>
      </c>
    </row>
    <row r="331" spans="1:19">
      <c r="A331" s="156"/>
      <c r="B331" s="59"/>
      <c r="C331" s="24">
        <f t="shared" si="48"/>
        <v>1</v>
      </c>
      <c r="D331" s="717"/>
      <c r="E331" s="24">
        <f t="shared" si="49"/>
        <v>1</v>
      </c>
      <c r="F331" s="717"/>
      <c r="G331" s="24">
        <f t="shared" si="50"/>
        <v>1</v>
      </c>
      <c r="H331" s="717"/>
      <c r="I331" s="24">
        <f t="shared" si="51"/>
        <v>1</v>
      </c>
      <c r="J331" s="717"/>
      <c r="K331" s="24">
        <f t="shared" si="52"/>
        <v>1</v>
      </c>
      <c r="L331" s="717"/>
      <c r="M331" s="24">
        <f t="shared" si="53"/>
        <v>1</v>
      </c>
      <c r="N331" s="717"/>
      <c r="O331" s="24">
        <f t="shared" si="54"/>
        <v>1</v>
      </c>
      <c r="P331" s="717"/>
      <c r="Q331" s="24">
        <f t="shared" si="55"/>
        <v>1</v>
      </c>
      <c r="R331" s="713">
        <f t="shared" si="56"/>
        <v>0</v>
      </c>
      <c r="S331" s="358">
        <f t="shared" si="58"/>
        <v>0</v>
      </c>
    </row>
    <row r="332" spans="1:19">
      <c r="A332" s="156"/>
      <c r="B332" s="59"/>
      <c r="C332" s="24">
        <f t="shared" si="48"/>
        <v>1</v>
      </c>
      <c r="D332" s="717"/>
      <c r="E332" s="24">
        <f t="shared" si="49"/>
        <v>1</v>
      </c>
      <c r="F332" s="717"/>
      <c r="G332" s="24">
        <f t="shared" si="50"/>
        <v>1</v>
      </c>
      <c r="H332" s="717"/>
      <c r="I332" s="24">
        <f t="shared" si="51"/>
        <v>1</v>
      </c>
      <c r="J332" s="717"/>
      <c r="K332" s="24">
        <f t="shared" si="52"/>
        <v>1</v>
      </c>
      <c r="L332" s="717"/>
      <c r="M332" s="24">
        <f t="shared" si="53"/>
        <v>1</v>
      </c>
      <c r="N332" s="717"/>
      <c r="O332" s="24">
        <f t="shared" si="54"/>
        <v>1</v>
      </c>
      <c r="P332" s="717"/>
      <c r="Q332" s="24">
        <f t="shared" si="55"/>
        <v>1</v>
      </c>
      <c r="R332" s="713">
        <f t="shared" si="56"/>
        <v>0</v>
      </c>
      <c r="S332" s="358">
        <f t="shared" si="58"/>
        <v>0</v>
      </c>
    </row>
    <row r="333" spans="1:19">
      <c r="A333" s="156"/>
      <c r="B333" s="59"/>
      <c r="C333" s="24">
        <f t="shared" si="48"/>
        <v>1</v>
      </c>
      <c r="D333" s="717"/>
      <c r="E333" s="24">
        <f t="shared" si="49"/>
        <v>1</v>
      </c>
      <c r="F333" s="717"/>
      <c r="G333" s="24">
        <f t="shared" si="50"/>
        <v>1</v>
      </c>
      <c r="H333" s="717"/>
      <c r="I333" s="24">
        <f t="shared" si="51"/>
        <v>1</v>
      </c>
      <c r="J333" s="717"/>
      <c r="K333" s="24">
        <f t="shared" si="52"/>
        <v>1</v>
      </c>
      <c r="L333" s="717"/>
      <c r="M333" s="24">
        <f t="shared" si="53"/>
        <v>1</v>
      </c>
      <c r="N333" s="717"/>
      <c r="O333" s="24">
        <f t="shared" si="54"/>
        <v>1</v>
      </c>
      <c r="P333" s="717"/>
      <c r="Q333" s="24">
        <f t="shared" si="55"/>
        <v>1</v>
      </c>
      <c r="R333" s="713">
        <f t="shared" si="56"/>
        <v>0</v>
      </c>
      <c r="S333" s="358">
        <f t="shared" si="58"/>
        <v>0</v>
      </c>
    </row>
    <row r="334" spans="1:19">
      <c r="A334" s="156"/>
      <c r="B334" s="59"/>
      <c r="C334" s="24">
        <f t="shared" si="48"/>
        <v>1</v>
      </c>
      <c r="D334" s="717"/>
      <c r="E334" s="24">
        <f t="shared" si="49"/>
        <v>1</v>
      </c>
      <c r="F334" s="717"/>
      <c r="G334" s="24">
        <f t="shared" si="50"/>
        <v>1</v>
      </c>
      <c r="H334" s="717"/>
      <c r="I334" s="24">
        <f t="shared" si="51"/>
        <v>1</v>
      </c>
      <c r="J334" s="717"/>
      <c r="K334" s="24">
        <f t="shared" si="52"/>
        <v>1</v>
      </c>
      <c r="L334" s="717"/>
      <c r="M334" s="24">
        <f t="shared" si="53"/>
        <v>1</v>
      </c>
      <c r="N334" s="717"/>
      <c r="O334" s="24">
        <f t="shared" si="54"/>
        <v>1</v>
      </c>
      <c r="P334" s="717"/>
      <c r="Q334" s="24">
        <f t="shared" si="55"/>
        <v>1</v>
      </c>
      <c r="R334" s="713">
        <f t="shared" si="56"/>
        <v>0</v>
      </c>
      <c r="S334" s="358">
        <f t="shared" si="58"/>
        <v>0</v>
      </c>
    </row>
    <row r="335" spans="1:19">
      <c r="A335" s="156"/>
      <c r="B335" s="59"/>
      <c r="C335" s="24">
        <f t="shared" si="48"/>
        <v>1</v>
      </c>
      <c r="D335" s="717"/>
      <c r="E335" s="24">
        <f t="shared" si="49"/>
        <v>1</v>
      </c>
      <c r="F335" s="717"/>
      <c r="G335" s="24">
        <f t="shared" si="50"/>
        <v>1</v>
      </c>
      <c r="H335" s="717"/>
      <c r="I335" s="24">
        <f t="shared" si="51"/>
        <v>1</v>
      </c>
      <c r="J335" s="717"/>
      <c r="K335" s="24">
        <f t="shared" si="52"/>
        <v>1</v>
      </c>
      <c r="L335" s="717"/>
      <c r="M335" s="24">
        <f t="shared" si="53"/>
        <v>1</v>
      </c>
      <c r="N335" s="717"/>
      <c r="O335" s="24">
        <f t="shared" si="54"/>
        <v>1</v>
      </c>
      <c r="P335" s="717"/>
      <c r="Q335" s="24">
        <f t="shared" si="55"/>
        <v>1</v>
      </c>
      <c r="R335" s="713">
        <f t="shared" si="56"/>
        <v>0</v>
      </c>
      <c r="S335" s="358">
        <f t="shared" si="58"/>
        <v>0</v>
      </c>
    </row>
    <row r="336" spans="1:19">
      <c r="A336" s="156"/>
      <c r="B336" s="59"/>
      <c r="C336" s="24">
        <f t="shared" si="48"/>
        <v>1</v>
      </c>
      <c r="D336" s="717"/>
      <c r="E336" s="24">
        <f t="shared" si="49"/>
        <v>1</v>
      </c>
      <c r="F336" s="717"/>
      <c r="G336" s="24">
        <f t="shared" si="50"/>
        <v>1</v>
      </c>
      <c r="H336" s="717"/>
      <c r="I336" s="24">
        <f t="shared" si="51"/>
        <v>1</v>
      </c>
      <c r="J336" s="717"/>
      <c r="K336" s="24">
        <f t="shared" si="52"/>
        <v>1</v>
      </c>
      <c r="L336" s="717"/>
      <c r="M336" s="24">
        <f t="shared" si="53"/>
        <v>1</v>
      </c>
      <c r="N336" s="717"/>
      <c r="O336" s="24">
        <f t="shared" si="54"/>
        <v>1</v>
      </c>
      <c r="P336" s="717"/>
      <c r="Q336" s="24">
        <f t="shared" si="55"/>
        <v>1</v>
      </c>
      <c r="R336" s="713">
        <f t="shared" si="56"/>
        <v>0</v>
      </c>
      <c r="S336" s="358">
        <f t="shared" si="58"/>
        <v>0</v>
      </c>
    </row>
    <row r="337" spans="1:19">
      <c r="A337" s="156"/>
      <c r="B337" s="59"/>
      <c r="C337" s="24">
        <f t="shared" si="48"/>
        <v>1</v>
      </c>
      <c r="D337" s="717"/>
      <c r="E337" s="24">
        <f t="shared" si="49"/>
        <v>1</v>
      </c>
      <c r="F337" s="717"/>
      <c r="G337" s="24">
        <f t="shared" si="50"/>
        <v>1</v>
      </c>
      <c r="H337" s="717"/>
      <c r="I337" s="24">
        <f t="shared" si="51"/>
        <v>1</v>
      </c>
      <c r="J337" s="717"/>
      <c r="K337" s="24">
        <f t="shared" si="52"/>
        <v>1</v>
      </c>
      <c r="L337" s="717"/>
      <c r="M337" s="24">
        <f t="shared" si="53"/>
        <v>1</v>
      </c>
      <c r="N337" s="717"/>
      <c r="O337" s="24">
        <f t="shared" si="54"/>
        <v>1</v>
      </c>
      <c r="P337" s="717"/>
      <c r="Q337" s="24">
        <f t="shared" si="55"/>
        <v>1</v>
      </c>
      <c r="R337" s="713">
        <f t="shared" si="56"/>
        <v>0</v>
      </c>
      <c r="S337" s="358">
        <f t="shared" si="58"/>
        <v>0</v>
      </c>
    </row>
    <row r="338" spans="1:19">
      <c r="A338" s="156"/>
      <c r="B338" s="59"/>
      <c r="C338" s="24">
        <f t="shared" si="48"/>
        <v>1</v>
      </c>
      <c r="D338" s="717"/>
      <c r="E338" s="24">
        <f t="shared" si="49"/>
        <v>1</v>
      </c>
      <c r="F338" s="717"/>
      <c r="G338" s="24">
        <f t="shared" si="50"/>
        <v>1</v>
      </c>
      <c r="H338" s="717"/>
      <c r="I338" s="24">
        <f t="shared" si="51"/>
        <v>1</v>
      </c>
      <c r="J338" s="717"/>
      <c r="K338" s="24">
        <f t="shared" si="52"/>
        <v>1</v>
      </c>
      <c r="L338" s="717"/>
      <c r="M338" s="24">
        <f t="shared" si="53"/>
        <v>1</v>
      </c>
      <c r="N338" s="717"/>
      <c r="O338" s="24">
        <f t="shared" si="54"/>
        <v>1</v>
      </c>
      <c r="P338" s="717"/>
      <c r="Q338" s="24">
        <f t="shared" si="55"/>
        <v>1</v>
      </c>
      <c r="R338" s="713">
        <f t="shared" si="56"/>
        <v>0</v>
      </c>
      <c r="S338" s="358">
        <f t="shared" si="58"/>
        <v>0</v>
      </c>
    </row>
    <row r="339" spans="1:19">
      <c r="A339" s="156"/>
      <c r="B339" s="59"/>
      <c r="C339" s="24">
        <f t="shared" si="48"/>
        <v>1</v>
      </c>
      <c r="D339" s="717"/>
      <c r="E339" s="24">
        <f t="shared" si="49"/>
        <v>1</v>
      </c>
      <c r="F339" s="717"/>
      <c r="G339" s="24">
        <f t="shared" si="50"/>
        <v>1</v>
      </c>
      <c r="H339" s="717"/>
      <c r="I339" s="24">
        <f t="shared" si="51"/>
        <v>1</v>
      </c>
      <c r="J339" s="717"/>
      <c r="K339" s="24">
        <f t="shared" si="52"/>
        <v>1</v>
      </c>
      <c r="L339" s="717"/>
      <c r="M339" s="24">
        <f t="shared" si="53"/>
        <v>1</v>
      </c>
      <c r="N339" s="717"/>
      <c r="O339" s="24">
        <f t="shared" si="54"/>
        <v>1</v>
      </c>
      <c r="P339" s="717"/>
      <c r="Q339" s="24">
        <f t="shared" si="55"/>
        <v>1</v>
      </c>
      <c r="R339" s="713">
        <f t="shared" si="56"/>
        <v>0</v>
      </c>
      <c r="S339" s="358">
        <f t="shared" si="58"/>
        <v>0</v>
      </c>
    </row>
    <row r="340" spans="1:19">
      <c r="A340" s="156"/>
      <c r="B340" s="59"/>
      <c r="C340" s="24">
        <f t="shared" si="48"/>
        <v>1</v>
      </c>
      <c r="D340" s="717"/>
      <c r="E340" s="24">
        <f t="shared" si="49"/>
        <v>1</v>
      </c>
      <c r="F340" s="717"/>
      <c r="G340" s="24">
        <f t="shared" si="50"/>
        <v>1</v>
      </c>
      <c r="H340" s="717"/>
      <c r="I340" s="24">
        <f t="shared" si="51"/>
        <v>1</v>
      </c>
      <c r="J340" s="717"/>
      <c r="K340" s="24">
        <f t="shared" si="52"/>
        <v>1</v>
      </c>
      <c r="L340" s="717"/>
      <c r="M340" s="24">
        <f t="shared" si="53"/>
        <v>1</v>
      </c>
      <c r="N340" s="717"/>
      <c r="O340" s="24">
        <f t="shared" si="54"/>
        <v>1</v>
      </c>
      <c r="P340" s="717"/>
      <c r="Q340" s="24">
        <f t="shared" si="55"/>
        <v>1</v>
      </c>
      <c r="R340" s="713">
        <f t="shared" si="56"/>
        <v>0</v>
      </c>
      <c r="S340" s="358">
        <f t="shared" si="58"/>
        <v>0</v>
      </c>
    </row>
    <row r="341" spans="1:19">
      <c r="A341" s="156"/>
      <c r="B341" s="59"/>
      <c r="C341" s="24">
        <f t="shared" si="48"/>
        <v>1</v>
      </c>
      <c r="D341" s="717"/>
      <c r="E341" s="24">
        <f t="shared" si="49"/>
        <v>1</v>
      </c>
      <c r="F341" s="717"/>
      <c r="G341" s="24">
        <f t="shared" si="50"/>
        <v>1</v>
      </c>
      <c r="H341" s="717"/>
      <c r="I341" s="24">
        <f t="shared" si="51"/>
        <v>1</v>
      </c>
      <c r="J341" s="717"/>
      <c r="K341" s="24">
        <f t="shared" si="52"/>
        <v>1</v>
      </c>
      <c r="L341" s="717"/>
      <c r="M341" s="24">
        <f t="shared" si="53"/>
        <v>1</v>
      </c>
      <c r="N341" s="717"/>
      <c r="O341" s="24">
        <f t="shared" si="54"/>
        <v>1</v>
      </c>
      <c r="P341" s="717"/>
      <c r="Q341" s="24">
        <f t="shared" si="55"/>
        <v>1</v>
      </c>
      <c r="R341" s="713">
        <f t="shared" si="56"/>
        <v>0</v>
      </c>
      <c r="S341" s="358">
        <f t="shared" si="58"/>
        <v>0</v>
      </c>
    </row>
    <row r="342" spans="1:19">
      <c r="A342" s="156"/>
      <c r="B342" s="59"/>
      <c r="C342" s="24">
        <f t="shared" si="48"/>
        <v>1</v>
      </c>
      <c r="D342" s="717"/>
      <c r="E342" s="24">
        <f t="shared" si="49"/>
        <v>1</v>
      </c>
      <c r="F342" s="717"/>
      <c r="G342" s="24">
        <f t="shared" si="50"/>
        <v>1</v>
      </c>
      <c r="H342" s="717"/>
      <c r="I342" s="24">
        <f t="shared" si="51"/>
        <v>1</v>
      </c>
      <c r="J342" s="717"/>
      <c r="K342" s="24">
        <f t="shared" si="52"/>
        <v>1</v>
      </c>
      <c r="L342" s="717"/>
      <c r="M342" s="24">
        <f t="shared" si="53"/>
        <v>1</v>
      </c>
      <c r="N342" s="717"/>
      <c r="O342" s="24">
        <f t="shared" si="54"/>
        <v>1</v>
      </c>
      <c r="P342" s="717"/>
      <c r="Q342" s="24">
        <f t="shared" si="55"/>
        <v>1</v>
      </c>
      <c r="R342" s="713">
        <f t="shared" si="56"/>
        <v>0</v>
      </c>
      <c r="S342" s="358">
        <f t="shared" si="58"/>
        <v>0</v>
      </c>
    </row>
    <row r="343" spans="1:19">
      <c r="A343" s="156"/>
      <c r="B343" s="59"/>
      <c r="C343" s="24">
        <f t="shared" si="48"/>
        <v>1</v>
      </c>
      <c r="D343" s="717"/>
      <c r="E343" s="24">
        <f t="shared" si="49"/>
        <v>1</v>
      </c>
      <c r="F343" s="717"/>
      <c r="G343" s="24">
        <f t="shared" si="50"/>
        <v>1</v>
      </c>
      <c r="H343" s="717"/>
      <c r="I343" s="24">
        <f t="shared" si="51"/>
        <v>1</v>
      </c>
      <c r="J343" s="717"/>
      <c r="K343" s="24">
        <f t="shared" si="52"/>
        <v>1</v>
      </c>
      <c r="L343" s="717"/>
      <c r="M343" s="24">
        <f t="shared" si="53"/>
        <v>1</v>
      </c>
      <c r="N343" s="717"/>
      <c r="O343" s="24">
        <f t="shared" si="54"/>
        <v>1</v>
      </c>
      <c r="P343" s="717"/>
      <c r="Q343" s="24">
        <f t="shared" si="55"/>
        <v>1</v>
      </c>
      <c r="R343" s="713">
        <f t="shared" si="56"/>
        <v>0</v>
      </c>
      <c r="S343" s="358">
        <f t="shared" si="58"/>
        <v>0</v>
      </c>
    </row>
    <row r="344" spans="1:19">
      <c r="A344" s="156"/>
      <c r="B344" s="59"/>
      <c r="C344" s="24">
        <f t="shared" si="48"/>
        <v>1</v>
      </c>
      <c r="D344" s="717"/>
      <c r="E344" s="24">
        <f t="shared" si="49"/>
        <v>1</v>
      </c>
      <c r="F344" s="717"/>
      <c r="G344" s="24">
        <f t="shared" si="50"/>
        <v>1</v>
      </c>
      <c r="H344" s="717"/>
      <c r="I344" s="24">
        <f t="shared" si="51"/>
        <v>1</v>
      </c>
      <c r="J344" s="717"/>
      <c r="K344" s="24">
        <f t="shared" si="52"/>
        <v>1</v>
      </c>
      <c r="L344" s="717"/>
      <c r="M344" s="24">
        <f t="shared" si="53"/>
        <v>1</v>
      </c>
      <c r="N344" s="717"/>
      <c r="O344" s="24">
        <f t="shared" si="54"/>
        <v>1</v>
      </c>
      <c r="P344" s="717"/>
      <c r="Q344" s="24">
        <f t="shared" si="55"/>
        <v>1</v>
      </c>
      <c r="R344" s="713">
        <f t="shared" si="56"/>
        <v>0</v>
      </c>
      <c r="S344" s="358">
        <f t="shared" si="58"/>
        <v>0</v>
      </c>
    </row>
    <row r="345" spans="1:19">
      <c r="A345" s="156"/>
      <c r="B345" s="59"/>
      <c r="C345" s="24">
        <f t="shared" si="48"/>
        <v>1</v>
      </c>
      <c r="D345" s="717"/>
      <c r="E345" s="24">
        <f t="shared" si="49"/>
        <v>1</v>
      </c>
      <c r="F345" s="717"/>
      <c r="G345" s="24">
        <f t="shared" si="50"/>
        <v>1</v>
      </c>
      <c r="H345" s="717"/>
      <c r="I345" s="24">
        <f t="shared" si="51"/>
        <v>1</v>
      </c>
      <c r="J345" s="717"/>
      <c r="K345" s="24">
        <f t="shared" si="52"/>
        <v>1</v>
      </c>
      <c r="L345" s="717"/>
      <c r="M345" s="24">
        <f t="shared" si="53"/>
        <v>1</v>
      </c>
      <c r="N345" s="717"/>
      <c r="O345" s="24">
        <f t="shared" si="54"/>
        <v>1</v>
      </c>
      <c r="P345" s="717"/>
      <c r="Q345" s="24">
        <f t="shared" si="55"/>
        <v>1</v>
      </c>
      <c r="R345" s="713">
        <f t="shared" si="56"/>
        <v>0</v>
      </c>
      <c r="S345" s="358">
        <f t="shared" si="58"/>
        <v>0</v>
      </c>
    </row>
    <row r="346" spans="1:19">
      <c r="A346" s="156"/>
      <c r="B346" s="59"/>
      <c r="C346" s="24">
        <f t="shared" ref="C346:C409" si="59">IF(B346="",1,(LOOKUP(B346,$3:$3,$4:$4)-LOOKUP($B$24,$3:$3,$4:$4)+100)/100)</f>
        <v>1</v>
      </c>
      <c r="D346" s="717"/>
      <c r="E346" s="24">
        <f t="shared" ref="E346:E409" si="60">(SUMIF($5:$5,D346,$6:$6)-SUMIF($5:$5,$D$24,$6:$6)+100)/100</f>
        <v>1</v>
      </c>
      <c r="F346" s="717"/>
      <c r="G346" s="24">
        <f t="shared" ref="G346:G409" si="61">(SUMIF($7:$7,F346,$8:$8)-SUMIF($7:$7,$F$24,$8:$8)+100)/100</f>
        <v>1</v>
      </c>
      <c r="H346" s="717"/>
      <c r="I346" s="24">
        <f t="shared" ref="I346:I409" si="62">(SUMIF($9:$9,H346,$10:$10)-SUMIF($9:$9,$H$24,$10:$10)+100)/100</f>
        <v>1</v>
      </c>
      <c r="J346" s="717"/>
      <c r="K346" s="24">
        <f t="shared" ref="K346:K409" si="63">(SUMIF($11:$11,J346,$12:$12)-SUMIF($11:$11,$J$24,$12:$12)+100)/100</f>
        <v>1</v>
      </c>
      <c r="L346" s="717"/>
      <c r="M346" s="24">
        <f t="shared" ref="M346:M409" si="64">(SUMIF($13:$13,L346,$14:$14)-SUMIF($13:$13,$L$24,$14:$14)+100)/100</f>
        <v>1</v>
      </c>
      <c r="N346" s="717"/>
      <c r="O346" s="24">
        <f t="shared" ref="O346:O409" si="65">(SUMIF($15:$15,N346,$16:$16)-SUMIF($15:$15,$N$24,$16:$16)+100)/100</f>
        <v>1</v>
      </c>
      <c r="P346" s="717"/>
      <c r="Q346" s="24">
        <f t="shared" ref="Q346:Q409" si="66">(SUMIF($17:$17,P346,$18:$18)-SUMIF($17:$17,$P$24,$18:$18)+100)/100</f>
        <v>1</v>
      </c>
      <c r="R346" s="713">
        <f t="shared" ref="R346:R409" si="67">IF(B346="",0,ROUND($R$24*C346*E346*G346*I346*K346*M346*O346*Q346,0))</f>
        <v>0</v>
      </c>
      <c r="S346" s="358">
        <f t="shared" si="58"/>
        <v>0</v>
      </c>
    </row>
    <row r="347" spans="1:19">
      <c r="A347" s="156"/>
      <c r="B347" s="59"/>
      <c r="C347" s="24">
        <f t="shared" si="59"/>
        <v>1</v>
      </c>
      <c r="D347" s="717"/>
      <c r="E347" s="24">
        <f t="shared" si="60"/>
        <v>1</v>
      </c>
      <c r="F347" s="717"/>
      <c r="G347" s="24">
        <f t="shared" si="61"/>
        <v>1</v>
      </c>
      <c r="H347" s="717"/>
      <c r="I347" s="24">
        <f t="shared" si="62"/>
        <v>1</v>
      </c>
      <c r="J347" s="717"/>
      <c r="K347" s="24">
        <f t="shared" si="63"/>
        <v>1</v>
      </c>
      <c r="L347" s="717"/>
      <c r="M347" s="24">
        <f t="shared" si="64"/>
        <v>1</v>
      </c>
      <c r="N347" s="717"/>
      <c r="O347" s="24">
        <f t="shared" si="65"/>
        <v>1</v>
      </c>
      <c r="P347" s="717"/>
      <c r="Q347" s="24">
        <f t="shared" si="66"/>
        <v>1</v>
      </c>
      <c r="R347" s="713">
        <f t="shared" si="67"/>
        <v>0</v>
      </c>
      <c r="S347" s="358">
        <f t="shared" si="58"/>
        <v>0</v>
      </c>
    </row>
    <row r="348" spans="1:19">
      <c r="A348" s="156"/>
      <c r="B348" s="59"/>
      <c r="C348" s="24">
        <f t="shared" si="59"/>
        <v>1</v>
      </c>
      <c r="D348" s="717"/>
      <c r="E348" s="24">
        <f t="shared" si="60"/>
        <v>1</v>
      </c>
      <c r="F348" s="717"/>
      <c r="G348" s="24">
        <f t="shared" si="61"/>
        <v>1</v>
      </c>
      <c r="H348" s="717"/>
      <c r="I348" s="24">
        <f t="shared" si="62"/>
        <v>1</v>
      </c>
      <c r="J348" s="717"/>
      <c r="K348" s="24">
        <f t="shared" si="63"/>
        <v>1</v>
      </c>
      <c r="L348" s="717"/>
      <c r="M348" s="24">
        <f t="shared" si="64"/>
        <v>1</v>
      </c>
      <c r="N348" s="717"/>
      <c r="O348" s="24">
        <f t="shared" si="65"/>
        <v>1</v>
      </c>
      <c r="P348" s="717"/>
      <c r="Q348" s="24">
        <f t="shared" si="66"/>
        <v>1</v>
      </c>
      <c r="R348" s="713">
        <f t="shared" si="67"/>
        <v>0</v>
      </c>
      <c r="S348" s="358">
        <f t="shared" si="58"/>
        <v>0</v>
      </c>
    </row>
    <row r="349" spans="1:19">
      <c r="A349" s="156"/>
      <c r="B349" s="59"/>
      <c r="C349" s="24">
        <f t="shared" si="59"/>
        <v>1</v>
      </c>
      <c r="D349" s="717"/>
      <c r="E349" s="24">
        <f t="shared" si="60"/>
        <v>1</v>
      </c>
      <c r="F349" s="717"/>
      <c r="G349" s="24">
        <f t="shared" si="61"/>
        <v>1</v>
      </c>
      <c r="H349" s="717"/>
      <c r="I349" s="24">
        <f t="shared" si="62"/>
        <v>1</v>
      </c>
      <c r="J349" s="717"/>
      <c r="K349" s="24">
        <f t="shared" si="63"/>
        <v>1</v>
      </c>
      <c r="L349" s="717"/>
      <c r="M349" s="24">
        <f t="shared" si="64"/>
        <v>1</v>
      </c>
      <c r="N349" s="717"/>
      <c r="O349" s="24">
        <f t="shared" si="65"/>
        <v>1</v>
      </c>
      <c r="P349" s="717"/>
      <c r="Q349" s="24">
        <f t="shared" si="66"/>
        <v>1</v>
      </c>
      <c r="R349" s="713">
        <f t="shared" si="67"/>
        <v>0</v>
      </c>
      <c r="S349" s="358">
        <f t="shared" si="58"/>
        <v>0</v>
      </c>
    </row>
    <row r="350" spans="1:19">
      <c r="A350" s="156"/>
      <c r="B350" s="59"/>
      <c r="C350" s="24">
        <f t="shared" si="59"/>
        <v>1</v>
      </c>
      <c r="D350" s="717"/>
      <c r="E350" s="24">
        <f t="shared" si="60"/>
        <v>1</v>
      </c>
      <c r="F350" s="717"/>
      <c r="G350" s="24">
        <f t="shared" si="61"/>
        <v>1</v>
      </c>
      <c r="H350" s="717"/>
      <c r="I350" s="24">
        <f t="shared" si="62"/>
        <v>1</v>
      </c>
      <c r="J350" s="717"/>
      <c r="K350" s="24">
        <f t="shared" si="63"/>
        <v>1</v>
      </c>
      <c r="L350" s="717"/>
      <c r="M350" s="24">
        <f t="shared" si="64"/>
        <v>1</v>
      </c>
      <c r="N350" s="717"/>
      <c r="O350" s="24">
        <f t="shared" si="65"/>
        <v>1</v>
      </c>
      <c r="P350" s="717"/>
      <c r="Q350" s="24">
        <f t="shared" si="66"/>
        <v>1</v>
      </c>
      <c r="R350" s="713">
        <f t="shared" si="67"/>
        <v>0</v>
      </c>
      <c r="S350" s="358">
        <f t="shared" si="58"/>
        <v>0</v>
      </c>
    </row>
    <row r="351" spans="1:19">
      <c r="A351" s="156"/>
      <c r="B351" s="59"/>
      <c r="C351" s="24">
        <f t="shared" si="59"/>
        <v>1</v>
      </c>
      <c r="D351" s="717"/>
      <c r="E351" s="24">
        <f t="shared" si="60"/>
        <v>1</v>
      </c>
      <c r="F351" s="717"/>
      <c r="G351" s="24">
        <f t="shared" si="61"/>
        <v>1</v>
      </c>
      <c r="H351" s="717"/>
      <c r="I351" s="24">
        <f t="shared" si="62"/>
        <v>1</v>
      </c>
      <c r="J351" s="717"/>
      <c r="K351" s="24">
        <f t="shared" si="63"/>
        <v>1</v>
      </c>
      <c r="L351" s="717"/>
      <c r="M351" s="24">
        <f t="shared" si="64"/>
        <v>1</v>
      </c>
      <c r="N351" s="717"/>
      <c r="O351" s="24">
        <f t="shared" si="65"/>
        <v>1</v>
      </c>
      <c r="P351" s="717"/>
      <c r="Q351" s="24">
        <f t="shared" si="66"/>
        <v>1</v>
      </c>
      <c r="R351" s="713">
        <f t="shared" si="67"/>
        <v>0</v>
      </c>
      <c r="S351" s="358">
        <f t="shared" si="58"/>
        <v>0</v>
      </c>
    </row>
    <row r="352" spans="1:19">
      <c r="A352" s="156"/>
      <c r="B352" s="59"/>
      <c r="C352" s="24">
        <f t="shared" si="59"/>
        <v>1</v>
      </c>
      <c r="D352" s="717"/>
      <c r="E352" s="24">
        <f t="shared" si="60"/>
        <v>1</v>
      </c>
      <c r="F352" s="717"/>
      <c r="G352" s="24">
        <f t="shared" si="61"/>
        <v>1</v>
      </c>
      <c r="H352" s="717"/>
      <c r="I352" s="24">
        <f t="shared" si="62"/>
        <v>1</v>
      </c>
      <c r="J352" s="717"/>
      <c r="K352" s="24">
        <f t="shared" si="63"/>
        <v>1</v>
      </c>
      <c r="L352" s="717"/>
      <c r="M352" s="24">
        <f t="shared" si="64"/>
        <v>1</v>
      </c>
      <c r="N352" s="717"/>
      <c r="O352" s="24">
        <f t="shared" si="65"/>
        <v>1</v>
      </c>
      <c r="P352" s="717"/>
      <c r="Q352" s="24">
        <f t="shared" si="66"/>
        <v>1</v>
      </c>
      <c r="R352" s="713">
        <f t="shared" si="67"/>
        <v>0</v>
      </c>
      <c r="S352" s="358">
        <f t="shared" si="58"/>
        <v>0</v>
      </c>
    </row>
    <row r="353" spans="1:19">
      <c r="A353" s="156"/>
      <c r="B353" s="59"/>
      <c r="C353" s="24">
        <f t="shared" si="59"/>
        <v>1</v>
      </c>
      <c r="D353" s="717"/>
      <c r="E353" s="24">
        <f t="shared" si="60"/>
        <v>1</v>
      </c>
      <c r="F353" s="717"/>
      <c r="G353" s="24">
        <f t="shared" si="61"/>
        <v>1</v>
      </c>
      <c r="H353" s="717"/>
      <c r="I353" s="24">
        <f t="shared" si="62"/>
        <v>1</v>
      </c>
      <c r="J353" s="717"/>
      <c r="K353" s="24">
        <f t="shared" si="63"/>
        <v>1</v>
      </c>
      <c r="L353" s="717"/>
      <c r="M353" s="24">
        <f t="shared" si="64"/>
        <v>1</v>
      </c>
      <c r="N353" s="717"/>
      <c r="O353" s="24">
        <f t="shared" si="65"/>
        <v>1</v>
      </c>
      <c r="P353" s="717"/>
      <c r="Q353" s="24">
        <f t="shared" si="66"/>
        <v>1</v>
      </c>
      <c r="R353" s="713">
        <f t="shared" si="67"/>
        <v>0</v>
      </c>
      <c r="S353" s="358">
        <f t="shared" si="58"/>
        <v>0</v>
      </c>
    </row>
    <row r="354" spans="1:19">
      <c r="A354" s="156"/>
      <c r="B354" s="59"/>
      <c r="C354" s="24">
        <f t="shared" si="59"/>
        <v>1</v>
      </c>
      <c r="D354" s="717"/>
      <c r="E354" s="24">
        <f t="shared" si="60"/>
        <v>1</v>
      </c>
      <c r="F354" s="717"/>
      <c r="G354" s="24">
        <f t="shared" si="61"/>
        <v>1</v>
      </c>
      <c r="H354" s="717"/>
      <c r="I354" s="24">
        <f t="shared" si="62"/>
        <v>1</v>
      </c>
      <c r="J354" s="717"/>
      <c r="K354" s="24">
        <f t="shared" si="63"/>
        <v>1</v>
      </c>
      <c r="L354" s="717"/>
      <c r="M354" s="24">
        <f t="shared" si="64"/>
        <v>1</v>
      </c>
      <c r="N354" s="717"/>
      <c r="O354" s="24">
        <f t="shared" si="65"/>
        <v>1</v>
      </c>
      <c r="P354" s="717"/>
      <c r="Q354" s="24">
        <f t="shared" si="66"/>
        <v>1</v>
      </c>
      <c r="R354" s="713">
        <f t="shared" si="67"/>
        <v>0</v>
      </c>
      <c r="S354" s="358">
        <f t="shared" si="58"/>
        <v>0</v>
      </c>
    </row>
    <row r="355" spans="1:19">
      <c r="A355" s="156"/>
      <c r="B355" s="59"/>
      <c r="C355" s="24">
        <f t="shared" si="59"/>
        <v>1</v>
      </c>
      <c r="D355" s="717"/>
      <c r="E355" s="24">
        <f t="shared" si="60"/>
        <v>1</v>
      </c>
      <c r="F355" s="717"/>
      <c r="G355" s="24">
        <f t="shared" si="61"/>
        <v>1</v>
      </c>
      <c r="H355" s="717"/>
      <c r="I355" s="24">
        <f t="shared" si="62"/>
        <v>1</v>
      </c>
      <c r="J355" s="717"/>
      <c r="K355" s="24">
        <f t="shared" si="63"/>
        <v>1</v>
      </c>
      <c r="L355" s="717"/>
      <c r="M355" s="24">
        <f t="shared" si="64"/>
        <v>1</v>
      </c>
      <c r="N355" s="717"/>
      <c r="O355" s="24">
        <f t="shared" si="65"/>
        <v>1</v>
      </c>
      <c r="P355" s="717"/>
      <c r="Q355" s="24">
        <f t="shared" si="66"/>
        <v>1</v>
      </c>
      <c r="R355" s="713">
        <f t="shared" si="67"/>
        <v>0</v>
      </c>
      <c r="S355" s="358">
        <f t="shared" si="58"/>
        <v>0</v>
      </c>
    </row>
    <row r="356" spans="1:19">
      <c r="A356" s="156"/>
      <c r="B356" s="59"/>
      <c r="C356" s="24">
        <f t="shared" si="59"/>
        <v>1</v>
      </c>
      <c r="D356" s="717"/>
      <c r="E356" s="24">
        <f t="shared" si="60"/>
        <v>1</v>
      </c>
      <c r="F356" s="717"/>
      <c r="G356" s="24">
        <f t="shared" si="61"/>
        <v>1</v>
      </c>
      <c r="H356" s="717"/>
      <c r="I356" s="24">
        <f t="shared" si="62"/>
        <v>1</v>
      </c>
      <c r="J356" s="717"/>
      <c r="K356" s="24">
        <f t="shared" si="63"/>
        <v>1</v>
      </c>
      <c r="L356" s="717"/>
      <c r="M356" s="24">
        <f t="shared" si="64"/>
        <v>1</v>
      </c>
      <c r="N356" s="717"/>
      <c r="O356" s="24">
        <f t="shared" si="65"/>
        <v>1</v>
      </c>
      <c r="P356" s="717"/>
      <c r="Q356" s="24">
        <f t="shared" si="66"/>
        <v>1</v>
      </c>
      <c r="R356" s="713">
        <f t="shared" si="67"/>
        <v>0</v>
      </c>
      <c r="S356" s="358">
        <f t="shared" si="58"/>
        <v>0</v>
      </c>
    </row>
    <row r="357" spans="1:19">
      <c r="A357" s="156"/>
      <c r="B357" s="59"/>
      <c r="C357" s="24">
        <f t="shared" si="59"/>
        <v>1</v>
      </c>
      <c r="D357" s="717"/>
      <c r="E357" s="24">
        <f t="shared" si="60"/>
        <v>1</v>
      </c>
      <c r="F357" s="717"/>
      <c r="G357" s="24">
        <f t="shared" si="61"/>
        <v>1</v>
      </c>
      <c r="H357" s="717"/>
      <c r="I357" s="24">
        <f t="shared" si="62"/>
        <v>1</v>
      </c>
      <c r="J357" s="717"/>
      <c r="K357" s="24">
        <f t="shared" si="63"/>
        <v>1</v>
      </c>
      <c r="L357" s="717"/>
      <c r="M357" s="24">
        <f t="shared" si="64"/>
        <v>1</v>
      </c>
      <c r="N357" s="717"/>
      <c r="O357" s="24">
        <f t="shared" si="65"/>
        <v>1</v>
      </c>
      <c r="P357" s="717"/>
      <c r="Q357" s="24">
        <f t="shared" si="66"/>
        <v>1</v>
      </c>
      <c r="R357" s="713">
        <f t="shared" si="67"/>
        <v>0</v>
      </c>
      <c r="S357" s="358">
        <f t="shared" si="58"/>
        <v>0</v>
      </c>
    </row>
    <row r="358" spans="1:19">
      <c r="A358" s="156"/>
      <c r="B358" s="59"/>
      <c r="C358" s="24">
        <f t="shared" si="59"/>
        <v>1</v>
      </c>
      <c r="D358" s="717"/>
      <c r="E358" s="24">
        <f t="shared" si="60"/>
        <v>1</v>
      </c>
      <c r="F358" s="717"/>
      <c r="G358" s="24">
        <f t="shared" si="61"/>
        <v>1</v>
      </c>
      <c r="H358" s="717"/>
      <c r="I358" s="24">
        <f t="shared" si="62"/>
        <v>1</v>
      </c>
      <c r="J358" s="717"/>
      <c r="K358" s="24">
        <f t="shared" si="63"/>
        <v>1</v>
      </c>
      <c r="L358" s="717"/>
      <c r="M358" s="24">
        <f t="shared" si="64"/>
        <v>1</v>
      </c>
      <c r="N358" s="717"/>
      <c r="O358" s="24">
        <f t="shared" si="65"/>
        <v>1</v>
      </c>
      <c r="P358" s="717"/>
      <c r="Q358" s="24">
        <f t="shared" si="66"/>
        <v>1</v>
      </c>
      <c r="R358" s="713">
        <f t="shared" si="67"/>
        <v>0</v>
      </c>
      <c r="S358" s="358">
        <f t="shared" si="58"/>
        <v>0</v>
      </c>
    </row>
    <row r="359" spans="1:19">
      <c r="A359" s="156"/>
      <c r="B359" s="59"/>
      <c r="C359" s="24">
        <f t="shared" si="59"/>
        <v>1</v>
      </c>
      <c r="D359" s="717"/>
      <c r="E359" s="24">
        <f t="shared" si="60"/>
        <v>1</v>
      </c>
      <c r="F359" s="717"/>
      <c r="G359" s="24">
        <f t="shared" si="61"/>
        <v>1</v>
      </c>
      <c r="H359" s="717"/>
      <c r="I359" s="24">
        <f t="shared" si="62"/>
        <v>1</v>
      </c>
      <c r="J359" s="717"/>
      <c r="K359" s="24">
        <f t="shared" si="63"/>
        <v>1</v>
      </c>
      <c r="L359" s="717"/>
      <c r="M359" s="24">
        <f t="shared" si="64"/>
        <v>1</v>
      </c>
      <c r="N359" s="717"/>
      <c r="O359" s="24">
        <f t="shared" si="65"/>
        <v>1</v>
      </c>
      <c r="P359" s="717"/>
      <c r="Q359" s="24">
        <f t="shared" si="66"/>
        <v>1</v>
      </c>
      <c r="R359" s="713">
        <f t="shared" si="67"/>
        <v>0</v>
      </c>
      <c r="S359" s="358">
        <f t="shared" si="58"/>
        <v>0</v>
      </c>
    </row>
    <row r="360" spans="1:19">
      <c r="A360" s="156"/>
      <c r="B360" s="59"/>
      <c r="C360" s="24">
        <f t="shared" si="59"/>
        <v>1</v>
      </c>
      <c r="D360" s="717"/>
      <c r="E360" s="24">
        <f t="shared" si="60"/>
        <v>1</v>
      </c>
      <c r="F360" s="717"/>
      <c r="G360" s="24">
        <f t="shared" si="61"/>
        <v>1</v>
      </c>
      <c r="H360" s="717"/>
      <c r="I360" s="24">
        <f t="shared" si="62"/>
        <v>1</v>
      </c>
      <c r="J360" s="717"/>
      <c r="K360" s="24">
        <f t="shared" si="63"/>
        <v>1</v>
      </c>
      <c r="L360" s="717"/>
      <c r="M360" s="24">
        <f t="shared" si="64"/>
        <v>1</v>
      </c>
      <c r="N360" s="717"/>
      <c r="O360" s="24">
        <f t="shared" si="65"/>
        <v>1</v>
      </c>
      <c r="P360" s="717"/>
      <c r="Q360" s="24">
        <f t="shared" si="66"/>
        <v>1</v>
      </c>
      <c r="R360" s="713">
        <f t="shared" si="67"/>
        <v>0</v>
      </c>
      <c r="S360" s="358">
        <f t="shared" si="58"/>
        <v>0</v>
      </c>
    </row>
    <row r="361" spans="1:19">
      <c r="A361" s="156"/>
      <c r="B361" s="59"/>
      <c r="C361" s="24">
        <f t="shared" si="59"/>
        <v>1</v>
      </c>
      <c r="D361" s="717"/>
      <c r="E361" s="24">
        <f t="shared" si="60"/>
        <v>1</v>
      </c>
      <c r="F361" s="717"/>
      <c r="G361" s="24">
        <f t="shared" si="61"/>
        <v>1</v>
      </c>
      <c r="H361" s="717"/>
      <c r="I361" s="24">
        <f t="shared" si="62"/>
        <v>1</v>
      </c>
      <c r="J361" s="717"/>
      <c r="K361" s="24">
        <f t="shared" si="63"/>
        <v>1</v>
      </c>
      <c r="L361" s="717"/>
      <c r="M361" s="24">
        <f t="shared" si="64"/>
        <v>1</v>
      </c>
      <c r="N361" s="717"/>
      <c r="O361" s="24">
        <f t="shared" si="65"/>
        <v>1</v>
      </c>
      <c r="P361" s="717"/>
      <c r="Q361" s="24">
        <f t="shared" si="66"/>
        <v>1</v>
      </c>
      <c r="R361" s="713">
        <f t="shared" si="67"/>
        <v>0</v>
      </c>
      <c r="S361" s="358">
        <f t="shared" si="58"/>
        <v>0</v>
      </c>
    </row>
    <row r="362" spans="1:19">
      <c r="A362" s="156"/>
      <c r="B362" s="59"/>
      <c r="C362" s="24">
        <f t="shared" si="59"/>
        <v>1</v>
      </c>
      <c r="D362" s="717"/>
      <c r="E362" s="24">
        <f t="shared" si="60"/>
        <v>1</v>
      </c>
      <c r="F362" s="717"/>
      <c r="G362" s="24">
        <f t="shared" si="61"/>
        <v>1</v>
      </c>
      <c r="H362" s="717"/>
      <c r="I362" s="24">
        <f t="shared" si="62"/>
        <v>1</v>
      </c>
      <c r="J362" s="717"/>
      <c r="K362" s="24">
        <f t="shared" si="63"/>
        <v>1</v>
      </c>
      <c r="L362" s="717"/>
      <c r="M362" s="24">
        <f t="shared" si="64"/>
        <v>1</v>
      </c>
      <c r="N362" s="717"/>
      <c r="O362" s="24">
        <f t="shared" si="65"/>
        <v>1</v>
      </c>
      <c r="P362" s="717"/>
      <c r="Q362" s="24">
        <f t="shared" si="66"/>
        <v>1</v>
      </c>
      <c r="R362" s="713">
        <f t="shared" si="67"/>
        <v>0</v>
      </c>
      <c r="S362" s="358">
        <f t="shared" si="58"/>
        <v>0</v>
      </c>
    </row>
    <row r="363" spans="1:19">
      <c r="A363" s="156"/>
      <c r="B363" s="59"/>
      <c r="C363" s="24">
        <f t="shared" si="59"/>
        <v>1</v>
      </c>
      <c r="D363" s="717"/>
      <c r="E363" s="24">
        <f t="shared" si="60"/>
        <v>1</v>
      </c>
      <c r="F363" s="717"/>
      <c r="G363" s="24">
        <f t="shared" si="61"/>
        <v>1</v>
      </c>
      <c r="H363" s="717"/>
      <c r="I363" s="24">
        <f t="shared" si="62"/>
        <v>1</v>
      </c>
      <c r="J363" s="717"/>
      <c r="K363" s="24">
        <f t="shared" si="63"/>
        <v>1</v>
      </c>
      <c r="L363" s="717"/>
      <c r="M363" s="24">
        <f t="shared" si="64"/>
        <v>1</v>
      </c>
      <c r="N363" s="717"/>
      <c r="O363" s="24">
        <f t="shared" si="65"/>
        <v>1</v>
      </c>
      <c r="P363" s="717"/>
      <c r="Q363" s="24">
        <f t="shared" si="66"/>
        <v>1</v>
      </c>
      <c r="R363" s="713">
        <f t="shared" si="67"/>
        <v>0</v>
      </c>
      <c r="S363" s="358">
        <f t="shared" si="58"/>
        <v>0</v>
      </c>
    </row>
    <row r="364" spans="1:19">
      <c r="A364" s="156"/>
      <c r="B364" s="59"/>
      <c r="C364" s="24">
        <f t="shared" si="59"/>
        <v>1</v>
      </c>
      <c r="D364" s="717"/>
      <c r="E364" s="24">
        <f t="shared" si="60"/>
        <v>1</v>
      </c>
      <c r="F364" s="717"/>
      <c r="G364" s="24">
        <f t="shared" si="61"/>
        <v>1</v>
      </c>
      <c r="H364" s="717"/>
      <c r="I364" s="24">
        <f t="shared" si="62"/>
        <v>1</v>
      </c>
      <c r="J364" s="717"/>
      <c r="K364" s="24">
        <f t="shared" si="63"/>
        <v>1</v>
      </c>
      <c r="L364" s="717"/>
      <c r="M364" s="24">
        <f t="shared" si="64"/>
        <v>1</v>
      </c>
      <c r="N364" s="717"/>
      <c r="O364" s="24">
        <f t="shared" si="65"/>
        <v>1</v>
      </c>
      <c r="P364" s="717"/>
      <c r="Q364" s="24">
        <f t="shared" si="66"/>
        <v>1</v>
      </c>
      <c r="R364" s="713">
        <f t="shared" si="67"/>
        <v>0</v>
      </c>
      <c r="S364" s="358">
        <f t="shared" si="58"/>
        <v>0</v>
      </c>
    </row>
    <row r="365" spans="1:19">
      <c r="A365" s="156"/>
      <c r="B365" s="59"/>
      <c r="C365" s="24">
        <f t="shared" si="59"/>
        <v>1</v>
      </c>
      <c r="D365" s="717"/>
      <c r="E365" s="24">
        <f t="shared" si="60"/>
        <v>1</v>
      </c>
      <c r="F365" s="717"/>
      <c r="G365" s="24">
        <f t="shared" si="61"/>
        <v>1</v>
      </c>
      <c r="H365" s="717"/>
      <c r="I365" s="24">
        <f t="shared" si="62"/>
        <v>1</v>
      </c>
      <c r="J365" s="717"/>
      <c r="K365" s="24">
        <f t="shared" si="63"/>
        <v>1</v>
      </c>
      <c r="L365" s="717"/>
      <c r="M365" s="24">
        <f t="shared" si="64"/>
        <v>1</v>
      </c>
      <c r="N365" s="717"/>
      <c r="O365" s="24">
        <f t="shared" si="65"/>
        <v>1</v>
      </c>
      <c r="P365" s="717"/>
      <c r="Q365" s="24">
        <f t="shared" si="66"/>
        <v>1</v>
      </c>
      <c r="R365" s="713">
        <f t="shared" si="67"/>
        <v>0</v>
      </c>
      <c r="S365" s="358">
        <f t="shared" si="58"/>
        <v>0</v>
      </c>
    </row>
    <row r="366" spans="1:19">
      <c r="A366" s="156"/>
      <c r="B366" s="59"/>
      <c r="C366" s="24">
        <f t="shared" si="59"/>
        <v>1</v>
      </c>
      <c r="D366" s="717"/>
      <c r="E366" s="24">
        <f t="shared" si="60"/>
        <v>1</v>
      </c>
      <c r="F366" s="717"/>
      <c r="G366" s="24">
        <f t="shared" si="61"/>
        <v>1</v>
      </c>
      <c r="H366" s="717"/>
      <c r="I366" s="24">
        <f t="shared" si="62"/>
        <v>1</v>
      </c>
      <c r="J366" s="717"/>
      <c r="K366" s="24">
        <f t="shared" si="63"/>
        <v>1</v>
      </c>
      <c r="L366" s="717"/>
      <c r="M366" s="24">
        <f t="shared" si="64"/>
        <v>1</v>
      </c>
      <c r="N366" s="717"/>
      <c r="O366" s="24">
        <f t="shared" si="65"/>
        <v>1</v>
      </c>
      <c r="P366" s="717"/>
      <c r="Q366" s="24">
        <f t="shared" si="66"/>
        <v>1</v>
      </c>
      <c r="R366" s="713">
        <f t="shared" si="67"/>
        <v>0</v>
      </c>
      <c r="S366" s="358">
        <f t="shared" si="58"/>
        <v>0</v>
      </c>
    </row>
    <row r="367" spans="1:19">
      <c r="A367" s="156"/>
      <c r="B367" s="59"/>
      <c r="C367" s="24">
        <f t="shared" si="59"/>
        <v>1</v>
      </c>
      <c r="D367" s="717"/>
      <c r="E367" s="24">
        <f t="shared" si="60"/>
        <v>1</v>
      </c>
      <c r="F367" s="717"/>
      <c r="G367" s="24">
        <f t="shared" si="61"/>
        <v>1</v>
      </c>
      <c r="H367" s="717"/>
      <c r="I367" s="24">
        <f t="shared" si="62"/>
        <v>1</v>
      </c>
      <c r="J367" s="717"/>
      <c r="K367" s="24">
        <f t="shared" si="63"/>
        <v>1</v>
      </c>
      <c r="L367" s="717"/>
      <c r="M367" s="24">
        <f t="shared" si="64"/>
        <v>1</v>
      </c>
      <c r="N367" s="717"/>
      <c r="O367" s="24">
        <f t="shared" si="65"/>
        <v>1</v>
      </c>
      <c r="P367" s="717"/>
      <c r="Q367" s="24">
        <f t="shared" si="66"/>
        <v>1</v>
      </c>
      <c r="R367" s="713">
        <f t="shared" si="67"/>
        <v>0</v>
      </c>
      <c r="S367" s="358">
        <f t="shared" si="58"/>
        <v>0</v>
      </c>
    </row>
    <row r="368" spans="1:19">
      <c r="A368" s="156"/>
      <c r="B368" s="59"/>
      <c r="C368" s="24">
        <f t="shared" si="59"/>
        <v>1</v>
      </c>
      <c r="D368" s="717"/>
      <c r="E368" s="24">
        <f t="shared" si="60"/>
        <v>1</v>
      </c>
      <c r="F368" s="717"/>
      <c r="G368" s="24">
        <f t="shared" si="61"/>
        <v>1</v>
      </c>
      <c r="H368" s="717"/>
      <c r="I368" s="24">
        <f t="shared" si="62"/>
        <v>1</v>
      </c>
      <c r="J368" s="717"/>
      <c r="K368" s="24">
        <f t="shared" si="63"/>
        <v>1</v>
      </c>
      <c r="L368" s="717"/>
      <c r="M368" s="24">
        <f t="shared" si="64"/>
        <v>1</v>
      </c>
      <c r="N368" s="717"/>
      <c r="O368" s="24">
        <f t="shared" si="65"/>
        <v>1</v>
      </c>
      <c r="P368" s="717"/>
      <c r="Q368" s="24">
        <f t="shared" si="66"/>
        <v>1</v>
      </c>
      <c r="R368" s="713">
        <f t="shared" si="67"/>
        <v>0</v>
      </c>
      <c r="S368" s="358">
        <f t="shared" si="58"/>
        <v>0</v>
      </c>
    </row>
    <row r="369" spans="1:19">
      <c r="A369" s="156"/>
      <c r="B369" s="59"/>
      <c r="C369" s="24">
        <f t="shared" si="59"/>
        <v>1</v>
      </c>
      <c r="D369" s="717"/>
      <c r="E369" s="24">
        <f t="shared" si="60"/>
        <v>1</v>
      </c>
      <c r="F369" s="717"/>
      <c r="G369" s="24">
        <f t="shared" si="61"/>
        <v>1</v>
      </c>
      <c r="H369" s="717"/>
      <c r="I369" s="24">
        <f t="shared" si="62"/>
        <v>1</v>
      </c>
      <c r="J369" s="717"/>
      <c r="K369" s="24">
        <f t="shared" si="63"/>
        <v>1</v>
      </c>
      <c r="L369" s="717"/>
      <c r="M369" s="24">
        <f t="shared" si="64"/>
        <v>1</v>
      </c>
      <c r="N369" s="717"/>
      <c r="O369" s="24">
        <f t="shared" si="65"/>
        <v>1</v>
      </c>
      <c r="P369" s="717"/>
      <c r="Q369" s="24">
        <f t="shared" si="66"/>
        <v>1</v>
      </c>
      <c r="R369" s="713">
        <f t="shared" si="67"/>
        <v>0</v>
      </c>
      <c r="S369" s="358">
        <f t="shared" si="58"/>
        <v>0</v>
      </c>
    </row>
    <row r="370" spans="1:19">
      <c r="A370" s="156"/>
      <c r="B370" s="59"/>
      <c r="C370" s="24">
        <f t="shared" si="59"/>
        <v>1</v>
      </c>
      <c r="D370" s="717"/>
      <c r="E370" s="24">
        <f t="shared" si="60"/>
        <v>1</v>
      </c>
      <c r="F370" s="717"/>
      <c r="G370" s="24">
        <f t="shared" si="61"/>
        <v>1</v>
      </c>
      <c r="H370" s="717"/>
      <c r="I370" s="24">
        <f t="shared" si="62"/>
        <v>1</v>
      </c>
      <c r="J370" s="717"/>
      <c r="K370" s="24">
        <f t="shared" si="63"/>
        <v>1</v>
      </c>
      <c r="L370" s="717"/>
      <c r="M370" s="24">
        <f t="shared" si="64"/>
        <v>1</v>
      </c>
      <c r="N370" s="717"/>
      <c r="O370" s="24">
        <f t="shared" si="65"/>
        <v>1</v>
      </c>
      <c r="P370" s="717"/>
      <c r="Q370" s="24">
        <f t="shared" si="66"/>
        <v>1</v>
      </c>
      <c r="R370" s="713">
        <f t="shared" si="67"/>
        <v>0</v>
      </c>
      <c r="S370" s="358">
        <f t="shared" si="58"/>
        <v>0</v>
      </c>
    </row>
    <row r="371" spans="1:19">
      <c r="A371" s="156"/>
      <c r="B371" s="59"/>
      <c r="C371" s="24">
        <f t="shared" si="59"/>
        <v>1</v>
      </c>
      <c r="D371" s="717"/>
      <c r="E371" s="24">
        <f t="shared" si="60"/>
        <v>1</v>
      </c>
      <c r="F371" s="717"/>
      <c r="G371" s="24">
        <f t="shared" si="61"/>
        <v>1</v>
      </c>
      <c r="H371" s="717"/>
      <c r="I371" s="24">
        <f t="shared" si="62"/>
        <v>1</v>
      </c>
      <c r="J371" s="717"/>
      <c r="K371" s="24">
        <f t="shared" si="63"/>
        <v>1</v>
      </c>
      <c r="L371" s="717"/>
      <c r="M371" s="24">
        <f t="shared" si="64"/>
        <v>1</v>
      </c>
      <c r="N371" s="717"/>
      <c r="O371" s="24">
        <f t="shared" si="65"/>
        <v>1</v>
      </c>
      <c r="P371" s="717"/>
      <c r="Q371" s="24">
        <f t="shared" si="66"/>
        <v>1</v>
      </c>
      <c r="R371" s="713">
        <f t="shared" si="67"/>
        <v>0</v>
      </c>
      <c r="S371" s="358">
        <f t="shared" si="58"/>
        <v>0</v>
      </c>
    </row>
    <row r="372" spans="1:19">
      <c r="A372" s="156"/>
      <c r="B372" s="59"/>
      <c r="C372" s="24">
        <f t="shared" si="59"/>
        <v>1</v>
      </c>
      <c r="D372" s="717"/>
      <c r="E372" s="24">
        <f t="shared" si="60"/>
        <v>1</v>
      </c>
      <c r="F372" s="717"/>
      <c r="G372" s="24">
        <f t="shared" si="61"/>
        <v>1</v>
      </c>
      <c r="H372" s="717"/>
      <c r="I372" s="24">
        <f t="shared" si="62"/>
        <v>1</v>
      </c>
      <c r="J372" s="717"/>
      <c r="K372" s="24">
        <f t="shared" si="63"/>
        <v>1</v>
      </c>
      <c r="L372" s="717"/>
      <c r="M372" s="24">
        <f t="shared" si="64"/>
        <v>1</v>
      </c>
      <c r="N372" s="717"/>
      <c r="O372" s="24">
        <f t="shared" si="65"/>
        <v>1</v>
      </c>
      <c r="P372" s="717"/>
      <c r="Q372" s="24">
        <f t="shared" si="66"/>
        <v>1</v>
      </c>
      <c r="R372" s="713">
        <f t="shared" si="67"/>
        <v>0</v>
      </c>
      <c r="S372" s="358">
        <f t="shared" si="58"/>
        <v>0</v>
      </c>
    </row>
    <row r="373" spans="1:19">
      <c r="A373" s="156"/>
      <c r="B373" s="59"/>
      <c r="C373" s="24">
        <f t="shared" si="59"/>
        <v>1</v>
      </c>
      <c r="D373" s="717"/>
      <c r="E373" s="24">
        <f t="shared" si="60"/>
        <v>1</v>
      </c>
      <c r="F373" s="717"/>
      <c r="G373" s="24">
        <f t="shared" si="61"/>
        <v>1</v>
      </c>
      <c r="H373" s="717"/>
      <c r="I373" s="24">
        <f t="shared" si="62"/>
        <v>1</v>
      </c>
      <c r="J373" s="717"/>
      <c r="K373" s="24">
        <f t="shared" si="63"/>
        <v>1</v>
      </c>
      <c r="L373" s="717"/>
      <c r="M373" s="24">
        <f t="shared" si="64"/>
        <v>1</v>
      </c>
      <c r="N373" s="717"/>
      <c r="O373" s="24">
        <f t="shared" si="65"/>
        <v>1</v>
      </c>
      <c r="P373" s="717"/>
      <c r="Q373" s="24">
        <f t="shared" si="66"/>
        <v>1</v>
      </c>
      <c r="R373" s="713">
        <f t="shared" si="67"/>
        <v>0</v>
      </c>
      <c r="S373" s="358">
        <f t="shared" si="58"/>
        <v>0</v>
      </c>
    </row>
    <row r="374" spans="1:19">
      <c r="A374" s="156"/>
      <c r="B374" s="59"/>
      <c r="C374" s="24">
        <f t="shared" si="59"/>
        <v>1</v>
      </c>
      <c r="D374" s="717"/>
      <c r="E374" s="24">
        <f t="shared" si="60"/>
        <v>1</v>
      </c>
      <c r="F374" s="717"/>
      <c r="G374" s="24">
        <f t="shared" si="61"/>
        <v>1</v>
      </c>
      <c r="H374" s="717"/>
      <c r="I374" s="24">
        <f t="shared" si="62"/>
        <v>1</v>
      </c>
      <c r="J374" s="717"/>
      <c r="K374" s="24">
        <f t="shared" si="63"/>
        <v>1</v>
      </c>
      <c r="L374" s="717"/>
      <c r="M374" s="24">
        <f t="shared" si="64"/>
        <v>1</v>
      </c>
      <c r="N374" s="717"/>
      <c r="O374" s="24">
        <f t="shared" si="65"/>
        <v>1</v>
      </c>
      <c r="P374" s="717"/>
      <c r="Q374" s="24">
        <f t="shared" si="66"/>
        <v>1</v>
      </c>
      <c r="R374" s="713">
        <f t="shared" si="67"/>
        <v>0</v>
      </c>
      <c r="S374" s="358">
        <f t="shared" si="58"/>
        <v>0</v>
      </c>
    </row>
    <row r="375" spans="1:19">
      <c r="A375" s="156"/>
      <c r="B375" s="59"/>
      <c r="C375" s="24">
        <f t="shared" si="59"/>
        <v>1</v>
      </c>
      <c r="D375" s="717"/>
      <c r="E375" s="24">
        <f t="shared" si="60"/>
        <v>1</v>
      </c>
      <c r="F375" s="717"/>
      <c r="G375" s="24">
        <f t="shared" si="61"/>
        <v>1</v>
      </c>
      <c r="H375" s="717"/>
      <c r="I375" s="24">
        <f t="shared" si="62"/>
        <v>1</v>
      </c>
      <c r="J375" s="717"/>
      <c r="K375" s="24">
        <f t="shared" si="63"/>
        <v>1</v>
      </c>
      <c r="L375" s="717"/>
      <c r="M375" s="24">
        <f t="shared" si="64"/>
        <v>1</v>
      </c>
      <c r="N375" s="717"/>
      <c r="O375" s="24">
        <f t="shared" si="65"/>
        <v>1</v>
      </c>
      <c r="P375" s="717"/>
      <c r="Q375" s="24">
        <f t="shared" si="66"/>
        <v>1</v>
      </c>
      <c r="R375" s="713">
        <f t="shared" si="67"/>
        <v>0</v>
      </c>
      <c r="S375" s="358">
        <f t="shared" si="58"/>
        <v>0</v>
      </c>
    </row>
    <row r="376" spans="1:19">
      <c r="A376" s="156"/>
      <c r="B376" s="59"/>
      <c r="C376" s="24">
        <f t="shared" si="59"/>
        <v>1</v>
      </c>
      <c r="D376" s="717"/>
      <c r="E376" s="24">
        <f t="shared" si="60"/>
        <v>1</v>
      </c>
      <c r="F376" s="717"/>
      <c r="G376" s="24">
        <f t="shared" si="61"/>
        <v>1</v>
      </c>
      <c r="H376" s="717"/>
      <c r="I376" s="24">
        <f t="shared" si="62"/>
        <v>1</v>
      </c>
      <c r="J376" s="717"/>
      <c r="K376" s="24">
        <f t="shared" si="63"/>
        <v>1</v>
      </c>
      <c r="L376" s="717"/>
      <c r="M376" s="24">
        <f t="shared" si="64"/>
        <v>1</v>
      </c>
      <c r="N376" s="717"/>
      <c r="O376" s="24">
        <f t="shared" si="65"/>
        <v>1</v>
      </c>
      <c r="P376" s="717"/>
      <c r="Q376" s="24">
        <f t="shared" si="66"/>
        <v>1</v>
      </c>
      <c r="R376" s="713">
        <f t="shared" si="67"/>
        <v>0</v>
      </c>
      <c r="S376" s="358">
        <f t="shared" si="58"/>
        <v>0</v>
      </c>
    </row>
    <row r="377" spans="1:19">
      <c r="A377" s="156"/>
      <c r="B377" s="59"/>
      <c r="C377" s="24">
        <f t="shared" si="59"/>
        <v>1</v>
      </c>
      <c r="D377" s="717"/>
      <c r="E377" s="24">
        <f t="shared" si="60"/>
        <v>1</v>
      </c>
      <c r="F377" s="717"/>
      <c r="G377" s="24">
        <f t="shared" si="61"/>
        <v>1</v>
      </c>
      <c r="H377" s="717"/>
      <c r="I377" s="24">
        <f t="shared" si="62"/>
        <v>1</v>
      </c>
      <c r="J377" s="717"/>
      <c r="K377" s="24">
        <f t="shared" si="63"/>
        <v>1</v>
      </c>
      <c r="L377" s="717"/>
      <c r="M377" s="24">
        <f t="shared" si="64"/>
        <v>1</v>
      </c>
      <c r="N377" s="717"/>
      <c r="O377" s="24">
        <f t="shared" si="65"/>
        <v>1</v>
      </c>
      <c r="P377" s="717"/>
      <c r="Q377" s="24">
        <f t="shared" si="66"/>
        <v>1</v>
      </c>
      <c r="R377" s="713">
        <f t="shared" si="67"/>
        <v>0</v>
      </c>
      <c r="S377" s="358">
        <f t="shared" si="58"/>
        <v>0</v>
      </c>
    </row>
    <row r="378" spans="1:19">
      <c r="A378" s="156"/>
      <c r="B378" s="59"/>
      <c r="C378" s="24">
        <f t="shared" si="59"/>
        <v>1</v>
      </c>
      <c r="D378" s="717"/>
      <c r="E378" s="24">
        <f t="shared" si="60"/>
        <v>1</v>
      </c>
      <c r="F378" s="717"/>
      <c r="G378" s="24">
        <f t="shared" si="61"/>
        <v>1</v>
      </c>
      <c r="H378" s="717"/>
      <c r="I378" s="24">
        <f t="shared" si="62"/>
        <v>1</v>
      </c>
      <c r="J378" s="717"/>
      <c r="K378" s="24">
        <f t="shared" si="63"/>
        <v>1</v>
      </c>
      <c r="L378" s="717"/>
      <c r="M378" s="24">
        <f t="shared" si="64"/>
        <v>1</v>
      </c>
      <c r="N378" s="717"/>
      <c r="O378" s="24">
        <f t="shared" si="65"/>
        <v>1</v>
      </c>
      <c r="P378" s="717"/>
      <c r="Q378" s="24">
        <f t="shared" si="66"/>
        <v>1</v>
      </c>
      <c r="R378" s="713">
        <f t="shared" si="67"/>
        <v>0</v>
      </c>
      <c r="S378" s="358">
        <f t="shared" si="58"/>
        <v>0</v>
      </c>
    </row>
    <row r="379" spans="1:19">
      <c r="A379" s="156"/>
      <c r="B379" s="59"/>
      <c r="C379" s="24">
        <f t="shared" si="59"/>
        <v>1</v>
      </c>
      <c r="D379" s="717"/>
      <c r="E379" s="24">
        <f t="shared" si="60"/>
        <v>1</v>
      </c>
      <c r="F379" s="717"/>
      <c r="G379" s="24">
        <f t="shared" si="61"/>
        <v>1</v>
      </c>
      <c r="H379" s="717"/>
      <c r="I379" s="24">
        <f t="shared" si="62"/>
        <v>1</v>
      </c>
      <c r="J379" s="717"/>
      <c r="K379" s="24">
        <f t="shared" si="63"/>
        <v>1</v>
      </c>
      <c r="L379" s="717"/>
      <c r="M379" s="24">
        <f t="shared" si="64"/>
        <v>1</v>
      </c>
      <c r="N379" s="717"/>
      <c r="O379" s="24">
        <f t="shared" si="65"/>
        <v>1</v>
      </c>
      <c r="P379" s="717"/>
      <c r="Q379" s="24">
        <f t="shared" si="66"/>
        <v>1</v>
      </c>
      <c r="R379" s="713">
        <f t="shared" si="67"/>
        <v>0</v>
      </c>
      <c r="S379" s="358">
        <f t="shared" si="58"/>
        <v>0</v>
      </c>
    </row>
    <row r="380" spans="1:19">
      <c r="A380" s="156"/>
      <c r="B380" s="59"/>
      <c r="C380" s="24">
        <f t="shared" si="59"/>
        <v>1</v>
      </c>
      <c r="D380" s="717"/>
      <c r="E380" s="24">
        <f t="shared" si="60"/>
        <v>1</v>
      </c>
      <c r="F380" s="717"/>
      <c r="G380" s="24">
        <f t="shared" si="61"/>
        <v>1</v>
      </c>
      <c r="H380" s="717"/>
      <c r="I380" s="24">
        <f t="shared" si="62"/>
        <v>1</v>
      </c>
      <c r="J380" s="717"/>
      <c r="K380" s="24">
        <f t="shared" si="63"/>
        <v>1</v>
      </c>
      <c r="L380" s="717"/>
      <c r="M380" s="24">
        <f t="shared" si="64"/>
        <v>1</v>
      </c>
      <c r="N380" s="717"/>
      <c r="O380" s="24">
        <f t="shared" si="65"/>
        <v>1</v>
      </c>
      <c r="P380" s="717"/>
      <c r="Q380" s="24">
        <f t="shared" si="66"/>
        <v>1</v>
      </c>
      <c r="R380" s="713">
        <f t="shared" si="67"/>
        <v>0</v>
      </c>
      <c r="S380" s="358">
        <f t="shared" si="58"/>
        <v>0</v>
      </c>
    </row>
    <row r="381" spans="1:19">
      <c r="A381" s="156"/>
      <c r="B381" s="59"/>
      <c r="C381" s="24">
        <f t="shared" si="59"/>
        <v>1</v>
      </c>
      <c r="D381" s="717"/>
      <c r="E381" s="24">
        <f t="shared" si="60"/>
        <v>1</v>
      </c>
      <c r="F381" s="717"/>
      <c r="G381" s="24">
        <f t="shared" si="61"/>
        <v>1</v>
      </c>
      <c r="H381" s="717"/>
      <c r="I381" s="24">
        <f t="shared" si="62"/>
        <v>1</v>
      </c>
      <c r="J381" s="717"/>
      <c r="K381" s="24">
        <f t="shared" si="63"/>
        <v>1</v>
      </c>
      <c r="L381" s="717"/>
      <c r="M381" s="24">
        <f t="shared" si="64"/>
        <v>1</v>
      </c>
      <c r="N381" s="717"/>
      <c r="O381" s="24">
        <f t="shared" si="65"/>
        <v>1</v>
      </c>
      <c r="P381" s="717"/>
      <c r="Q381" s="24">
        <f t="shared" si="66"/>
        <v>1</v>
      </c>
      <c r="R381" s="713">
        <f t="shared" si="67"/>
        <v>0</v>
      </c>
      <c r="S381" s="358">
        <f t="shared" si="58"/>
        <v>0</v>
      </c>
    </row>
    <row r="382" spans="1:19">
      <c r="A382" s="156"/>
      <c r="B382" s="59"/>
      <c r="C382" s="24">
        <f t="shared" si="59"/>
        <v>1</v>
      </c>
      <c r="D382" s="717"/>
      <c r="E382" s="24">
        <f t="shared" si="60"/>
        <v>1</v>
      </c>
      <c r="F382" s="717"/>
      <c r="G382" s="24">
        <f t="shared" si="61"/>
        <v>1</v>
      </c>
      <c r="H382" s="717"/>
      <c r="I382" s="24">
        <f t="shared" si="62"/>
        <v>1</v>
      </c>
      <c r="J382" s="717"/>
      <c r="K382" s="24">
        <f t="shared" si="63"/>
        <v>1</v>
      </c>
      <c r="L382" s="717"/>
      <c r="M382" s="24">
        <f t="shared" si="64"/>
        <v>1</v>
      </c>
      <c r="N382" s="717"/>
      <c r="O382" s="24">
        <f t="shared" si="65"/>
        <v>1</v>
      </c>
      <c r="P382" s="717"/>
      <c r="Q382" s="24">
        <f t="shared" si="66"/>
        <v>1</v>
      </c>
      <c r="R382" s="713">
        <f t="shared" si="67"/>
        <v>0</v>
      </c>
      <c r="S382" s="358">
        <f t="shared" si="58"/>
        <v>0</v>
      </c>
    </row>
    <row r="383" spans="1:19">
      <c r="A383" s="156"/>
      <c r="B383" s="59"/>
      <c r="C383" s="24">
        <f t="shared" si="59"/>
        <v>1</v>
      </c>
      <c r="D383" s="717"/>
      <c r="E383" s="24">
        <f t="shared" si="60"/>
        <v>1</v>
      </c>
      <c r="F383" s="717"/>
      <c r="G383" s="24">
        <f t="shared" si="61"/>
        <v>1</v>
      </c>
      <c r="H383" s="717"/>
      <c r="I383" s="24">
        <f t="shared" si="62"/>
        <v>1</v>
      </c>
      <c r="J383" s="717"/>
      <c r="K383" s="24">
        <f t="shared" si="63"/>
        <v>1</v>
      </c>
      <c r="L383" s="717"/>
      <c r="M383" s="24">
        <f t="shared" si="64"/>
        <v>1</v>
      </c>
      <c r="N383" s="717"/>
      <c r="O383" s="24">
        <f t="shared" si="65"/>
        <v>1</v>
      </c>
      <c r="P383" s="717"/>
      <c r="Q383" s="24">
        <f t="shared" si="66"/>
        <v>1</v>
      </c>
      <c r="R383" s="713">
        <f t="shared" si="67"/>
        <v>0</v>
      </c>
      <c r="S383" s="358">
        <f t="shared" si="58"/>
        <v>0</v>
      </c>
    </row>
    <row r="384" spans="1:19">
      <c r="A384" s="156"/>
      <c r="B384" s="59"/>
      <c r="C384" s="24">
        <f t="shared" si="59"/>
        <v>1</v>
      </c>
      <c r="D384" s="717"/>
      <c r="E384" s="24">
        <f t="shared" si="60"/>
        <v>1</v>
      </c>
      <c r="F384" s="717"/>
      <c r="G384" s="24">
        <f t="shared" si="61"/>
        <v>1</v>
      </c>
      <c r="H384" s="717"/>
      <c r="I384" s="24">
        <f t="shared" si="62"/>
        <v>1</v>
      </c>
      <c r="J384" s="717"/>
      <c r="K384" s="24">
        <f t="shared" si="63"/>
        <v>1</v>
      </c>
      <c r="L384" s="717"/>
      <c r="M384" s="24">
        <f t="shared" si="64"/>
        <v>1</v>
      </c>
      <c r="N384" s="717"/>
      <c r="O384" s="24">
        <f t="shared" si="65"/>
        <v>1</v>
      </c>
      <c r="P384" s="717"/>
      <c r="Q384" s="24">
        <f t="shared" si="66"/>
        <v>1</v>
      </c>
      <c r="R384" s="713">
        <f t="shared" si="67"/>
        <v>0</v>
      </c>
      <c r="S384" s="358">
        <f t="shared" si="58"/>
        <v>0</v>
      </c>
    </row>
    <row r="385" spans="1:19">
      <c r="A385" s="156"/>
      <c r="B385" s="59"/>
      <c r="C385" s="24">
        <f t="shared" si="59"/>
        <v>1</v>
      </c>
      <c r="D385" s="717"/>
      <c r="E385" s="24">
        <f t="shared" si="60"/>
        <v>1</v>
      </c>
      <c r="F385" s="717"/>
      <c r="G385" s="24">
        <f t="shared" si="61"/>
        <v>1</v>
      </c>
      <c r="H385" s="717"/>
      <c r="I385" s="24">
        <f t="shared" si="62"/>
        <v>1</v>
      </c>
      <c r="J385" s="717"/>
      <c r="K385" s="24">
        <f t="shared" si="63"/>
        <v>1</v>
      </c>
      <c r="L385" s="717"/>
      <c r="M385" s="24">
        <f t="shared" si="64"/>
        <v>1</v>
      </c>
      <c r="N385" s="717"/>
      <c r="O385" s="24">
        <f t="shared" si="65"/>
        <v>1</v>
      </c>
      <c r="P385" s="717"/>
      <c r="Q385" s="24">
        <f t="shared" si="66"/>
        <v>1</v>
      </c>
      <c r="R385" s="713">
        <f t="shared" si="67"/>
        <v>0</v>
      </c>
      <c r="S385" s="358">
        <f t="shared" ref="S385:S422" si="68">ROUND(R385*B385/10000,0)</f>
        <v>0</v>
      </c>
    </row>
    <row r="386" spans="1:19">
      <c r="A386" s="156"/>
      <c r="B386" s="59"/>
      <c r="C386" s="24">
        <f t="shared" si="59"/>
        <v>1</v>
      </c>
      <c r="D386" s="717"/>
      <c r="E386" s="24">
        <f t="shared" si="60"/>
        <v>1</v>
      </c>
      <c r="F386" s="717"/>
      <c r="G386" s="24">
        <f t="shared" si="61"/>
        <v>1</v>
      </c>
      <c r="H386" s="717"/>
      <c r="I386" s="24">
        <f t="shared" si="62"/>
        <v>1</v>
      </c>
      <c r="J386" s="717"/>
      <c r="K386" s="24">
        <f t="shared" si="63"/>
        <v>1</v>
      </c>
      <c r="L386" s="717"/>
      <c r="M386" s="24">
        <f t="shared" si="64"/>
        <v>1</v>
      </c>
      <c r="N386" s="717"/>
      <c r="O386" s="24">
        <f t="shared" si="65"/>
        <v>1</v>
      </c>
      <c r="P386" s="717"/>
      <c r="Q386" s="24">
        <f t="shared" si="66"/>
        <v>1</v>
      </c>
      <c r="R386" s="713">
        <f t="shared" si="67"/>
        <v>0</v>
      </c>
      <c r="S386" s="358">
        <f t="shared" si="68"/>
        <v>0</v>
      </c>
    </row>
    <row r="387" spans="1:19">
      <c r="A387" s="156"/>
      <c r="B387" s="59"/>
      <c r="C387" s="24">
        <f t="shared" si="59"/>
        <v>1</v>
      </c>
      <c r="D387" s="717"/>
      <c r="E387" s="24">
        <f t="shared" si="60"/>
        <v>1</v>
      </c>
      <c r="F387" s="717"/>
      <c r="G387" s="24">
        <f t="shared" si="61"/>
        <v>1</v>
      </c>
      <c r="H387" s="717"/>
      <c r="I387" s="24">
        <f t="shared" si="62"/>
        <v>1</v>
      </c>
      <c r="J387" s="717"/>
      <c r="K387" s="24">
        <f t="shared" si="63"/>
        <v>1</v>
      </c>
      <c r="L387" s="717"/>
      <c r="M387" s="24">
        <f t="shared" si="64"/>
        <v>1</v>
      </c>
      <c r="N387" s="717"/>
      <c r="O387" s="24">
        <f t="shared" si="65"/>
        <v>1</v>
      </c>
      <c r="P387" s="717"/>
      <c r="Q387" s="24">
        <f t="shared" si="66"/>
        <v>1</v>
      </c>
      <c r="R387" s="713">
        <f t="shared" si="67"/>
        <v>0</v>
      </c>
      <c r="S387" s="358">
        <f t="shared" si="68"/>
        <v>0</v>
      </c>
    </row>
    <row r="388" spans="1:19">
      <c r="A388" s="156"/>
      <c r="B388" s="59"/>
      <c r="C388" s="24">
        <f t="shared" si="59"/>
        <v>1</v>
      </c>
      <c r="D388" s="717"/>
      <c r="E388" s="24">
        <f t="shared" si="60"/>
        <v>1</v>
      </c>
      <c r="F388" s="717"/>
      <c r="G388" s="24">
        <f t="shared" si="61"/>
        <v>1</v>
      </c>
      <c r="H388" s="717"/>
      <c r="I388" s="24">
        <f t="shared" si="62"/>
        <v>1</v>
      </c>
      <c r="J388" s="717"/>
      <c r="K388" s="24">
        <f t="shared" si="63"/>
        <v>1</v>
      </c>
      <c r="L388" s="717"/>
      <c r="M388" s="24">
        <f t="shared" si="64"/>
        <v>1</v>
      </c>
      <c r="N388" s="717"/>
      <c r="O388" s="24">
        <f t="shared" si="65"/>
        <v>1</v>
      </c>
      <c r="P388" s="717"/>
      <c r="Q388" s="24">
        <f t="shared" si="66"/>
        <v>1</v>
      </c>
      <c r="R388" s="713">
        <f t="shared" si="67"/>
        <v>0</v>
      </c>
      <c r="S388" s="358">
        <f t="shared" si="68"/>
        <v>0</v>
      </c>
    </row>
    <row r="389" spans="1:19">
      <c r="A389" s="156"/>
      <c r="B389" s="59"/>
      <c r="C389" s="24">
        <f t="shared" si="59"/>
        <v>1</v>
      </c>
      <c r="D389" s="717"/>
      <c r="E389" s="24">
        <f t="shared" si="60"/>
        <v>1</v>
      </c>
      <c r="F389" s="717"/>
      <c r="G389" s="24">
        <f t="shared" si="61"/>
        <v>1</v>
      </c>
      <c r="H389" s="717"/>
      <c r="I389" s="24">
        <f t="shared" si="62"/>
        <v>1</v>
      </c>
      <c r="J389" s="717"/>
      <c r="K389" s="24">
        <f t="shared" si="63"/>
        <v>1</v>
      </c>
      <c r="L389" s="717"/>
      <c r="M389" s="24">
        <f t="shared" si="64"/>
        <v>1</v>
      </c>
      <c r="N389" s="717"/>
      <c r="O389" s="24">
        <f t="shared" si="65"/>
        <v>1</v>
      </c>
      <c r="P389" s="717"/>
      <c r="Q389" s="24">
        <f t="shared" si="66"/>
        <v>1</v>
      </c>
      <c r="R389" s="713">
        <f t="shared" si="67"/>
        <v>0</v>
      </c>
      <c r="S389" s="358">
        <f t="shared" si="68"/>
        <v>0</v>
      </c>
    </row>
    <row r="390" spans="1:19">
      <c r="A390" s="156"/>
      <c r="B390" s="59"/>
      <c r="C390" s="24">
        <f t="shared" si="59"/>
        <v>1</v>
      </c>
      <c r="D390" s="717"/>
      <c r="E390" s="24">
        <f t="shared" si="60"/>
        <v>1</v>
      </c>
      <c r="F390" s="717"/>
      <c r="G390" s="24">
        <f t="shared" si="61"/>
        <v>1</v>
      </c>
      <c r="H390" s="717"/>
      <c r="I390" s="24">
        <f t="shared" si="62"/>
        <v>1</v>
      </c>
      <c r="J390" s="717"/>
      <c r="K390" s="24">
        <f t="shared" si="63"/>
        <v>1</v>
      </c>
      <c r="L390" s="717"/>
      <c r="M390" s="24">
        <f t="shared" si="64"/>
        <v>1</v>
      </c>
      <c r="N390" s="717"/>
      <c r="O390" s="24">
        <f t="shared" si="65"/>
        <v>1</v>
      </c>
      <c r="P390" s="717"/>
      <c r="Q390" s="24">
        <f t="shared" si="66"/>
        <v>1</v>
      </c>
      <c r="R390" s="713">
        <f t="shared" si="67"/>
        <v>0</v>
      </c>
      <c r="S390" s="358">
        <f t="shared" si="68"/>
        <v>0</v>
      </c>
    </row>
    <row r="391" spans="1:19">
      <c r="A391" s="156"/>
      <c r="B391" s="59"/>
      <c r="C391" s="24">
        <f t="shared" si="59"/>
        <v>1</v>
      </c>
      <c r="D391" s="717"/>
      <c r="E391" s="24">
        <f t="shared" si="60"/>
        <v>1</v>
      </c>
      <c r="F391" s="717"/>
      <c r="G391" s="24">
        <f t="shared" si="61"/>
        <v>1</v>
      </c>
      <c r="H391" s="717"/>
      <c r="I391" s="24">
        <f t="shared" si="62"/>
        <v>1</v>
      </c>
      <c r="J391" s="717"/>
      <c r="K391" s="24">
        <f t="shared" si="63"/>
        <v>1</v>
      </c>
      <c r="L391" s="717"/>
      <c r="M391" s="24">
        <f t="shared" si="64"/>
        <v>1</v>
      </c>
      <c r="N391" s="717"/>
      <c r="O391" s="24">
        <f t="shared" si="65"/>
        <v>1</v>
      </c>
      <c r="P391" s="717"/>
      <c r="Q391" s="24">
        <f t="shared" si="66"/>
        <v>1</v>
      </c>
      <c r="R391" s="713">
        <f t="shared" si="67"/>
        <v>0</v>
      </c>
      <c r="S391" s="358">
        <f t="shared" si="68"/>
        <v>0</v>
      </c>
    </row>
    <row r="392" spans="1:19">
      <c r="A392" s="156"/>
      <c r="B392" s="59"/>
      <c r="C392" s="24">
        <f t="shared" si="59"/>
        <v>1</v>
      </c>
      <c r="D392" s="717"/>
      <c r="E392" s="24">
        <f t="shared" si="60"/>
        <v>1</v>
      </c>
      <c r="F392" s="717"/>
      <c r="G392" s="24">
        <f t="shared" si="61"/>
        <v>1</v>
      </c>
      <c r="H392" s="717"/>
      <c r="I392" s="24">
        <f t="shared" si="62"/>
        <v>1</v>
      </c>
      <c r="J392" s="717"/>
      <c r="K392" s="24">
        <f t="shared" si="63"/>
        <v>1</v>
      </c>
      <c r="L392" s="717"/>
      <c r="M392" s="24">
        <f t="shared" si="64"/>
        <v>1</v>
      </c>
      <c r="N392" s="717"/>
      <c r="O392" s="24">
        <f t="shared" si="65"/>
        <v>1</v>
      </c>
      <c r="P392" s="717"/>
      <c r="Q392" s="24">
        <f t="shared" si="66"/>
        <v>1</v>
      </c>
      <c r="R392" s="713">
        <f t="shared" si="67"/>
        <v>0</v>
      </c>
      <c r="S392" s="358">
        <f t="shared" si="68"/>
        <v>0</v>
      </c>
    </row>
    <row r="393" spans="1:19">
      <c r="A393" s="156"/>
      <c r="B393" s="59"/>
      <c r="C393" s="24">
        <f t="shared" si="59"/>
        <v>1</v>
      </c>
      <c r="D393" s="717"/>
      <c r="E393" s="24">
        <f t="shared" si="60"/>
        <v>1</v>
      </c>
      <c r="F393" s="717"/>
      <c r="G393" s="24">
        <f t="shared" si="61"/>
        <v>1</v>
      </c>
      <c r="H393" s="717"/>
      <c r="I393" s="24">
        <f t="shared" si="62"/>
        <v>1</v>
      </c>
      <c r="J393" s="717"/>
      <c r="K393" s="24">
        <f t="shared" si="63"/>
        <v>1</v>
      </c>
      <c r="L393" s="717"/>
      <c r="M393" s="24">
        <f t="shared" si="64"/>
        <v>1</v>
      </c>
      <c r="N393" s="717"/>
      <c r="O393" s="24">
        <f t="shared" si="65"/>
        <v>1</v>
      </c>
      <c r="P393" s="717"/>
      <c r="Q393" s="24">
        <f t="shared" si="66"/>
        <v>1</v>
      </c>
      <c r="R393" s="713">
        <f t="shared" si="67"/>
        <v>0</v>
      </c>
      <c r="S393" s="358">
        <f t="shared" si="68"/>
        <v>0</v>
      </c>
    </row>
    <row r="394" spans="1:19">
      <c r="A394" s="156"/>
      <c r="B394" s="59"/>
      <c r="C394" s="24">
        <f t="shared" si="59"/>
        <v>1</v>
      </c>
      <c r="D394" s="717"/>
      <c r="E394" s="24">
        <f t="shared" si="60"/>
        <v>1</v>
      </c>
      <c r="F394" s="717"/>
      <c r="G394" s="24">
        <f t="shared" si="61"/>
        <v>1</v>
      </c>
      <c r="H394" s="717"/>
      <c r="I394" s="24">
        <f t="shared" si="62"/>
        <v>1</v>
      </c>
      <c r="J394" s="717"/>
      <c r="K394" s="24">
        <f t="shared" si="63"/>
        <v>1</v>
      </c>
      <c r="L394" s="717"/>
      <c r="M394" s="24">
        <f t="shared" si="64"/>
        <v>1</v>
      </c>
      <c r="N394" s="717"/>
      <c r="O394" s="24">
        <f t="shared" si="65"/>
        <v>1</v>
      </c>
      <c r="P394" s="717"/>
      <c r="Q394" s="24">
        <f t="shared" si="66"/>
        <v>1</v>
      </c>
      <c r="R394" s="713">
        <f t="shared" si="67"/>
        <v>0</v>
      </c>
      <c r="S394" s="358">
        <f t="shared" si="68"/>
        <v>0</v>
      </c>
    </row>
    <row r="395" spans="1:19">
      <c r="A395" s="156"/>
      <c r="B395" s="59"/>
      <c r="C395" s="24">
        <f t="shared" si="59"/>
        <v>1</v>
      </c>
      <c r="D395" s="717"/>
      <c r="E395" s="24">
        <f t="shared" si="60"/>
        <v>1</v>
      </c>
      <c r="F395" s="717"/>
      <c r="G395" s="24">
        <f t="shared" si="61"/>
        <v>1</v>
      </c>
      <c r="H395" s="717"/>
      <c r="I395" s="24">
        <f t="shared" si="62"/>
        <v>1</v>
      </c>
      <c r="J395" s="717"/>
      <c r="K395" s="24">
        <f t="shared" si="63"/>
        <v>1</v>
      </c>
      <c r="L395" s="717"/>
      <c r="M395" s="24">
        <f t="shared" si="64"/>
        <v>1</v>
      </c>
      <c r="N395" s="717"/>
      <c r="O395" s="24">
        <f t="shared" si="65"/>
        <v>1</v>
      </c>
      <c r="P395" s="717"/>
      <c r="Q395" s="24">
        <f t="shared" si="66"/>
        <v>1</v>
      </c>
      <c r="R395" s="713">
        <f t="shared" si="67"/>
        <v>0</v>
      </c>
      <c r="S395" s="358">
        <f t="shared" si="68"/>
        <v>0</v>
      </c>
    </row>
    <row r="396" spans="1:19">
      <c r="A396" s="156"/>
      <c r="B396" s="59"/>
      <c r="C396" s="24">
        <f t="shared" si="59"/>
        <v>1</v>
      </c>
      <c r="D396" s="717"/>
      <c r="E396" s="24">
        <f t="shared" si="60"/>
        <v>1</v>
      </c>
      <c r="F396" s="717"/>
      <c r="G396" s="24">
        <f t="shared" si="61"/>
        <v>1</v>
      </c>
      <c r="H396" s="717"/>
      <c r="I396" s="24">
        <f t="shared" si="62"/>
        <v>1</v>
      </c>
      <c r="J396" s="717"/>
      <c r="K396" s="24">
        <f t="shared" si="63"/>
        <v>1</v>
      </c>
      <c r="L396" s="717"/>
      <c r="M396" s="24">
        <f t="shared" si="64"/>
        <v>1</v>
      </c>
      <c r="N396" s="717"/>
      <c r="O396" s="24">
        <f t="shared" si="65"/>
        <v>1</v>
      </c>
      <c r="P396" s="717"/>
      <c r="Q396" s="24">
        <f t="shared" si="66"/>
        <v>1</v>
      </c>
      <c r="R396" s="713">
        <f t="shared" si="67"/>
        <v>0</v>
      </c>
      <c r="S396" s="358">
        <f t="shared" si="68"/>
        <v>0</v>
      </c>
    </row>
    <row r="397" spans="1:19">
      <c r="A397" s="156"/>
      <c r="B397" s="59"/>
      <c r="C397" s="24">
        <f t="shared" si="59"/>
        <v>1</v>
      </c>
      <c r="D397" s="717"/>
      <c r="E397" s="24">
        <f t="shared" si="60"/>
        <v>1</v>
      </c>
      <c r="F397" s="717"/>
      <c r="G397" s="24">
        <f t="shared" si="61"/>
        <v>1</v>
      </c>
      <c r="H397" s="717"/>
      <c r="I397" s="24">
        <f t="shared" si="62"/>
        <v>1</v>
      </c>
      <c r="J397" s="717"/>
      <c r="K397" s="24">
        <f t="shared" si="63"/>
        <v>1</v>
      </c>
      <c r="L397" s="717"/>
      <c r="M397" s="24">
        <f t="shared" si="64"/>
        <v>1</v>
      </c>
      <c r="N397" s="717"/>
      <c r="O397" s="24">
        <f t="shared" si="65"/>
        <v>1</v>
      </c>
      <c r="P397" s="717"/>
      <c r="Q397" s="24">
        <f t="shared" si="66"/>
        <v>1</v>
      </c>
      <c r="R397" s="713">
        <f t="shared" si="67"/>
        <v>0</v>
      </c>
      <c r="S397" s="358">
        <f t="shared" si="68"/>
        <v>0</v>
      </c>
    </row>
    <row r="398" spans="1:19">
      <c r="A398" s="156"/>
      <c r="B398" s="59"/>
      <c r="C398" s="24">
        <f t="shared" si="59"/>
        <v>1</v>
      </c>
      <c r="D398" s="717"/>
      <c r="E398" s="24">
        <f t="shared" si="60"/>
        <v>1</v>
      </c>
      <c r="F398" s="717"/>
      <c r="G398" s="24">
        <f t="shared" si="61"/>
        <v>1</v>
      </c>
      <c r="H398" s="717"/>
      <c r="I398" s="24">
        <f t="shared" si="62"/>
        <v>1</v>
      </c>
      <c r="J398" s="717"/>
      <c r="K398" s="24">
        <f t="shared" si="63"/>
        <v>1</v>
      </c>
      <c r="L398" s="717"/>
      <c r="M398" s="24">
        <f t="shared" si="64"/>
        <v>1</v>
      </c>
      <c r="N398" s="717"/>
      <c r="O398" s="24">
        <f t="shared" si="65"/>
        <v>1</v>
      </c>
      <c r="P398" s="717"/>
      <c r="Q398" s="24">
        <f t="shared" si="66"/>
        <v>1</v>
      </c>
      <c r="R398" s="713">
        <f t="shared" si="67"/>
        <v>0</v>
      </c>
      <c r="S398" s="358">
        <f t="shared" si="68"/>
        <v>0</v>
      </c>
    </row>
    <row r="399" spans="1:19">
      <c r="A399" s="156"/>
      <c r="B399" s="59"/>
      <c r="C399" s="24">
        <f t="shared" si="59"/>
        <v>1</v>
      </c>
      <c r="D399" s="717"/>
      <c r="E399" s="24">
        <f t="shared" si="60"/>
        <v>1</v>
      </c>
      <c r="F399" s="717"/>
      <c r="G399" s="24">
        <f t="shared" si="61"/>
        <v>1</v>
      </c>
      <c r="H399" s="717"/>
      <c r="I399" s="24">
        <f t="shared" si="62"/>
        <v>1</v>
      </c>
      <c r="J399" s="717"/>
      <c r="K399" s="24">
        <f t="shared" si="63"/>
        <v>1</v>
      </c>
      <c r="L399" s="717"/>
      <c r="M399" s="24">
        <f t="shared" si="64"/>
        <v>1</v>
      </c>
      <c r="N399" s="717"/>
      <c r="O399" s="24">
        <f t="shared" si="65"/>
        <v>1</v>
      </c>
      <c r="P399" s="717"/>
      <c r="Q399" s="24">
        <f t="shared" si="66"/>
        <v>1</v>
      </c>
      <c r="R399" s="713">
        <f t="shared" si="67"/>
        <v>0</v>
      </c>
      <c r="S399" s="358">
        <f t="shared" si="68"/>
        <v>0</v>
      </c>
    </row>
    <row r="400" spans="1:19">
      <c r="A400" s="156"/>
      <c r="B400" s="59"/>
      <c r="C400" s="24">
        <f t="shared" si="59"/>
        <v>1</v>
      </c>
      <c r="D400" s="717"/>
      <c r="E400" s="24">
        <f t="shared" si="60"/>
        <v>1</v>
      </c>
      <c r="F400" s="717"/>
      <c r="G400" s="24">
        <f t="shared" si="61"/>
        <v>1</v>
      </c>
      <c r="H400" s="717"/>
      <c r="I400" s="24">
        <f t="shared" si="62"/>
        <v>1</v>
      </c>
      <c r="J400" s="717"/>
      <c r="K400" s="24">
        <f t="shared" si="63"/>
        <v>1</v>
      </c>
      <c r="L400" s="717"/>
      <c r="M400" s="24">
        <f t="shared" si="64"/>
        <v>1</v>
      </c>
      <c r="N400" s="717"/>
      <c r="O400" s="24">
        <f t="shared" si="65"/>
        <v>1</v>
      </c>
      <c r="P400" s="717"/>
      <c r="Q400" s="24">
        <f t="shared" si="66"/>
        <v>1</v>
      </c>
      <c r="R400" s="713">
        <f t="shared" si="67"/>
        <v>0</v>
      </c>
      <c r="S400" s="358">
        <f t="shared" si="68"/>
        <v>0</v>
      </c>
    </row>
    <row r="401" spans="1:19">
      <c r="A401" s="156"/>
      <c r="B401" s="59"/>
      <c r="C401" s="24">
        <f t="shared" si="59"/>
        <v>1</v>
      </c>
      <c r="D401" s="717"/>
      <c r="E401" s="24">
        <f t="shared" si="60"/>
        <v>1</v>
      </c>
      <c r="F401" s="717"/>
      <c r="G401" s="24">
        <f t="shared" si="61"/>
        <v>1</v>
      </c>
      <c r="H401" s="717"/>
      <c r="I401" s="24">
        <f t="shared" si="62"/>
        <v>1</v>
      </c>
      <c r="J401" s="717"/>
      <c r="K401" s="24">
        <f t="shared" si="63"/>
        <v>1</v>
      </c>
      <c r="L401" s="717"/>
      <c r="M401" s="24">
        <f t="shared" si="64"/>
        <v>1</v>
      </c>
      <c r="N401" s="717"/>
      <c r="O401" s="24">
        <f t="shared" si="65"/>
        <v>1</v>
      </c>
      <c r="P401" s="717"/>
      <c r="Q401" s="24">
        <f t="shared" si="66"/>
        <v>1</v>
      </c>
      <c r="R401" s="713">
        <f t="shared" si="67"/>
        <v>0</v>
      </c>
      <c r="S401" s="358">
        <f t="shared" si="68"/>
        <v>0</v>
      </c>
    </row>
    <row r="402" spans="1:19">
      <c r="A402" s="156"/>
      <c r="B402" s="59"/>
      <c r="C402" s="24">
        <f t="shared" si="59"/>
        <v>1</v>
      </c>
      <c r="D402" s="717"/>
      <c r="E402" s="24">
        <f t="shared" si="60"/>
        <v>1</v>
      </c>
      <c r="F402" s="717"/>
      <c r="G402" s="24">
        <f t="shared" si="61"/>
        <v>1</v>
      </c>
      <c r="H402" s="717"/>
      <c r="I402" s="24">
        <f t="shared" si="62"/>
        <v>1</v>
      </c>
      <c r="J402" s="717"/>
      <c r="K402" s="24">
        <f t="shared" si="63"/>
        <v>1</v>
      </c>
      <c r="L402" s="717"/>
      <c r="M402" s="24">
        <f t="shared" si="64"/>
        <v>1</v>
      </c>
      <c r="N402" s="717"/>
      <c r="O402" s="24">
        <f t="shared" si="65"/>
        <v>1</v>
      </c>
      <c r="P402" s="717"/>
      <c r="Q402" s="24">
        <f t="shared" si="66"/>
        <v>1</v>
      </c>
      <c r="R402" s="713">
        <f t="shared" si="67"/>
        <v>0</v>
      </c>
      <c r="S402" s="358">
        <f t="shared" si="68"/>
        <v>0</v>
      </c>
    </row>
    <row r="403" spans="1:19">
      <c r="A403" s="156"/>
      <c r="B403" s="59"/>
      <c r="C403" s="24">
        <f t="shared" si="59"/>
        <v>1</v>
      </c>
      <c r="D403" s="717"/>
      <c r="E403" s="24">
        <f t="shared" si="60"/>
        <v>1</v>
      </c>
      <c r="F403" s="717"/>
      <c r="G403" s="24">
        <f t="shared" si="61"/>
        <v>1</v>
      </c>
      <c r="H403" s="717"/>
      <c r="I403" s="24">
        <f t="shared" si="62"/>
        <v>1</v>
      </c>
      <c r="J403" s="717"/>
      <c r="K403" s="24">
        <f t="shared" si="63"/>
        <v>1</v>
      </c>
      <c r="L403" s="717"/>
      <c r="M403" s="24">
        <f t="shared" si="64"/>
        <v>1</v>
      </c>
      <c r="N403" s="717"/>
      <c r="O403" s="24">
        <f t="shared" si="65"/>
        <v>1</v>
      </c>
      <c r="P403" s="717"/>
      <c r="Q403" s="24">
        <f t="shared" si="66"/>
        <v>1</v>
      </c>
      <c r="R403" s="713">
        <f t="shared" si="67"/>
        <v>0</v>
      </c>
      <c r="S403" s="358">
        <f t="shared" si="68"/>
        <v>0</v>
      </c>
    </row>
    <row r="404" spans="1:19">
      <c r="A404" s="156"/>
      <c r="B404" s="59"/>
      <c r="C404" s="24">
        <f t="shared" si="59"/>
        <v>1</v>
      </c>
      <c r="D404" s="717"/>
      <c r="E404" s="24">
        <f t="shared" si="60"/>
        <v>1</v>
      </c>
      <c r="F404" s="717"/>
      <c r="G404" s="24">
        <f t="shared" si="61"/>
        <v>1</v>
      </c>
      <c r="H404" s="717"/>
      <c r="I404" s="24">
        <f t="shared" si="62"/>
        <v>1</v>
      </c>
      <c r="J404" s="717"/>
      <c r="K404" s="24">
        <f t="shared" si="63"/>
        <v>1</v>
      </c>
      <c r="L404" s="717"/>
      <c r="M404" s="24">
        <f t="shared" si="64"/>
        <v>1</v>
      </c>
      <c r="N404" s="717"/>
      <c r="O404" s="24">
        <f t="shared" si="65"/>
        <v>1</v>
      </c>
      <c r="P404" s="717"/>
      <c r="Q404" s="24">
        <f t="shared" si="66"/>
        <v>1</v>
      </c>
      <c r="R404" s="713">
        <f t="shared" si="67"/>
        <v>0</v>
      </c>
      <c r="S404" s="358">
        <f t="shared" si="68"/>
        <v>0</v>
      </c>
    </row>
    <row r="405" spans="1:19">
      <c r="A405" s="156"/>
      <c r="B405" s="59"/>
      <c r="C405" s="24">
        <f t="shared" si="59"/>
        <v>1</v>
      </c>
      <c r="D405" s="717"/>
      <c r="E405" s="24">
        <f t="shared" si="60"/>
        <v>1</v>
      </c>
      <c r="F405" s="717"/>
      <c r="G405" s="24">
        <f t="shared" si="61"/>
        <v>1</v>
      </c>
      <c r="H405" s="717"/>
      <c r="I405" s="24">
        <f t="shared" si="62"/>
        <v>1</v>
      </c>
      <c r="J405" s="717"/>
      <c r="K405" s="24">
        <f t="shared" si="63"/>
        <v>1</v>
      </c>
      <c r="L405" s="717"/>
      <c r="M405" s="24">
        <f t="shared" si="64"/>
        <v>1</v>
      </c>
      <c r="N405" s="717"/>
      <c r="O405" s="24">
        <f t="shared" si="65"/>
        <v>1</v>
      </c>
      <c r="P405" s="717"/>
      <c r="Q405" s="24">
        <f t="shared" si="66"/>
        <v>1</v>
      </c>
      <c r="R405" s="713">
        <f t="shared" si="67"/>
        <v>0</v>
      </c>
      <c r="S405" s="358">
        <f t="shared" si="68"/>
        <v>0</v>
      </c>
    </row>
    <row r="406" spans="1:19">
      <c r="A406" s="156"/>
      <c r="B406" s="59"/>
      <c r="C406" s="24">
        <f t="shared" si="59"/>
        <v>1</v>
      </c>
      <c r="D406" s="717"/>
      <c r="E406" s="24">
        <f t="shared" si="60"/>
        <v>1</v>
      </c>
      <c r="F406" s="717"/>
      <c r="G406" s="24">
        <f t="shared" si="61"/>
        <v>1</v>
      </c>
      <c r="H406" s="717"/>
      <c r="I406" s="24">
        <f t="shared" si="62"/>
        <v>1</v>
      </c>
      <c r="J406" s="717"/>
      <c r="K406" s="24">
        <f t="shared" si="63"/>
        <v>1</v>
      </c>
      <c r="L406" s="717"/>
      <c r="M406" s="24">
        <f t="shared" si="64"/>
        <v>1</v>
      </c>
      <c r="N406" s="717"/>
      <c r="O406" s="24">
        <f t="shared" si="65"/>
        <v>1</v>
      </c>
      <c r="P406" s="717"/>
      <c r="Q406" s="24">
        <f t="shared" si="66"/>
        <v>1</v>
      </c>
      <c r="R406" s="713">
        <f t="shared" si="67"/>
        <v>0</v>
      </c>
      <c r="S406" s="358">
        <f t="shared" si="68"/>
        <v>0</v>
      </c>
    </row>
    <row r="407" spans="1:19">
      <c r="A407" s="156"/>
      <c r="B407" s="59"/>
      <c r="C407" s="24">
        <f t="shared" si="59"/>
        <v>1</v>
      </c>
      <c r="D407" s="717"/>
      <c r="E407" s="24">
        <f t="shared" si="60"/>
        <v>1</v>
      </c>
      <c r="F407" s="717"/>
      <c r="G407" s="24">
        <f t="shared" si="61"/>
        <v>1</v>
      </c>
      <c r="H407" s="717"/>
      <c r="I407" s="24">
        <f t="shared" si="62"/>
        <v>1</v>
      </c>
      <c r="J407" s="717"/>
      <c r="K407" s="24">
        <f t="shared" si="63"/>
        <v>1</v>
      </c>
      <c r="L407" s="717"/>
      <c r="M407" s="24">
        <f t="shared" si="64"/>
        <v>1</v>
      </c>
      <c r="N407" s="717"/>
      <c r="O407" s="24">
        <f t="shared" si="65"/>
        <v>1</v>
      </c>
      <c r="P407" s="717"/>
      <c r="Q407" s="24">
        <f t="shared" si="66"/>
        <v>1</v>
      </c>
      <c r="R407" s="713">
        <f t="shared" si="67"/>
        <v>0</v>
      </c>
      <c r="S407" s="358">
        <f t="shared" si="68"/>
        <v>0</v>
      </c>
    </row>
    <row r="408" spans="1:19">
      <c r="A408" s="156"/>
      <c r="B408" s="59"/>
      <c r="C408" s="24">
        <f t="shared" si="59"/>
        <v>1</v>
      </c>
      <c r="D408" s="717"/>
      <c r="E408" s="24">
        <f t="shared" si="60"/>
        <v>1</v>
      </c>
      <c r="F408" s="717"/>
      <c r="G408" s="24">
        <f t="shared" si="61"/>
        <v>1</v>
      </c>
      <c r="H408" s="717"/>
      <c r="I408" s="24">
        <f t="shared" si="62"/>
        <v>1</v>
      </c>
      <c r="J408" s="717"/>
      <c r="K408" s="24">
        <f t="shared" si="63"/>
        <v>1</v>
      </c>
      <c r="L408" s="717"/>
      <c r="M408" s="24">
        <f t="shared" si="64"/>
        <v>1</v>
      </c>
      <c r="N408" s="717"/>
      <c r="O408" s="24">
        <f t="shared" si="65"/>
        <v>1</v>
      </c>
      <c r="P408" s="717"/>
      <c r="Q408" s="24">
        <f t="shared" si="66"/>
        <v>1</v>
      </c>
      <c r="R408" s="713">
        <f t="shared" si="67"/>
        <v>0</v>
      </c>
      <c r="S408" s="358">
        <f t="shared" si="68"/>
        <v>0</v>
      </c>
    </row>
    <row r="409" spans="1:19">
      <c r="A409" s="156"/>
      <c r="B409" s="59"/>
      <c r="C409" s="24">
        <f t="shared" si="59"/>
        <v>1</v>
      </c>
      <c r="D409" s="717"/>
      <c r="E409" s="24">
        <f t="shared" si="60"/>
        <v>1</v>
      </c>
      <c r="F409" s="717"/>
      <c r="G409" s="24">
        <f t="shared" si="61"/>
        <v>1</v>
      </c>
      <c r="H409" s="717"/>
      <c r="I409" s="24">
        <f t="shared" si="62"/>
        <v>1</v>
      </c>
      <c r="J409" s="717"/>
      <c r="K409" s="24">
        <f t="shared" si="63"/>
        <v>1</v>
      </c>
      <c r="L409" s="717"/>
      <c r="M409" s="24">
        <f t="shared" si="64"/>
        <v>1</v>
      </c>
      <c r="N409" s="717"/>
      <c r="O409" s="24">
        <f t="shared" si="65"/>
        <v>1</v>
      </c>
      <c r="P409" s="717"/>
      <c r="Q409" s="24">
        <f t="shared" si="66"/>
        <v>1</v>
      </c>
      <c r="R409" s="713">
        <f t="shared" si="67"/>
        <v>0</v>
      </c>
      <c r="S409" s="358">
        <f t="shared" si="68"/>
        <v>0</v>
      </c>
    </row>
    <row r="410" spans="1:19">
      <c r="A410" s="156"/>
      <c r="B410" s="59"/>
      <c r="C410" s="24">
        <f t="shared" ref="C410:C473" si="69">IF(B410="",1,(LOOKUP(B410,$3:$3,$4:$4)-LOOKUP($B$24,$3:$3,$4:$4)+100)/100)</f>
        <v>1</v>
      </c>
      <c r="D410" s="717"/>
      <c r="E410" s="24">
        <f t="shared" ref="E410:E473" si="70">(SUMIF($5:$5,D410,$6:$6)-SUMIF($5:$5,$D$24,$6:$6)+100)/100</f>
        <v>1</v>
      </c>
      <c r="F410" s="717"/>
      <c r="G410" s="24">
        <f t="shared" ref="G410:G473" si="71">(SUMIF($7:$7,F410,$8:$8)-SUMIF($7:$7,$F$24,$8:$8)+100)/100</f>
        <v>1</v>
      </c>
      <c r="H410" s="717"/>
      <c r="I410" s="24">
        <f t="shared" ref="I410:I473" si="72">(SUMIF($9:$9,H410,$10:$10)-SUMIF($9:$9,$H$24,$10:$10)+100)/100</f>
        <v>1</v>
      </c>
      <c r="J410" s="717"/>
      <c r="K410" s="24">
        <f t="shared" ref="K410:K473" si="73">(SUMIF($11:$11,J410,$12:$12)-SUMIF($11:$11,$J$24,$12:$12)+100)/100</f>
        <v>1</v>
      </c>
      <c r="L410" s="717"/>
      <c r="M410" s="24">
        <f t="shared" ref="M410:M473" si="74">(SUMIF($13:$13,L410,$14:$14)-SUMIF($13:$13,$L$24,$14:$14)+100)/100</f>
        <v>1</v>
      </c>
      <c r="N410" s="717"/>
      <c r="O410" s="24">
        <f t="shared" ref="O410:O473" si="75">(SUMIF($15:$15,N410,$16:$16)-SUMIF($15:$15,$N$24,$16:$16)+100)/100</f>
        <v>1</v>
      </c>
      <c r="P410" s="717"/>
      <c r="Q410" s="24">
        <f t="shared" ref="Q410:Q473" si="76">(SUMIF($17:$17,P410,$18:$18)-SUMIF($17:$17,$P$24,$18:$18)+100)/100</f>
        <v>1</v>
      </c>
      <c r="R410" s="713">
        <f t="shared" ref="R410:R473" si="77">IF(B410="",0,ROUND($R$24*C410*E410*G410*I410*K410*M410*O410*Q410,0))</f>
        <v>0</v>
      </c>
      <c r="S410" s="358">
        <f t="shared" si="68"/>
        <v>0</v>
      </c>
    </row>
    <row r="411" spans="1:19">
      <c r="A411" s="156"/>
      <c r="B411" s="59"/>
      <c r="C411" s="24">
        <f t="shared" si="69"/>
        <v>1</v>
      </c>
      <c r="D411" s="717"/>
      <c r="E411" s="24">
        <f t="shared" si="70"/>
        <v>1</v>
      </c>
      <c r="F411" s="717"/>
      <c r="G411" s="24">
        <f t="shared" si="71"/>
        <v>1</v>
      </c>
      <c r="H411" s="717"/>
      <c r="I411" s="24">
        <f t="shared" si="72"/>
        <v>1</v>
      </c>
      <c r="J411" s="717"/>
      <c r="K411" s="24">
        <f t="shared" si="73"/>
        <v>1</v>
      </c>
      <c r="L411" s="717"/>
      <c r="M411" s="24">
        <f t="shared" si="74"/>
        <v>1</v>
      </c>
      <c r="N411" s="717"/>
      <c r="O411" s="24">
        <f t="shared" si="75"/>
        <v>1</v>
      </c>
      <c r="P411" s="717"/>
      <c r="Q411" s="24">
        <f t="shared" si="76"/>
        <v>1</v>
      </c>
      <c r="R411" s="713">
        <f t="shared" si="77"/>
        <v>0</v>
      </c>
      <c r="S411" s="358">
        <f t="shared" si="68"/>
        <v>0</v>
      </c>
    </row>
    <row r="412" spans="1:19">
      <c r="A412" s="156"/>
      <c r="B412" s="59"/>
      <c r="C412" s="24">
        <f t="shared" si="69"/>
        <v>1</v>
      </c>
      <c r="D412" s="717"/>
      <c r="E412" s="24">
        <f t="shared" si="70"/>
        <v>1</v>
      </c>
      <c r="F412" s="717"/>
      <c r="G412" s="24">
        <f t="shared" si="71"/>
        <v>1</v>
      </c>
      <c r="H412" s="717"/>
      <c r="I412" s="24">
        <f t="shared" si="72"/>
        <v>1</v>
      </c>
      <c r="J412" s="717"/>
      <c r="K412" s="24">
        <f t="shared" si="73"/>
        <v>1</v>
      </c>
      <c r="L412" s="717"/>
      <c r="M412" s="24">
        <f t="shared" si="74"/>
        <v>1</v>
      </c>
      <c r="N412" s="717"/>
      <c r="O412" s="24">
        <f t="shared" si="75"/>
        <v>1</v>
      </c>
      <c r="P412" s="717"/>
      <c r="Q412" s="24">
        <f t="shared" si="76"/>
        <v>1</v>
      </c>
      <c r="R412" s="713">
        <f t="shared" si="77"/>
        <v>0</v>
      </c>
      <c r="S412" s="358">
        <f t="shared" si="68"/>
        <v>0</v>
      </c>
    </row>
    <row r="413" spans="1:19">
      <c r="A413" s="156"/>
      <c r="B413" s="59"/>
      <c r="C413" s="24">
        <f t="shared" si="69"/>
        <v>1</v>
      </c>
      <c r="D413" s="717"/>
      <c r="E413" s="24">
        <f t="shared" si="70"/>
        <v>1</v>
      </c>
      <c r="F413" s="717"/>
      <c r="G413" s="24">
        <f t="shared" si="71"/>
        <v>1</v>
      </c>
      <c r="H413" s="717"/>
      <c r="I413" s="24">
        <f t="shared" si="72"/>
        <v>1</v>
      </c>
      <c r="J413" s="717"/>
      <c r="K413" s="24">
        <f t="shared" si="73"/>
        <v>1</v>
      </c>
      <c r="L413" s="717"/>
      <c r="M413" s="24">
        <f t="shared" si="74"/>
        <v>1</v>
      </c>
      <c r="N413" s="717"/>
      <c r="O413" s="24">
        <f t="shared" si="75"/>
        <v>1</v>
      </c>
      <c r="P413" s="717"/>
      <c r="Q413" s="24">
        <f t="shared" si="76"/>
        <v>1</v>
      </c>
      <c r="R413" s="713">
        <f t="shared" si="77"/>
        <v>0</v>
      </c>
      <c r="S413" s="358">
        <f t="shared" si="68"/>
        <v>0</v>
      </c>
    </row>
    <row r="414" spans="1:19">
      <c r="A414" s="156"/>
      <c r="B414" s="59"/>
      <c r="C414" s="24">
        <f t="shared" si="69"/>
        <v>1</v>
      </c>
      <c r="D414" s="717"/>
      <c r="E414" s="24">
        <f t="shared" si="70"/>
        <v>1</v>
      </c>
      <c r="F414" s="717"/>
      <c r="G414" s="24">
        <f t="shared" si="71"/>
        <v>1</v>
      </c>
      <c r="H414" s="717"/>
      <c r="I414" s="24">
        <f t="shared" si="72"/>
        <v>1</v>
      </c>
      <c r="J414" s="717"/>
      <c r="K414" s="24">
        <f t="shared" si="73"/>
        <v>1</v>
      </c>
      <c r="L414" s="717"/>
      <c r="M414" s="24">
        <f t="shared" si="74"/>
        <v>1</v>
      </c>
      <c r="N414" s="717"/>
      <c r="O414" s="24">
        <f t="shared" si="75"/>
        <v>1</v>
      </c>
      <c r="P414" s="717"/>
      <c r="Q414" s="24">
        <f t="shared" si="76"/>
        <v>1</v>
      </c>
      <c r="R414" s="713">
        <f t="shared" si="77"/>
        <v>0</v>
      </c>
      <c r="S414" s="358">
        <f t="shared" si="68"/>
        <v>0</v>
      </c>
    </row>
    <row r="415" spans="1:19">
      <c r="A415" s="156"/>
      <c r="B415" s="59"/>
      <c r="C415" s="24">
        <f t="shared" si="69"/>
        <v>1</v>
      </c>
      <c r="D415" s="717"/>
      <c r="E415" s="24">
        <f t="shared" si="70"/>
        <v>1</v>
      </c>
      <c r="F415" s="717"/>
      <c r="G415" s="24">
        <f t="shared" si="71"/>
        <v>1</v>
      </c>
      <c r="H415" s="717"/>
      <c r="I415" s="24">
        <f t="shared" si="72"/>
        <v>1</v>
      </c>
      <c r="J415" s="717"/>
      <c r="K415" s="24">
        <f t="shared" si="73"/>
        <v>1</v>
      </c>
      <c r="L415" s="717"/>
      <c r="M415" s="24">
        <f t="shared" si="74"/>
        <v>1</v>
      </c>
      <c r="N415" s="717"/>
      <c r="O415" s="24">
        <f t="shared" si="75"/>
        <v>1</v>
      </c>
      <c r="P415" s="717"/>
      <c r="Q415" s="24">
        <f t="shared" si="76"/>
        <v>1</v>
      </c>
      <c r="R415" s="713">
        <f t="shared" si="77"/>
        <v>0</v>
      </c>
      <c r="S415" s="358">
        <f t="shared" si="68"/>
        <v>0</v>
      </c>
    </row>
    <row r="416" spans="1:19">
      <c r="A416" s="156"/>
      <c r="B416" s="59"/>
      <c r="C416" s="24">
        <f t="shared" si="69"/>
        <v>1</v>
      </c>
      <c r="D416" s="717"/>
      <c r="E416" s="24">
        <f t="shared" si="70"/>
        <v>1</v>
      </c>
      <c r="F416" s="717"/>
      <c r="G416" s="24">
        <f t="shared" si="71"/>
        <v>1</v>
      </c>
      <c r="H416" s="717"/>
      <c r="I416" s="24">
        <f t="shared" si="72"/>
        <v>1</v>
      </c>
      <c r="J416" s="717"/>
      <c r="K416" s="24">
        <f t="shared" si="73"/>
        <v>1</v>
      </c>
      <c r="L416" s="717"/>
      <c r="M416" s="24">
        <f t="shared" si="74"/>
        <v>1</v>
      </c>
      <c r="N416" s="717"/>
      <c r="O416" s="24">
        <f t="shared" si="75"/>
        <v>1</v>
      </c>
      <c r="P416" s="717"/>
      <c r="Q416" s="24">
        <f t="shared" si="76"/>
        <v>1</v>
      </c>
      <c r="R416" s="713">
        <f t="shared" si="77"/>
        <v>0</v>
      </c>
      <c r="S416" s="358">
        <f t="shared" si="68"/>
        <v>0</v>
      </c>
    </row>
    <row r="417" spans="1:19">
      <c r="A417" s="156"/>
      <c r="B417" s="59"/>
      <c r="C417" s="24">
        <f t="shared" si="69"/>
        <v>1</v>
      </c>
      <c r="D417" s="717"/>
      <c r="E417" s="24">
        <f t="shared" si="70"/>
        <v>1</v>
      </c>
      <c r="F417" s="717"/>
      <c r="G417" s="24">
        <f t="shared" si="71"/>
        <v>1</v>
      </c>
      <c r="H417" s="717"/>
      <c r="I417" s="24">
        <f t="shared" si="72"/>
        <v>1</v>
      </c>
      <c r="J417" s="717"/>
      <c r="K417" s="24">
        <f t="shared" si="73"/>
        <v>1</v>
      </c>
      <c r="L417" s="717"/>
      <c r="M417" s="24">
        <f t="shared" si="74"/>
        <v>1</v>
      </c>
      <c r="N417" s="717"/>
      <c r="O417" s="24">
        <f t="shared" si="75"/>
        <v>1</v>
      </c>
      <c r="P417" s="717"/>
      <c r="Q417" s="24">
        <f t="shared" si="76"/>
        <v>1</v>
      </c>
      <c r="R417" s="713">
        <f t="shared" si="77"/>
        <v>0</v>
      </c>
      <c r="S417" s="358">
        <f t="shared" si="68"/>
        <v>0</v>
      </c>
    </row>
    <row r="418" spans="1:19">
      <c r="A418" s="156"/>
      <c r="B418" s="59"/>
      <c r="C418" s="24">
        <f t="shared" si="69"/>
        <v>1</v>
      </c>
      <c r="D418" s="717"/>
      <c r="E418" s="24">
        <f t="shared" si="70"/>
        <v>1</v>
      </c>
      <c r="F418" s="717"/>
      <c r="G418" s="24">
        <f t="shared" si="71"/>
        <v>1</v>
      </c>
      <c r="H418" s="717"/>
      <c r="I418" s="24">
        <f t="shared" si="72"/>
        <v>1</v>
      </c>
      <c r="J418" s="717"/>
      <c r="K418" s="24">
        <f t="shared" si="73"/>
        <v>1</v>
      </c>
      <c r="L418" s="717"/>
      <c r="M418" s="24">
        <f t="shared" si="74"/>
        <v>1</v>
      </c>
      <c r="N418" s="717"/>
      <c r="O418" s="24">
        <f t="shared" si="75"/>
        <v>1</v>
      </c>
      <c r="P418" s="717"/>
      <c r="Q418" s="24">
        <f t="shared" si="76"/>
        <v>1</v>
      </c>
      <c r="R418" s="713">
        <f t="shared" si="77"/>
        <v>0</v>
      </c>
      <c r="S418" s="358">
        <f t="shared" si="68"/>
        <v>0</v>
      </c>
    </row>
    <row r="419" spans="1:19">
      <c r="A419" s="156"/>
      <c r="B419" s="59"/>
      <c r="C419" s="24">
        <f t="shared" si="69"/>
        <v>1</v>
      </c>
      <c r="D419" s="717"/>
      <c r="E419" s="24">
        <f t="shared" si="70"/>
        <v>1</v>
      </c>
      <c r="F419" s="717"/>
      <c r="G419" s="24">
        <f t="shared" si="71"/>
        <v>1</v>
      </c>
      <c r="H419" s="717"/>
      <c r="I419" s="24">
        <f t="shared" si="72"/>
        <v>1</v>
      </c>
      <c r="J419" s="717"/>
      <c r="K419" s="24">
        <f t="shared" si="73"/>
        <v>1</v>
      </c>
      <c r="L419" s="717"/>
      <c r="M419" s="24">
        <f t="shared" si="74"/>
        <v>1</v>
      </c>
      <c r="N419" s="717"/>
      <c r="O419" s="24">
        <f t="shared" si="75"/>
        <v>1</v>
      </c>
      <c r="P419" s="717"/>
      <c r="Q419" s="24">
        <f t="shared" si="76"/>
        <v>1</v>
      </c>
      <c r="R419" s="713">
        <f t="shared" si="77"/>
        <v>0</v>
      </c>
      <c r="S419" s="358">
        <f t="shared" si="68"/>
        <v>0</v>
      </c>
    </row>
    <row r="420" spans="1:19">
      <c r="A420" s="156"/>
      <c r="B420" s="59"/>
      <c r="C420" s="24">
        <f t="shared" si="69"/>
        <v>1</v>
      </c>
      <c r="D420" s="717"/>
      <c r="E420" s="24">
        <f t="shared" si="70"/>
        <v>1</v>
      </c>
      <c r="F420" s="717"/>
      <c r="G420" s="24">
        <f t="shared" si="71"/>
        <v>1</v>
      </c>
      <c r="H420" s="717"/>
      <c r="I420" s="24">
        <f t="shared" si="72"/>
        <v>1</v>
      </c>
      <c r="J420" s="717"/>
      <c r="K420" s="24">
        <f t="shared" si="73"/>
        <v>1</v>
      </c>
      <c r="L420" s="717"/>
      <c r="M420" s="24">
        <f t="shared" si="74"/>
        <v>1</v>
      </c>
      <c r="N420" s="717"/>
      <c r="O420" s="24">
        <f t="shared" si="75"/>
        <v>1</v>
      </c>
      <c r="P420" s="717"/>
      <c r="Q420" s="24">
        <f t="shared" si="76"/>
        <v>1</v>
      </c>
      <c r="R420" s="713">
        <f t="shared" si="77"/>
        <v>0</v>
      </c>
      <c r="S420" s="358">
        <f t="shared" si="68"/>
        <v>0</v>
      </c>
    </row>
    <row r="421" spans="1:19">
      <c r="A421" s="156"/>
      <c r="B421" s="59"/>
      <c r="C421" s="24">
        <f t="shared" si="69"/>
        <v>1</v>
      </c>
      <c r="D421" s="717"/>
      <c r="E421" s="24">
        <f t="shared" si="70"/>
        <v>1</v>
      </c>
      <c r="F421" s="717"/>
      <c r="G421" s="24">
        <f t="shared" si="71"/>
        <v>1</v>
      </c>
      <c r="H421" s="717"/>
      <c r="I421" s="24">
        <f t="shared" si="72"/>
        <v>1</v>
      </c>
      <c r="J421" s="717"/>
      <c r="K421" s="24">
        <f t="shared" si="73"/>
        <v>1</v>
      </c>
      <c r="L421" s="717"/>
      <c r="M421" s="24">
        <f t="shared" si="74"/>
        <v>1</v>
      </c>
      <c r="N421" s="717"/>
      <c r="O421" s="24">
        <f t="shared" si="75"/>
        <v>1</v>
      </c>
      <c r="P421" s="717"/>
      <c r="Q421" s="24">
        <f t="shared" si="76"/>
        <v>1</v>
      </c>
      <c r="R421" s="713">
        <f t="shared" si="77"/>
        <v>0</v>
      </c>
      <c r="S421" s="358">
        <f t="shared" si="68"/>
        <v>0</v>
      </c>
    </row>
    <row r="422" spans="1:19">
      <c r="A422" s="156"/>
      <c r="B422" s="59"/>
      <c r="C422" s="24">
        <f t="shared" si="69"/>
        <v>1</v>
      </c>
      <c r="D422" s="717"/>
      <c r="E422" s="24">
        <f t="shared" si="70"/>
        <v>1</v>
      </c>
      <c r="F422" s="717"/>
      <c r="G422" s="24">
        <f t="shared" si="71"/>
        <v>1</v>
      </c>
      <c r="H422" s="717"/>
      <c r="I422" s="24">
        <f t="shared" si="72"/>
        <v>1</v>
      </c>
      <c r="J422" s="717"/>
      <c r="K422" s="24">
        <f t="shared" si="73"/>
        <v>1</v>
      </c>
      <c r="L422" s="717"/>
      <c r="M422" s="24">
        <f t="shared" si="74"/>
        <v>1</v>
      </c>
      <c r="N422" s="717"/>
      <c r="O422" s="24">
        <f t="shared" si="75"/>
        <v>1</v>
      </c>
      <c r="P422" s="717"/>
      <c r="Q422" s="24">
        <f t="shared" si="76"/>
        <v>1</v>
      </c>
      <c r="R422" s="713">
        <f t="shared" si="77"/>
        <v>0</v>
      </c>
      <c r="S422" s="358">
        <f t="shared" si="68"/>
        <v>0</v>
      </c>
    </row>
    <row r="423" spans="1:19">
      <c r="A423" s="156"/>
      <c r="B423" s="59"/>
      <c r="C423" s="24">
        <f t="shared" si="69"/>
        <v>1</v>
      </c>
      <c r="D423" s="717"/>
      <c r="E423" s="24">
        <f t="shared" si="70"/>
        <v>1</v>
      </c>
      <c r="F423" s="717"/>
      <c r="G423" s="24">
        <f t="shared" si="71"/>
        <v>1</v>
      </c>
      <c r="H423" s="717"/>
      <c r="I423" s="24">
        <f t="shared" si="72"/>
        <v>1</v>
      </c>
      <c r="J423" s="717"/>
      <c r="K423" s="24">
        <f t="shared" si="73"/>
        <v>1</v>
      </c>
      <c r="L423" s="717"/>
      <c r="M423" s="24">
        <f t="shared" si="74"/>
        <v>1</v>
      </c>
      <c r="N423" s="717"/>
      <c r="O423" s="24">
        <f t="shared" si="75"/>
        <v>1</v>
      </c>
      <c r="P423" s="717"/>
      <c r="Q423" s="24">
        <f t="shared" si="76"/>
        <v>1</v>
      </c>
      <c r="R423" s="713">
        <f t="shared" si="77"/>
        <v>0</v>
      </c>
      <c r="S423" s="358">
        <f t="shared" ref="S423:S467" si="78">ROUND(R423*B423/10000,0)</f>
        <v>0</v>
      </c>
    </row>
    <row r="424" spans="1:19">
      <c r="A424" s="156"/>
      <c r="B424" s="59"/>
      <c r="C424" s="24">
        <f t="shared" si="69"/>
        <v>1</v>
      </c>
      <c r="D424" s="717"/>
      <c r="E424" s="24">
        <f t="shared" si="70"/>
        <v>1</v>
      </c>
      <c r="F424" s="717"/>
      <c r="G424" s="24">
        <f t="shared" si="71"/>
        <v>1</v>
      </c>
      <c r="H424" s="717"/>
      <c r="I424" s="24">
        <f t="shared" si="72"/>
        <v>1</v>
      </c>
      <c r="J424" s="717"/>
      <c r="K424" s="24">
        <f t="shared" si="73"/>
        <v>1</v>
      </c>
      <c r="L424" s="717"/>
      <c r="M424" s="24">
        <f t="shared" si="74"/>
        <v>1</v>
      </c>
      <c r="N424" s="717"/>
      <c r="O424" s="24">
        <f t="shared" si="75"/>
        <v>1</v>
      </c>
      <c r="P424" s="717"/>
      <c r="Q424" s="24">
        <f t="shared" si="76"/>
        <v>1</v>
      </c>
      <c r="R424" s="713">
        <f t="shared" si="77"/>
        <v>0</v>
      </c>
      <c r="S424" s="358">
        <f t="shared" si="78"/>
        <v>0</v>
      </c>
    </row>
    <row r="425" spans="1:19">
      <c r="A425" s="156"/>
      <c r="B425" s="59"/>
      <c r="C425" s="24">
        <f t="shared" si="69"/>
        <v>1</v>
      </c>
      <c r="D425" s="717"/>
      <c r="E425" s="24">
        <f t="shared" si="70"/>
        <v>1</v>
      </c>
      <c r="F425" s="717"/>
      <c r="G425" s="24">
        <f t="shared" si="71"/>
        <v>1</v>
      </c>
      <c r="H425" s="717"/>
      <c r="I425" s="24">
        <f t="shared" si="72"/>
        <v>1</v>
      </c>
      <c r="J425" s="717"/>
      <c r="K425" s="24">
        <f t="shared" si="73"/>
        <v>1</v>
      </c>
      <c r="L425" s="717"/>
      <c r="M425" s="24">
        <f t="shared" si="74"/>
        <v>1</v>
      </c>
      <c r="N425" s="717"/>
      <c r="O425" s="24">
        <f t="shared" si="75"/>
        <v>1</v>
      </c>
      <c r="P425" s="717"/>
      <c r="Q425" s="24">
        <f t="shared" si="76"/>
        <v>1</v>
      </c>
      <c r="R425" s="713">
        <f t="shared" si="77"/>
        <v>0</v>
      </c>
      <c r="S425" s="358">
        <f t="shared" si="78"/>
        <v>0</v>
      </c>
    </row>
    <row r="426" spans="1:19">
      <c r="A426" s="156"/>
      <c r="B426" s="59"/>
      <c r="C426" s="24">
        <f t="shared" si="69"/>
        <v>1</v>
      </c>
      <c r="D426" s="717"/>
      <c r="E426" s="24">
        <f t="shared" si="70"/>
        <v>1</v>
      </c>
      <c r="F426" s="717"/>
      <c r="G426" s="24">
        <f t="shared" si="71"/>
        <v>1</v>
      </c>
      <c r="H426" s="717"/>
      <c r="I426" s="24">
        <f t="shared" si="72"/>
        <v>1</v>
      </c>
      <c r="J426" s="717"/>
      <c r="K426" s="24">
        <f t="shared" si="73"/>
        <v>1</v>
      </c>
      <c r="L426" s="717"/>
      <c r="M426" s="24">
        <f t="shared" si="74"/>
        <v>1</v>
      </c>
      <c r="N426" s="717"/>
      <c r="O426" s="24">
        <f t="shared" si="75"/>
        <v>1</v>
      </c>
      <c r="P426" s="717"/>
      <c r="Q426" s="24">
        <f t="shared" si="76"/>
        <v>1</v>
      </c>
      <c r="R426" s="713">
        <f t="shared" si="77"/>
        <v>0</v>
      </c>
      <c r="S426" s="358">
        <f t="shared" si="78"/>
        <v>0</v>
      </c>
    </row>
    <row r="427" spans="1:19">
      <c r="A427" s="156"/>
      <c r="B427" s="59"/>
      <c r="C427" s="24">
        <f t="shared" si="69"/>
        <v>1</v>
      </c>
      <c r="D427" s="717"/>
      <c r="E427" s="24">
        <f t="shared" si="70"/>
        <v>1</v>
      </c>
      <c r="F427" s="717"/>
      <c r="G427" s="24">
        <f t="shared" si="71"/>
        <v>1</v>
      </c>
      <c r="H427" s="717"/>
      <c r="I427" s="24">
        <f t="shared" si="72"/>
        <v>1</v>
      </c>
      <c r="J427" s="717"/>
      <c r="K427" s="24">
        <f t="shared" si="73"/>
        <v>1</v>
      </c>
      <c r="L427" s="717"/>
      <c r="M427" s="24">
        <f t="shared" si="74"/>
        <v>1</v>
      </c>
      <c r="N427" s="717"/>
      <c r="O427" s="24">
        <f t="shared" si="75"/>
        <v>1</v>
      </c>
      <c r="P427" s="717"/>
      <c r="Q427" s="24">
        <f t="shared" si="76"/>
        <v>1</v>
      </c>
      <c r="R427" s="713">
        <f t="shared" si="77"/>
        <v>0</v>
      </c>
      <c r="S427" s="358">
        <f t="shared" si="78"/>
        <v>0</v>
      </c>
    </row>
    <row r="428" spans="1:19">
      <c r="A428" s="156"/>
      <c r="B428" s="59"/>
      <c r="C428" s="24">
        <f t="shared" si="69"/>
        <v>1</v>
      </c>
      <c r="D428" s="717"/>
      <c r="E428" s="24">
        <f t="shared" si="70"/>
        <v>1</v>
      </c>
      <c r="F428" s="717"/>
      <c r="G428" s="24">
        <f t="shared" si="71"/>
        <v>1</v>
      </c>
      <c r="H428" s="717"/>
      <c r="I428" s="24">
        <f t="shared" si="72"/>
        <v>1</v>
      </c>
      <c r="J428" s="717"/>
      <c r="K428" s="24">
        <f t="shared" si="73"/>
        <v>1</v>
      </c>
      <c r="L428" s="717"/>
      <c r="M428" s="24">
        <f t="shared" si="74"/>
        <v>1</v>
      </c>
      <c r="N428" s="717"/>
      <c r="O428" s="24">
        <f t="shared" si="75"/>
        <v>1</v>
      </c>
      <c r="P428" s="717"/>
      <c r="Q428" s="24">
        <f t="shared" si="76"/>
        <v>1</v>
      </c>
      <c r="R428" s="713">
        <f t="shared" si="77"/>
        <v>0</v>
      </c>
      <c r="S428" s="358">
        <f t="shared" si="78"/>
        <v>0</v>
      </c>
    </row>
    <row r="429" spans="1:19">
      <c r="A429" s="156"/>
      <c r="B429" s="59"/>
      <c r="C429" s="24">
        <f t="shared" si="69"/>
        <v>1</v>
      </c>
      <c r="D429" s="717"/>
      <c r="E429" s="24">
        <f t="shared" si="70"/>
        <v>1</v>
      </c>
      <c r="F429" s="717"/>
      <c r="G429" s="24">
        <f t="shared" si="71"/>
        <v>1</v>
      </c>
      <c r="H429" s="717"/>
      <c r="I429" s="24">
        <f t="shared" si="72"/>
        <v>1</v>
      </c>
      <c r="J429" s="717"/>
      <c r="K429" s="24">
        <f t="shared" si="73"/>
        <v>1</v>
      </c>
      <c r="L429" s="717"/>
      <c r="M429" s="24">
        <f t="shared" si="74"/>
        <v>1</v>
      </c>
      <c r="N429" s="717"/>
      <c r="O429" s="24">
        <f t="shared" si="75"/>
        <v>1</v>
      </c>
      <c r="P429" s="717"/>
      <c r="Q429" s="24">
        <f t="shared" si="76"/>
        <v>1</v>
      </c>
      <c r="R429" s="713">
        <f t="shared" si="77"/>
        <v>0</v>
      </c>
      <c r="S429" s="358">
        <f t="shared" si="78"/>
        <v>0</v>
      </c>
    </row>
    <row r="430" spans="1:19">
      <c r="A430" s="156"/>
      <c r="B430" s="59"/>
      <c r="C430" s="24">
        <f t="shared" si="69"/>
        <v>1</v>
      </c>
      <c r="D430" s="717"/>
      <c r="E430" s="24">
        <f t="shared" si="70"/>
        <v>1</v>
      </c>
      <c r="F430" s="717"/>
      <c r="G430" s="24">
        <f t="shared" si="71"/>
        <v>1</v>
      </c>
      <c r="H430" s="717"/>
      <c r="I430" s="24">
        <f t="shared" si="72"/>
        <v>1</v>
      </c>
      <c r="J430" s="717"/>
      <c r="K430" s="24">
        <f t="shared" si="73"/>
        <v>1</v>
      </c>
      <c r="L430" s="717"/>
      <c r="M430" s="24">
        <f t="shared" si="74"/>
        <v>1</v>
      </c>
      <c r="N430" s="717"/>
      <c r="O430" s="24">
        <f t="shared" si="75"/>
        <v>1</v>
      </c>
      <c r="P430" s="717"/>
      <c r="Q430" s="24">
        <f t="shared" si="76"/>
        <v>1</v>
      </c>
      <c r="R430" s="713">
        <f t="shared" si="77"/>
        <v>0</v>
      </c>
      <c r="S430" s="358">
        <f t="shared" si="78"/>
        <v>0</v>
      </c>
    </row>
    <row r="431" spans="1:19">
      <c r="A431" s="156"/>
      <c r="B431" s="59"/>
      <c r="C431" s="24">
        <f t="shared" si="69"/>
        <v>1</v>
      </c>
      <c r="D431" s="717"/>
      <c r="E431" s="24">
        <f t="shared" si="70"/>
        <v>1</v>
      </c>
      <c r="F431" s="717"/>
      <c r="G431" s="24">
        <f t="shared" si="71"/>
        <v>1</v>
      </c>
      <c r="H431" s="717"/>
      <c r="I431" s="24">
        <f t="shared" si="72"/>
        <v>1</v>
      </c>
      <c r="J431" s="717"/>
      <c r="K431" s="24">
        <f t="shared" si="73"/>
        <v>1</v>
      </c>
      <c r="L431" s="717"/>
      <c r="M431" s="24">
        <f t="shared" si="74"/>
        <v>1</v>
      </c>
      <c r="N431" s="717"/>
      <c r="O431" s="24">
        <f t="shared" si="75"/>
        <v>1</v>
      </c>
      <c r="P431" s="717"/>
      <c r="Q431" s="24">
        <f t="shared" si="76"/>
        <v>1</v>
      </c>
      <c r="R431" s="713">
        <f t="shared" si="77"/>
        <v>0</v>
      </c>
      <c r="S431" s="358">
        <f t="shared" si="78"/>
        <v>0</v>
      </c>
    </row>
    <row r="432" spans="1:19">
      <c r="A432" s="156"/>
      <c r="B432" s="59"/>
      <c r="C432" s="24">
        <f t="shared" si="69"/>
        <v>1</v>
      </c>
      <c r="D432" s="717"/>
      <c r="E432" s="24">
        <f t="shared" si="70"/>
        <v>1</v>
      </c>
      <c r="F432" s="717"/>
      <c r="G432" s="24">
        <f t="shared" si="71"/>
        <v>1</v>
      </c>
      <c r="H432" s="717"/>
      <c r="I432" s="24">
        <f t="shared" si="72"/>
        <v>1</v>
      </c>
      <c r="J432" s="717"/>
      <c r="K432" s="24">
        <f t="shared" si="73"/>
        <v>1</v>
      </c>
      <c r="L432" s="717"/>
      <c r="M432" s="24">
        <f t="shared" si="74"/>
        <v>1</v>
      </c>
      <c r="N432" s="717"/>
      <c r="O432" s="24">
        <f t="shared" si="75"/>
        <v>1</v>
      </c>
      <c r="P432" s="717"/>
      <c r="Q432" s="24">
        <f t="shared" si="76"/>
        <v>1</v>
      </c>
      <c r="R432" s="713">
        <f t="shared" si="77"/>
        <v>0</v>
      </c>
      <c r="S432" s="358">
        <f t="shared" si="78"/>
        <v>0</v>
      </c>
    </row>
    <row r="433" spans="1:19">
      <c r="A433" s="156"/>
      <c r="B433" s="59"/>
      <c r="C433" s="24">
        <f t="shared" si="69"/>
        <v>1</v>
      </c>
      <c r="D433" s="717"/>
      <c r="E433" s="24">
        <f t="shared" si="70"/>
        <v>1</v>
      </c>
      <c r="F433" s="717"/>
      <c r="G433" s="24">
        <f t="shared" si="71"/>
        <v>1</v>
      </c>
      <c r="H433" s="717"/>
      <c r="I433" s="24">
        <f t="shared" si="72"/>
        <v>1</v>
      </c>
      <c r="J433" s="717"/>
      <c r="K433" s="24">
        <f t="shared" si="73"/>
        <v>1</v>
      </c>
      <c r="L433" s="717"/>
      <c r="M433" s="24">
        <f t="shared" si="74"/>
        <v>1</v>
      </c>
      <c r="N433" s="717"/>
      <c r="O433" s="24">
        <f t="shared" si="75"/>
        <v>1</v>
      </c>
      <c r="P433" s="717"/>
      <c r="Q433" s="24">
        <f t="shared" si="76"/>
        <v>1</v>
      </c>
      <c r="R433" s="713">
        <f t="shared" si="77"/>
        <v>0</v>
      </c>
      <c r="S433" s="358">
        <f t="shared" si="78"/>
        <v>0</v>
      </c>
    </row>
    <row r="434" spans="1:19">
      <c r="A434" s="156"/>
      <c r="B434" s="59"/>
      <c r="C434" s="24">
        <f t="shared" si="69"/>
        <v>1</v>
      </c>
      <c r="D434" s="717"/>
      <c r="E434" s="24">
        <f t="shared" si="70"/>
        <v>1</v>
      </c>
      <c r="F434" s="717"/>
      <c r="G434" s="24">
        <f t="shared" si="71"/>
        <v>1</v>
      </c>
      <c r="H434" s="717"/>
      <c r="I434" s="24">
        <f t="shared" si="72"/>
        <v>1</v>
      </c>
      <c r="J434" s="717"/>
      <c r="K434" s="24">
        <f t="shared" si="73"/>
        <v>1</v>
      </c>
      <c r="L434" s="717"/>
      <c r="M434" s="24">
        <f t="shared" si="74"/>
        <v>1</v>
      </c>
      <c r="N434" s="717"/>
      <c r="O434" s="24">
        <f t="shared" si="75"/>
        <v>1</v>
      </c>
      <c r="P434" s="717"/>
      <c r="Q434" s="24">
        <f t="shared" si="76"/>
        <v>1</v>
      </c>
      <c r="R434" s="713">
        <f t="shared" si="77"/>
        <v>0</v>
      </c>
      <c r="S434" s="358">
        <f t="shared" si="78"/>
        <v>0</v>
      </c>
    </row>
    <row r="435" spans="1:19">
      <c r="A435" s="156"/>
      <c r="B435" s="59"/>
      <c r="C435" s="24">
        <f t="shared" si="69"/>
        <v>1</v>
      </c>
      <c r="D435" s="717"/>
      <c r="E435" s="24">
        <f t="shared" si="70"/>
        <v>1</v>
      </c>
      <c r="F435" s="717"/>
      <c r="G435" s="24">
        <f t="shared" si="71"/>
        <v>1</v>
      </c>
      <c r="H435" s="717"/>
      <c r="I435" s="24">
        <f t="shared" si="72"/>
        <v>1</v>
      </c>
      <c r="J435" s="717"/>
      <c r="K435" s="24">
        <f t="shared" si="73"/>
        <v>1</v>
      </c>
      <c r="L435" s="717"/>
      <c r="M435" s="24">
        <f t="shared" si="74"/>
        <v>1</v>
      </c>
      <c r="N435" s="717"/>
      <c r="O435" s="24">
        <f t="shared" si="75"/>
        <v>1</v>
      </c>
      <c r="P435" s="717"/>
      <c r="Q435" s="24">
        <f t="shared" si="76"/>
        <v>1</v>
      </c>
      <c r="R435" s="713">
        <f t="shared" si="77"/>
        <v>0</v>
      </c>
      <c r="S435" s="358">
        <f t="shared" si="78"/>
        <v>0</v>
      </c>
    </row>
    <row r="436" spans="1:19">
      <c r="A436" s="156"/>
      <c r="B436" s="59"/>
      <c r="C436" s="24">
        <f t="shared" si="69"/>
        <v>1</v>
      </c>
      <c r="D436" s="717"/>
      <c r="E436" s="24">
        <f t="shared" si="70"/>
        <v>1</v>
      </c>
      <c r="F436" s="717"/>
      <c r="G436" s="24">
        <f t="shared" si="71"/>
        <v>1</v>
      </c>
      <c r="H436" s="717"/>
      <c r="I436" s="24">
        <f t="shared" si="72"/>
        <v>1</v>
      </c>
      <c r="J436" s="717"/>
      <c r="K436" s="24">
        <f t="shared" si="73"/>
        <v>1</v>
      </c>
      <c r="L436" s="717"/>
      <c r="M436" s="24">
        <f t="shared" si="74"/>
        <v>1</v>
      </c>
      <c r="N436" s="717"/>
      <c r="O436" s="24">
        <f t="shared" si="75"/>
        <v>1</v>
      </c>
      <c r="P436" s="717"/>
      <c r="Q436" s="24">
        <f t="shared" si="76"/>
        <v>1</v>
      </c>
      <c r="R436" s="713">
        <f t="shared" si="77"/>
        <v>0</v>
      </c>
      <c r="S436" s="358">
        <f t="shared" si="78"/>
        <v>0</v>
      </c>
    </row>
    <row r="437" spans="1:19">
      <c r="A437" s="156"/>
      <c r="B437" s="59"/>
      <c r="C437" s="24">
        <f t="shared" si="69"/>
        <v>1</v>
      </c>
      <c r="D437" s="717"/>
      <c r="E437" s="24">
        <f t="shared" si="70"/>
        <v>1</v>
      </c>
      <c r="F437" s="717"/>
      <c r="G437" s="24">
        <f t="shared" si="71"/>
        <v>1</v>
      </c>
      <c r="H437" s="717"/>
      <c r="I437" s="24">
        <f t="shared" si="72"/>
        <v>1</v>
      </c>
      <c r="J437" s="717"/>
      <c r="K437" s="24">
        <f t="shared" si="73"/>
        <v>1</v>
      </c>
      <c r="L437" s="717"/>
      <c r="M437" s="24">
        <f t="shared" si="74"/>
        <v>1</v>
      </c>
      <c r="N437" s="717"/>
      <c r="O437" s="24">
        <f t="shared" si="75"/>
        <v>1</v>
      </c>
      <c r="P437" s="717"/>
      <c r="Q437" s="24">
        <f t="shared" si="76"/>
        <v>1</v>
      </c>
      <c r="R437" s="713">
        <f t="shared" si="77"/>
        <v>0</v>
      </c>
      <c r="S437" s="358">
        <f t="shared" si="78"/>
        <v>0</v>
      </c>
    </row>
    <row r="438" spans="1:19">
      <c r="A438" s="156"/>
      <c r="B438" s="59"/>
      <c r="C438" s="24">
        <f t="shared" si="69"/>
        <v>1</v>
      </c>
      <c r="D438" s="717"/>
      <c r="E438" s="24">
        <f t="shared" si="70"/>
        <v>1</v>
      </c>
      <c r="F438" s="717"/>
      <c r="G438" s="24">
        <f t="shared" si="71"/>
        <v>1</v>
      </c>
      <c r="H438" s="717"/>
      <c r="I438" s="24">
        <f t="shared" si="72"/>
        <v>1</v>
      </c>
      <c r="J438" s="717"/>
      <c r="K438" s="24">
        <f t="shared" si="73"/>
        <v>1</v>
      </c>
      <c r="L438" s="717"/>
      <c r="M438" s="24">
        <f t="shared" si="74"/>
        <v>1</v>
      </c>
      <c r="N438" s="717"/>
      <c r="O438" s="24">
        <f t="shared" si="75"/>
        <v>1</v>
      </c>
      <c r="P438" s="717"/>
      <c r="Q438" s="24">
        <f t="shared" si="76"/>
        <v>1</v>
      </c>
      <c r="R438" s="713">
        <f t="shared" si="77"/>
        <v>0</v>
      </c>
      <c r="S438" s="358">
        <f t="shared" si="78"/>
        <v>0</v>
      </c>
    </row>
    <row r="439" spans="1:19">
      <c r="A439" s="156"/>
      <c r="B439" s="59"/>
      <c r="C439" s="24">
        <f t="shared" si="69"/>
        <v>1</v>
      </c>
      <c r="D439" s="717"/>
      <c r="E439" s="24">
        <f t="shared" si="70"/>
        <v>1</v>
      </c>
      <c r="F439" s="717"/>
      <c r="G439" s="24">
        <f t="shared" si="71"/>
        <v>1</v>
      </c>
      <c r="H439" s="717"/>
      <c r="I439" s="24">
        <f t="shared" si="72"/>
        <v>1</v>
      </c>
      <c r="J439" s="717"/>
      <c r="K439" s="24">
        <f t="shared" si="73"/>
        <v>1</v>
      </c>
      <c r="L439" s="717"/>
      <c r="M439" s="24">
        <f t="shared" si="74"/>
        <v>1</v>
      </c>
      <c r="N439" s="717"/>
      <c r="O439" s="24">
        <f t="shared" si="75"/>
        <v>1</v>
      </c>
      <c r="P439" s="717"/>
      <c r="Q439" s="24">
        <f t="shared" si="76"/>
        <v>1</v>
      </c>
      <c r="R439" s="713">
        <f t="shared" si="77"/>
        <v>0</v>
      </c>
      <c r="S439" s="358">
        <f t="shared" si="78"/>
        <v>0</v>
      </c>
    </row>
    <row r="440" spans="1:19">
      <c r="A440" s="156"/>
      <c r="B440" s="59"/>
      <c r="C440" s="24">
        <f t="shared" si="69"/>
        <v>1</v>
      </c>
      <c r="D440" s="717"/>
      <c r="E440" s="24">
        <f t="shared" si="70"/>
        <v>1</v>
      </c>
      <c r="F440" s="717"/>
      <c r="G440" s="24">
        <f t="shared" si="71"/>
        <v>1</v>
      </c>
      <c r="H440" s="717"/>
      <c r="I440" s="24">
        <f t="shared" si="72"/>
        <v>1</v>
      </c>
      <c r="J440" s="717"/>
      <c r="K440" s="24">
        <f t="shared" si="73"/>
        <v>1</v>
      </c>
      <c r="L440" s="717"/>
      <c r="M440" s="24">
        <f t="shared" si="74"/>
        <v>1</v>
      </c>
      <c r="N440" s="717"/>
      <c r="O440" s="24">
        <f t="shared" si="75"/>
        <v>1</v>
      </c>
      <c r="P440" s="717"/>
      <c r="Q440" s="24">
        <f t="shared" si="76"/>
        <v>1</v>
      </c>
      <c r="R440" s="713">
        <f t="shared" si="77"/>
        <v>0</v>
      </c>
      <c r="S440" s="358">
        <f t="shared" si="78"/>
        <v>0</v>
      </c>
    </row>
    <row r="441" spans="1:19">
      <c r="A441" s="156"/>
      <c r="B441" s="59"/>
      <c r="C441" s="24">
        <f t="shared" si="69"/>
        <v>1</v>
      </c>
      <c r="D441" s="717"/>
      <c r="E441" s="24">
        <f t="shared" si="70"/>
        <v>1</v>
      </c>
      <c r="F441" s="717"/>
      <c r="G441" s="24">
        <f t="shared" si="71"/>
        <v>1</v>
      </c>
      <c r="H441" s="717"/>
      <c r="I441" s="24">
        <f t="shared" si="72"/>
        <v>1</v>
      </c>
      <c r="J441" s="717"/>
      <c r="K441" s="24">
        <f t="shared" si="73"/>
        <v>1</v>
      </c>
      <c r="L441" s="717"/>
      <c r="M441" s="24">
        <f t="shared" si="74"/>
        <v>1</v>
      </c>
      <c r="N441" s="717"/>
      <c r="O441" s="24">
        <f t="shared" si="75"/>
        <v>1</v>
      </c>
      <c r="P441" s="717"/>
      <c r="Q441" s="24">
        <f t="shared" si="76"/>
        <v>1</v>
      </c>
      <c r="R441" s="713">
        <f t="shared" si="77"/>
        <v>0</v>
      </c>
      <c r="S441" s="358">
        <f t="shared" si="78"/>
        <v>0</v>
      </c>
    </row>
    <row r="442" spans="1:19">
      <c r="A442" s="156"/>
      <c r="B442" s="59"/>
      <c r="C442" s="24">
        <f t="shared" si="69"/>
        <v>1</v>
      </c>
      <c r="D442" s="717"/>
      <c r="E442" s="24">
        <f t="shared" si="70"/>
        <v>1</v>
      </c>
      <c r="F442" s="717"/>
      <c r="G442" s="24">
        <f t="shared" si="71"/>
        <v>1</v>
      </c>
      <c r="H442" s="717"/>
      <c r="I442" s="24">
        <f t="shared" si="72"/>
        <v>1</v>
      </c>
      <c r="J442" s="717"/>
      <c r="K442" s="24">
        <f t="shared" si="73"/>
        <v>1</v>
      </c>
      <c r="L442" s="717"/>
      <c r="M442" s="24">
        <f t="shared" si="74"/>
        <v>1</v>
      </c>
      <c r="N442" s="717"/>
      <c r="O442" s="24">
        <f t="shared" si="75"/>
        <v>1</v>
      </c>
      <c r="P442" s="717"/>
      <c r="Q442" s="24">
        <f t="shared" si="76"/>
        <v>1</v>
      </c>
      <c r="R442" s="713">
        <f t="shared" si="77"/>
        <v>0</v>
      </c>
      <c r="S442" s="358">
        <f t="shared" si="78"/>
        <v>0</v>
      </c>
    </row>
    <row r="443" spans="1:19">
      <c r="A443" s="156"/>
      <c r="B443" s="59"/>
      <c r="C443" s="24">
        <f t="shared" si="69"/>
        <v>1</v>
      </c>
      <c r="D443" s="717"/>
      <c r="E443" s="24">
        <f t="shared" si="70"/>
        <v>1</v>
      </c>
      <c r="F443" s="717"/>
      <c r="G443" s="24">
        <f t="shared" si="71"/>
        <v>1</v>
      </c>
      <c r="H443" s="717"/>
      <c r="I443" s="24">
        <f t="shared" si="72"/>
        <v>1</v>
      </c>
      <c r="J443" s="717"/>
      <c r="K443" s="24">
        <f t="shared" si="73"/>
        <v>1</v>
      </c>
      <c r="L443" s="717"/>
      <c r="M443" s="24">
        <f t="shared" si="74"/>
        <v>1</v>
      </c>
      <c r="N443" s="717"/>
      <c r="O443" s="24">
        <f t="shared" si="75"/>
        <v>1</v>
      </c>
      <c r="P443" s="717"/>
      <c r="Q443" s="24">
        <f t="shared" si="76"/>
        <v>1</v>
      </c>
      <c r="R443" s="713">
        <f t="shared" si="77"/>
        <v>0</v>
      </c>
      <c r="S443" s="358">
        <f t="shared" si="78"/>
        <v>0</v>
      </c>
    </row>
    <row r="444" spans="1:19">
      <c r="A444" s="156"/>
      <c r="B444" s="59"/>
      <c r="C444" s="24">
        <f t="shared" si="69"/>
        <v>1</v>
      </c>
      <c r="D444" s="717"/>
      <c r="E444" s="24">
        <f t="shared" si="70"/>
        <v>1</v>
      </c>
      <c r="F444" s="717"/>
      <c r="G444" s="24">
        <f t="shared" si="71"/>
        <v>1</v>
      </c>
      <c r="H444" s="717"/>
      <c r="I444" s="24">
        <f t="shared" si="72"/>
        <v>1</v>
      </c>
      <c r="J444" s="717"/>
      <c r="K444" s="24">
        <f t="shared" si="73"/>
        <v>1</v>
      </c>
      <c r="L444" s="717"/>
      <c r="M444" s="24">
        <f t="shared" si="74"/>
        <v>1</v>
      </c>
      <c r="N444" s="717"/>
      <c r="O444" s="24">
        <f t="shared" si="75"/>
        <v>1</v>
      </c>
      <c r="P444" s="717"/>
      <c r="Q444" s="24">
        <f t="shared" si="76"/>
        <v>1</v>
      </c>
      <c r="R444" s="713">
        <f t="shared" si="77"/>
        <v>0</v>
      </c>
      <c r="S444" s="358">
        <f t="shared" si="78"/>
        <v>0</v>
      </c>
    </row>
    <row r="445" spans="1:19">
      <c r="A445" s="156"/>
      <c r="B445" s="59"/>
      <c r="C445" s="24">
        <f t="shared" si="69"/>
        <v>1</v>
      </c>
      <c r="D445" s="717"/>
      <c r="E445" s="24">
        <f t="shared" si="70"/>
        <v>1</v>
      </c>
      <c r="F445" s="717"/>
      <c r="G445" s="24">
        <f t="shared" si="71"/>
        <v>1</v>
      </c>
      <c r="H445" s="717"/>
      <c r="I445" s="24">
        <f t="shared" si="72"/>
        <v>1</v>
      </c>
      <c r="J445" s="717"/>
      <c r="K445" s="24">
        <f t="shared" si="73"/>
        <v>1</v>
      </c>
      <c r="L445" s="717"/>
      <c r="M445" s="24">
        <f t="shared" si="74"/>
        <v>1</v>
      </c>
      <c r="N445" s="717"/>
      <c r="O445" s="24">
        <f t="shared" si="75"/>
        <v>1</v>
      </c>
      <c r="P445" s="717"/>
      <c r="Q445" s="24">
        <f t="shared" si="76"/>
        <v>1</v>
      </c>
      <c r="R445" s="713">
        <f t="shared" si="77"/>
        <v>0</v>
      </c>
      <c r="S445" s="358">
        <f t="shared" si="78"/>
        <v>0</v>
      </c>
    </row>
    <row r="446" spans="1:19">
      <c r="A446" s="156"/>
      <c r="B446" s="59"/>
      <c r="C446" s="24">
        <f t="shared" si="69"/>
        <v>1</v>
      </c>
      <c r="D446" s="717"/>
      <c r="E446" s="24">
        <f t="shared" si="70"/>
        <v>1</v>
      </c>
      <c r="F446" s="717"/>
      <c r="G446" s="24">
        <f t="shared" si="71"/>
        <v>1</v>
      </c>
      <c r="H446" s="717"/>
      <c r="I446" s="24">
        <f t="shared" si="72"/>
        <v>1</v>
      </c>
      <c r="J446" s="717"/>
      <c r="K446" s="24">
        <f t="shared" si="73"/>
        <v>1</v>
      </c>
      <c r="L446" s="717"/>
      <c r="M446" s="24">
        <f t="shared" si="74"/>
        <v>1</v>
      </c>
      <c r="N446" s="717"/>
      <c r="O446" s="24">
        <f t="shared" si="75"/>
        <v>1</v>
      </c>
      <c r="P446" s="717"/>
      <c r="Q446" s="24">
        <f t="shared" si="76"/>
        <v>1</v>
      </c>
      <c r="R446" s="713">
        <f t="shared" si="77"/>
        <v>0</v>
      </c>
      <c r="S446" s="358">
        <f t="shared" si="78"/>
        <v>0</v>
      </c>
    </row>
    <row r="447" spans="1:19">
      <c r="A447" s="156"/>
      <c r="B447" s="59"/>
      <c r="C447" s="24">
        <f t="shared" si="69"/>
        <v>1</v>
      </c>
      <c r="D447" s="717"/>
      <c r="E447" s="24">
        <f t="shared" si="70"/>
        <v>1</v>
      </c>
      <c r="F447" s="717"/>
      <c r="G447" s="24">
        <f t="shared" si="71"/>
        <v>1</v>
      </c>
      <c r="H447" s="717"/>
      <c r="I447" s="24">
        <f t="shared" si="72"/>
        <v>1</v>
      </c>
      <c r="J447" s="717"/>
      <c r="K447" s="24">
        <f t="shared" si="73"/>
        <v>1</v>
      </c>
      <c r="L447" s="717"/>
      <c r="M447" s="24">
        <f t="shared" si="74"/>
        <v>1</v>
      </c>
      <c r="N447" s="717"/>
      <c r="O447" s="24">
        <f t="shared" si="75"/>
        <v>1</v>
      </c>
      <c r="P447" s="717"/>
      <c r="Q447" s="24">
        <f t="shared" si="76"/>
        <v>1</v>
      </c>
      <c r="R447" s="713">
        <f t="shared" si="77"/>
        <v>0</v>
      </c>
      <c r="S447" s="358">
        <f t="shared" si="78"/>
        <v>0</v>
      </c>
    </row>
    <row r="448" spans="1:19">
      <c r="A448" s="156"/>
      <c r="B448" s="59"/>
      <c r="C448" s="24">
        <f t="shared" si="69"/>
        <v>1</v>
      </c>
      <c r="D448" s="717"/>
      <c r="E448" s="24">
        <f t="shared" si="70"/>
        <v>1</v>
      </c>
      <c r="F448" s="717"/>
      <c r="G448" s="24">
        <f t="shared" si="71"/>
        <v>1</v>
      </c>
      <c r="H448" s="717"/>
      <c r="I448" s="24">
        <f t="shared" si="72"/>
        <v>1</v>
      </c>
      <c r="J448" s="717"/>
      <c r="K448" s="24">
        <f t="shared" si="73"/>
        <v>1</v>
      </c>
      <c r="L448" s="717"/>
      <c r="M448" s="24">
        <f t="shared" si="74"/>
        <v>1</v>
      </c>
      <c r="N448" s="717"/>
      <c r="O448" s="24">
        <f t="shared" si="75"/>
        <v>1</v>
      </c>
      <c r="P448" s="717"/>
      <c r="Q448" s="24">
        <f t="shared" si="76"/>
        <v>1</v>
      </c>
      <c r="R448" s="713">
        <f t="shared" si="77"/>
        <v>0</v>
      </c>
      <c r="S448" s="358">
        <f t="shared" si="78"/>
        <v>0</v>
      </c>
    </row>
    <row r="449" spans="1:19">
      <c r="A449" s="156"/>
      <c r="B449" s="59"/>
      <c r="C449" s="24">
        <f t="shared" si="69"/>
        <v>1</v>
      </c>
      <c r="D449" s="717"/>
      <c r="E449" s="24">
        <f t="shared" si="70"/>
        <v>1</v>
      </c>
      <c r="F449" s="717"/>
      <c r="G449" s="24">
        <f t="shared" si="71"/>
        <v>1</v>
      </c>
      <c r="H449" s="717"/>
      <c r="I449" s="24">
        <f t="shared" si="72"/>
        <v>1</v>
      </c>
      <c r="J449" s="717"/>
      <c r="K449" s="24">
        <f t="shared" si="73"/>
        <v>1</v>
      </c>
      <c r="L449" s="717"/>
      <c r="M449" s="24">
        <f t="shared" si="74"/>
        <v>1</v>
      </c>
      <c r="N449" s="717"/>
      <c r="O449" s="24">
        <f t="shared" si="75"/>
        <v>1</v>
      </c>
      <c r="P449" s="717"/>
      <c r="Q449" s="24">
        <f t="shared" si="76"/>
        <v>1</v>
      </c>
      <c r="R449" s="713">
        <f t="shared" si="77"/>
        <v>0</v>
      </c>
      <c r="S449" s="358">
        <f t="shared" si="78"/>
        <v>0</v>
      </c>
    </row>
    <row r="450" spans="1:19">
      <c r="A450" s="156"/>
      <c r="B450" s="59"/>
      <c r="C450" s="24">
        <f t="shared" si="69"/>
        <v>1</v>
      </c>
      <c r="D450" s="717"/>
      <c r="E450" s="24">
        <f t="shared" si="70"/>
        <v>1</v>
      </c>
      <c r="F450" s="717"/>
      <c r="G450" s="24">
        <f t="shared" si="71"/>
        <v>1</v>
      </c>
      <c r="H450" s="717"/>
      <c r="I450" s="24">
        <f t="shared" si="72"/>
        <v>1</v>
      </c>
      <c r="J450" s="717"/>
      <c r="K450" s="24">
        <f t="shared" si="73"/>
        <v>1</v>
      </c>
      <c r="L450" s="717"/>
      <c r="M450" s="24">
        <f t="shared" si="74"/>
        <v>1</v>
      </c>
      <c r="N450" s="717"/>
      <c r="O450" s="24">
        <f t="shared" si="75"/>
        <v>1</v>
      </c>
      <c r="P450" s="717"/>
      <c r="Q450" s="24">
        <f t="shared" si="76"/>
        <v>1</v>
      </c>
      <c r="R450" s="713">
        <f t="shared" si="77"/>
        <v>0</v>
      </c>
      <c r="S450" s="358">
        <f t="shared" si="78"/>
        <v>0</v>
      </c>
    </row>
    <row r="451" spans="1:19">
      <c r="A451" s="156"/>
      <c r="B451" s="59"/>
      <c r="C451" s="24">
        <f t="shared" si="69"/>
        <v>1</v>
      </c>
      <c r="D451" s="717"/>
      <c r="E451" s="24">
        <f t="shared" si="70"/>
        <v>1</v>
      </c>
      <c r="F451" s="717"/>
      <c r="G451" s="24">
        <f t="shared" si="71"/>
        <v>1</v>
      </c>
      <c r="H451" s="717"/>
      <c r="I451" s="24">
        <f t="shared" si="72"/>
        <v>1</v>
      </c>
      <c r="J451" s="717"/>
      <c r="K451" s="24">
        <f t="shared" si="73"/>
        <v>1</v>
      </c>
      <c r="L451" s="717"/>
      <c r="M451" s="24">
        <f t="shared" si="74"/>
        <v>1</v>
      </c>
      <c r="N451" s="717"/>
      <c r="O451" s="24">
        <f t="shared" si="75"/>
        <v>1</v>
      </c>
      <c r="P451" s="717"/>
      <c r="Q451" s="24">
        <f t="shared" si="76"/>
        <v>1</v>
      </c>
      <c r="R451" s="713">
        <f t="shared" si="77"/>
        <v>0</v>
      </c>
      <c r="S451" s="358">
        <f t="shared" si="78"/>
        <v>0</v>
      </c>
    </row>
    <row r="452" spans="1:19">
      <c r="A452" s="156"/>
      <c r="B452" s="59"/>
      <c r="C452" s="24">
        <f t="shared" si="69"/>
        <v>1</v>
      </c>
      <c r="D452" s="717"/>
      <c r="E452" s="24">
        <f t="shared" si="70"/>
        <v>1</v>
      </c>
      <c r="F452" s="717"/>
      <c r="G452" s="24">
        <f t="shared" si="71"/>
        <v>1</v>
      </c>
      <c r="H452" s="717"/>
      <c r="I452" s="24">
        <f t="shared" si="72"/>
        <v>1</v>
      </c>
      <c r="J452" s="717"/>
      <c r="K452" s="24">
        <f t="shared" si="73"/>
        <v>1</v>
      </c>
      <c r="L452" s="717"/>
      <c r="M452" s="24">
        <f t="shared" si="74"/>
        <v>1</v>
      </c>
      <c r="N452" s="717"/>
      <c r="O452" s="24">
        <f t="shared" si="75"/>
        <v>1</v>
      </c>
      <c r="P452" s="717"/>
      <c r="Q452" s="24">
        <f t="shared" si="76"/>
        <v>1</v>
      </c>
      <c r="R452" s="713">
        <f t="shared" si="77"/>
        <v>0</v>
      </c>
      <c r="S452" s="358">
        <f t="shared" si="78"/>
        <v>0</v>
      </c>
    </row>
    <row r="453" spans="1:19">
      <c r="A453" s="156"/>
      <c r="B453" s="59"/>
      <c r="C453" s="24">
        <f t="shared" si="69"/>
        <v>1</v>
      </c>
      <c r="D453" s="717"/>
      <c r="E453" s="24">
        <f t="shared" si="70"/>
        <v>1</v>
      </c>
      <c r="F453" s="717"/>
      <c r="G453" s="24">
        <f t="shared" si="71"/>
        <v>1</v>
      </c>
      <c r="H453" s="717"/>
      <c r="I453" s="24">
        <f t="shared" si="72"/>
        <v>1</v>
      </c>
      <c r="J453" s="717"/>
      <c r="K453" s="24">
        <f t="shared" si="73"/>
        <v>1</v>
      </c>
      <c r="L453" s="717"/>
      <c r="M453" s="24">
        <f t="shared" si="74"/>
        <v>1</v>
      </c>
      <c r="N453" s="717"/>
      <c r="O453" s="24">
        <f t="shared" si="75"/>
        <v>1</v>
      </c>
      <c r="P453" s="717"/>
      <c r="Q453" s="24">
        <f t="shared" si="76"/>
        <v>1</v>
      </c>
      <c r="R453" s="713">
        <f t="shared" si="77"/>
        <v>0</v>
      </c>
      <c r="S453" s="358">
        <f t="shared" si="78"/>
        <v>0</v>
      </c>
    </row>
    <row r="454" spans="1:19">
      <c r="A454" s="156"/>
      <c r="B454" s="59"/>
      <c r="C454" s="24">
        <f t="shared" si="69"/>
        <v>1</v>
      </c>
      <c r="D454" s="717"/>
      <c r="E454" s="24">
        <f t="shared" si="70"/>
        <v>1</v>
      </c>
      <c r="F454" s="717"/>
      <c r="G454" s="24">
        <f t="shared" si="71"/>
        <v>1</v>
      </c>
      <c r="H454" s="717"/>
      <c r="I454" s="24">
        <f t="shared" si="72"/>
        <v>1</v>
      </c>
      <c r="J454" s="717"/>
      <c r="K454" s="24">
        <f t="shared" si="73"/>
        <v>1</v>
      </c>
      <c r="L454" s="717"/>
      <c r="M454" s="24">
        <f t="shared" si="74"/>
        <v>1</v>
      </c>
      <c r="N454" s="717"/>
      <c r="O454" s="24">
        <f t="shared" si="75"/>
        <v>1</v>
      </c>
      <c r="P454" s="717"/>
      <c r="Q454" s="24">
        <f t="shared" si="76"/>
        <v>1</v>
      </c>
      <c r="R454" s="713">
        <f t="shared" si="77"/>
        <v>0</v>
      </c>
      <c r="S454" s="358">
        <f t="shared" si="78"/>
        <v>0</v>
      </c>
    </row>
    <row r="455" spans="1:19">
      <c r="A455" s="156"/>
      <c r="B455" s="59"/>
      <c r="C455" s="24">
        <f t="shared" si="69"/>
        <v>1</v>
      </c>
      <c r="D455" s="717"/>
      <c r="E455" s="24">
        <f t="shared" si="70"/>
        <v>1</v>
      </c>
      <c r="F455" s="717"/>
      <c r="G455" s="24">
        <f t="shared" si="71"/>
        <v>1</v>
      </c>
      <c r="H455" s="717"/>
      <c r="I455" s="24">
        <f t="shared" si="72"/>
        <v>1</v>
      </c>
      <c r="J455" s="717"/>
      <c r="K455" s="24">
        <f t="shared" si="73"/>
        <v>1</v>
      </c>
      <c r="L455" s="717"/>
      <c r="M455" s="24">
        <f t="shared" si="74"/>
        <v>1</v>
      </c>
      <c r="N455" s="717"/>
      <c r="O455" s="24">
        <f t="shared" si="75"/>
        <v>1</v>
      </c>
      <c r="P455" s="717"/>
      <c r="Q455" s="24">
        <f t="shared" si="76"/>
        <v>1</v>
      </c>
      <c r="R455" s="713">
        <f t="shared" si="77"/>
        <v>0</v>
      </c>
      <c r="S455" s="358">
        <f t="shared" si="78"/>
        <v>0</v>
      </c>
    </row>
    <row r="456" spans="1:19">
      <c r="A456" s="156"/>
      <c r="B456" s="59"/>
      <c r="C456" s="24">
        <f t="shared" si="69"/>
        <v>1</v>
      </c>
      <c r="D456" s="717"/>
      <c r="E456" s="24">
        <f t="shared" si="70"/>
        <v>1</v>
      </c>
      <c r="F456" s="717"/>
      <c r="G456" s="24">
        <f t="shared" si="71"/>
        <v>1</v>
      </c>
      <c r="H456" s="717"/>
      <c r="I456" s="24">
        <f t="shared" si="72"/>
        <v>1</v>
      </c>
      <c r="J456" s="717"/>
      <c r="K456" s="24">
        <f t="shared" si="73"/>
        <v>1</v>
      </c>
      <c r="L456" s="717"/>
      <c r="M456" s="24">
        <f t="shared" si="74"/>
        <v>1</v>
      </c>
      <c r="N456" s="717"/>
      <c r="O456" s="24">
        <f t="shared" si="75"/>
        <v>1</v>
      </c>
      <c r="P456" s="717"/>
      <c r="Q456" s="24">
        <f t="shared" si="76"/>
        <v>1</v>
      </c>
      <c r="R456" s="713">
        <f t="shared" si="77"/>
        <v>0</v>
      </c>
      <c r="S456" s="358">
        <f t="shared" si="78"/>
        <v>0</v>
      </c>
    </row>
    <row r="457" spans="1:19">
      <c r="A457" s="156"/>
      <c r="B457" s="59"/>
      <c r="C457" s="24">
        <f t="shared" si="69"/>
        <v>1</v>
      </c>
      <c r="D457" s="717"/>
      <c r="E457" s="24">
        <f t="shared" si="70"/>
        <v>1</v>
      </c>
      <c r="F457" s="717"/>
      <c r="G457" s="24">
        <f t="shared" si="71"/>
        <v>1</v>
      </c>
      <c r="H457" s="717"/>
      <c r="I457" s="24">
        <f t="shared" si="72"/>
        <v>1</v>
      </c>
      <c r="J457" s="717"/>
      <c r="K457" s="24">
        <f t="shared" si="73"/>
        <v>1</v>
      </c>
      <c r="L457" s="717"/>
      <c r="M457" s="24">
        <f t="shared" si="74"/>
        <v>1</v>
      </c>
      <c r="N457" s="717"/>
      <c r="O457" s="24">
        <f t="shared" si="75"/>
        <v>1</v>
      </c>
      <c r="P457" s="717"/>
      <c r="Q457" s="24">
        <f t="shared" si="76"/>
        <v>1</v>
      </c>
      <c r="R457" s="713">
        <f t="shared" si="77"/>
        <v>0</v>
      </c>
      <c r="S457" s="358">
        <f t="shared" si="78"/>
        <v>0</v>
      </c>
    </row>
    <row r="458" spans="1:19">
      <c r="A458" s="156"/>
      <c r="B458" s="59"/>
      <c r="C458" s="24">
        <f t="shared" si="69"/>
        <v>1</v>
      </c>
      <c r="D458" s="717"/>
      <c r="E458" s="24">
        <f t="shared" si="70"/>
        <v>1</v>
      </c>
      <c r="F458" s="717"/>
      <c r="G458" s="24">
        <f t="shared" si="71"/>
        <v>1</v>
      </c>
      <c r="H458" s="717"/>
      <c r="I458" s="24">
        <f t="shared" si="72"/>
        <v>1</v>
      </c>
      <c r="J458" s="717"/>
      <c r="K458" s="24">
        <f t="shared" si="73"/>
        <v>1</v>
      </c>
      <c r="L458" s="717"/>
      <c r="M458" s="24">
        <f t="shared" si="74"/>
        <v>1</v>
      </c>
      <c r="N458" s="717"/>
      <c r="O458" s="24">
        <f t="shared" si="75"/>
        <v>1</v>
      </c>
      <c r="P458" s="717"/>
      <c r="Q458" s="24">
        <f t="shared" si="76"/>
        <v>1</v>
      </c>
      <c r="R458" s="713">
        <f t="shared" si="77"/>
        <v>0</v>
      </c>
      <c r="S458" s="358">
        <f t="shared" si="78"/>
        <v>0</v>
      </c>
    </row>
    <row r="459" spans="1:19">
      <c r="A459" s="156"/>
      <c r="B459" s="59"/>
      <c r="C459" s="24">
        <f t="shared" si="69"/>
        <v>1</v>
      </c>
      <c r="D459" s="717"/>
      <c r="E459" s="24">
        <f t="shared" si="70"/>
        <v>1</v>
      </c>
      <c r="F459" s="717"/>
      <c r="G459" s="24">
        <f t="shared" si="71"/>
        <v>1</v>
      </c>
      <c r="H459" s="717"/>
      <c r="I459" s="24">
        <f t="shared" si="72"/>
        <v>1</v>
      </c>
      <c r="J459" s="717"/>
      <c r="K459" s="24">
        <f t="shared" si="73"/>
        <v>1</v>
      </c>
      <c r="L459" s="717"/>
      <c r="M459" s="24">
        <f t="shared" si="74"/>
        <v>1</v>
      </c>
      <c r="N459" s="717"/>
      <c r="O459" s="24">
        <f t="shared" si="75"/>
        <v>1</v>
      </c>
      <c r="P459" s="717"/>
      <c r="Q459" s="24">
        <f t="shared" si="76"/>
        <v>1</v>
      </c>
      <c r="R459" s="713">
        <f t="shared" si="77"/>
        <v>0</v>
      </c>
      <c r="S459" s="358">
        <f t="shared" si="78"/>
        <v>0</v>
      </c>
    </row>
    <row r="460" spans="1:19">
      <c r="A460" s="156"/>
      <c r="B460" s="59"/>
      <c r="C460" s="24">
        <f t="shared" si="69"/>
        <v>1</v>
      </c>
      <c r="D460" s="717"/>
      <c r="E460" s="24">
        <f t="shared" si="70"/>
        <v>1</v>
      </c>
      <c r="F460" s="717"/>
      <c r="G460" s="24">
        <f t="shared" si="71"/>
        <v>1</v>
      </c>
      <c r="H460" s="717"/>
      <c r="I460" s="24">
        <f t="shared" si="72"/>
        <v>1</v>
      </c>
      <c r="J460" s="717"/>
      <c r="K460" s="24">
        <f t="shared" si="73"/>
        <v>1</v>
      </c>
      <c r="L460" s="717"/>
      <c r="M460" s="24">
        <f t="shared" si="74"/>
        <v>1</v>
      </c>
      <c r="N460" s="717"/>
      <c r="O460" s="24">
        <f t="shared" si="75"/>
        <v>1</v>
      </c>
      <c r="P460" s="717"/>
      <c r="Q460" s="24">
        <f t="shared" si="76"/>
        <v>1</v>
      </c>
      <c r="R460" s="713">
        <f t="shared" si="77"/>
        <v>0</v>
      </c>
      <c r="S460" s="358">
        <f t="shared" si="78"/>
        <v>0</v>
      </c>
    </row>
    <row r="461" spans="1:19">
      <c r="A461" s="156"/>
      <c r="B461" s="59"/>
      <c r="C461" s="24">
        <f t="shared" si="69"/>
        <v>1</v>
      </c>
      <c r="D461" s="717"/>
      <c r="E461" s="24">
        <f t="shared" si="70"/>
        <v>1</v>
      </c>
      <c r="F461" s="717"/>
      <c r="G461" s="24">
        <f t="shared" si="71"/>
        <v>1</v>
      </c>
      <c r="H461" s="717"/>
      <c r="I461" s="24">
        <f t="shared" si="72"/>
        <v>1</v>
      </c>
      <c r="J461" s="717"/>
      <c r="K461" s="24">
        <f t="shared" si="73"/>
        <v>1</v>
      </c>
      <c r="L461" s="717"/>
      <c r="M461" s="24">
        <f t="shared" si="74"/>
        <v>1</v>
      </c>
      <c r="N461" s="717"/>
      <c r="O461" s="24">
        <f t="shared" si="75"/>
        <v>1</v>
      </c>
      <c r="P461" s="717"/>
      <c r="Q461" s="24">
        <f t="shared" si="76"/>
        <v>1</v>
      </c>
      <c r="R461" s="713">
        <f t="shared" si="77"/>
        <v>0</v>
      </c>
      <c r="S461" s="358">
        <f t="shared" si="78"/>
        <v>0</v>
      </c>
    </row>
    <row r="462" spans="1:19">
      <c r="A462" s="156"/>
      <c r="B462" s="59"/>
      <c r="C462" s="24">
        <f t="shared" si="69"/>
        <v>1</v>
      </c>
      <c r="D462" s="717"/>
      <c r="E462" s="24">
        <f t="shared" si="70"/>
        <v>1</v>
      </c>
      <c r="F462" s="717"/>
      <c r="G462" s="24">
        <f t="shared" si="71"/>
        <v>1</v>
      </c>
      <c r="H462" s="717"/>
      <c r="I462" s="24">
        <f t="shared" si="72"/>
        <v>1</v>
      </c>
      <c r="J462" s="717"/>
      <c r="K462" s="24">
        <f t="shared" si="73"/>
        <v>1</v>
      </c>
      <c r="L462" s="717"/>
      <c r="M462" s="24">
        <f t="shared" si="74"/>
        <v>1</v>
      </c>
      <c r="N462" s="717"/>
      <c r="O462" s="24">
        <f t="shared" si="75"/>
        <v>1</v>
      </c>
      <c r="P462" s="717"/>
      <c r="Q462" s="24">
        <f t="shared" si="76"/>
        <v>1</v>
      </c>
      <c r="R462" s="713">
        <f t="shared" si="77"/>
        <v>0</v>
      </c>
      <c r="S462" s="358">
        <f t="shared" si="78"/>
        <v>0</v>
      </c>
    </row>
    <row r="463" spans="1:19">
      <c r="A463" s="156"/>
      <c r="B463" s="59"/>
      <c r="C463" s="24">
        <f t="shared" si="69"/>
        <v>1</v>
      </c>
      <c r="D463" s="717"/>
      <c r="E463" s="24">
        <f t="shared" si="70"/>
        <v>1</v>
      </c>
      <c r="F463" s="717"/>
      <c r="G463" s="24">
        <f t="shared" si="71"/>
        <v>1</v>
      </c>
      <c r="H463" s="717"/>
      <c r="I463" s="24">
        <f t="shared" si="72"/>
        <v>1</v>
      </c>
      <c r="J463" s="717"/>
      <c r="K463" s="24">
        <f t="shared" si="73"/>
        <v>1</v>
      </c>
      <c r="L463" s="717"/>
      <c r="M463" s="24">
        <f t="shared" si="74"/>
        <v>1</v>
      </c>
      <c r="N463" s="717"/>
      <c r="O463" s="24">
        <f t="shared" si="75"/>
        <v>1</v>
      </c>
      <c r="P463" s="717"/>
      <c r="Q463" s="24">
        <f t="shared" si="76"/>
        <v>1</v>
      </c>
      <c r="R463" s="713">
        <f t="shared" si="77"/>
        <v>0</v>
      </c>
      <c r="S463" s="358">
        <f t="shared" si="78"/>
        <v>0</v>
      </c>
    </row>
    <row r="464" spans="1:19">
      <c r="A464" s="156"/>
      <c r="B464" s="59"/>
      <c r="C464" s="24">
        <f t="shared" si="69"/>
        <v>1</v>
      </c>
      <c r="D464" s="717"/>
      <c r="E464" s="24">
        <f t="shared" si="70"/>
        <v>1</v>
      </c>
      <c r="F464" s="717"/>
      <c r="G464" s="24">
        <f t="shared" si="71"/>
        <v>1</v>
      </c>
      <c r="H464" s="717"/>
      <c r="I464" s="24">
        <f t="shared" si="72"/>
        <v>1</v>
      </c>
      <c r="J464" s="717"/>
      <c r="K464" s="24">
        <f t="shared" si="73"/>
        <v>1</v>
      </c>
      <c r="L464" s="717"/>
      <c r="M464" s="24">
        <f t="shared" si="74"/>
        <v>1</v>
      </c>
      <c r="N464" s="717"/>
      <c r="O464" s="24">
        <f t="shared" si="75"/>
        <v>1</v>
      </c>
      <c r="P464" s="717"/>
      <c r="Q464" s="24">
        <f t="shared" si="76"/>
        <v>1</v>
      </c>
      <c r="R464" s="713">
        <f t="shared" si="77"/>
        <v>0</v>
      </c>
      <c r="S464" s="358">
        <f t="shared" si="78"/>
        <v>0</v>
      </c>
    </row>
    <row r="465" spans="1:19">
      <c r="A465" s="156"/>
      <c r="B465" s="59"/>
      <c r="C465" s="24">
        <f t="shared" si="69"/>
        <v>1</v>
      </c>
      <c r="D465" s="717"/>
      <c r="E465" s="24">
        <f t="shared" si="70"/>
        <v>1</v>
      </c>
      <c r="F465" s="717"/>
      <c r="G465" s="24">
        <f t="shared" si="71"/>
        <v>1</v>
      </c>
      <c r="H465" s="717"/>
      <c r="I465" s="24">
        <f t="shared" si="72"/>
        <v>1</v>
      </c>
      <c r="J465" s="717"/>
      <c r="K465" s="24">
        <f t="shared" si="73"/>
        <v>1</v>
      </c>
      <c r="L465" s="717"/>
      <c r="M465" s="24">
        <f t="shared" si="74"/>
        <v>1</v>
      </c>
      <c r="N465" s="717"/>
      <c r="O465" s="24">
        <f t="shared" si="75"/>
        <v>1</v>
      </c>
      <c r="P465" s="717"/>
      <c r="Q465" s="24">
        <f t="shared" si="76"/>
        <v>1</v>
      </c>
      <c r="R465" s="713">
        <f t="shared" si="77"/>
        <v>0</v>
      </c>
      <c r="S465" s="358">
        <f t="shared" si="78"/>
        <v>0</v>
      </c>
    </row>
    <row r="466" spans="1:19">
      <c r="A466" s="156"/>
      <c r="B466" s="59"/>
      <c r="C466" s="24">
        <f t="shared" si="69"/>
        <v>1</v>
      </c>
      <c r="D466" s="717"/>
      <c r="E466" s="24">
        <f t="shared" si="70"/>
        <v>1</v>
      </c>
      <c r="F466" s="717"/>
      <c r="G466" s="24">
        <f t="shared" si="71"/>
        <v>1</v>
      </c>
      <c r="H466" s="717"/>
      <c r="I466" s="24">
        <f t="shared" si="72"/>
        <v>1</v>
      </c>
      <c r="J466" s="717"/>
      <c r="K466" s="24">
        <f t="shared" si="73"/>
        <v>1</v>
      </c>
      <c r="L466" s="717"/>
      <c r="M466" s="24">
        <f t="shared" si="74"/>
        <v>1</v>
      </c>
      <c r="N466" s="717"/>
      <c r="O466" s="24">
        <f t="shared" si="75"/>
        <v>1</v>
      </c>
      <c r="P466" s="717"/>
      <c r="Q466" s="24">
        <f t="shared" si="76"/>
        <v>1</v>
      </c>
      <c r="R466" s="713">
        <f t="shared" si="77"/>
        <v>0</v>
      </c>
      <c r="S466" s="358">
        <f t="shared" si="78"/>
        <v>0</v>
      </c>
    </row>
    <row r="467" spans="1:19">
      <c r="A467" s="156"/>
      <c r="B467" s="59"/>
      <c r="C467" s="24">
        <f t="shared" si="69"/>
        <v>1</v>
      </c>
      <c r="D467" s="717"/>
      <c r="E467" s="24">
        <f t="shared" si="70"/>
        <v>1</v>
      </c>
      <c r="F467" s="717"/>
      <c r="G467" s="24">
        <f t="shared" si="71"/>
        <v>1</v>
      </c>
      <c r="H467" s="717"/>
      <c r="I467" s="24">
        <f t="shared" si="72"/>
        <v>1</v>
      </c>
      <c r="J467" s="717"/>
      <c r="K467" s="24">
        <f t="shared" si="73"/>
        <v>1</v>
      </c>
      <c r="L467" s="717"/>
      <c r="M467" s="24">
        <f t="shared" si="74"/>
        <v>1</v>
      </c>
      <c r="N467" s="717"/>
      <c r="O467" s="24">
        <f t="shared" si="75"/>
        <v>1</v>
      </c>
      <c r="P467" s="717"/>
      <c r="Q467" s="24">
        <f t="shared" si="76"/>
        <v>1</v>
      </c>
      <c r="R467" s="713">
        <f t="shared" si="77"/>
        <v>0</v>
      </c>
      <c r="S467" s="358">
        <f t="shared" si="78"/>
        <v>0</v>
      </c>
    </row>
    <row r="468" spans="1:19">
      <c r="A468" s="156"/>
      <c r="B468" s="59"/>
      <c r="C468" s="24">
        <f t="shared" si="69"/>
        <v>1</v>
      </c>
      <c r="D468" s="717"/>
      <c r="E468" s="24">
        <f t="shared" si="70"/>
        <v>1</v>
      </c>
      <c r="F468" s="717"/>
      <c r="G468" s="24">
        <f t="shared" si="71"/>
        <v>1</v>
      </c>
      <c r="H468" s="717"/>
      <c r="I468" s="24">
        <f t="shared" si="72"/>
        <v>1</v>
      </c>
      <c r="J468" s="717"/>
      <c r="K468" s="24">
        <f t="shared" si="73"/>
        <v>1</v>
      </c>
      <c r="L468" s="717"/>
      <c r="M468" s="24">
        <f t="shared" si="74"/>
        <v>1</v>
      </c>
      <c r="N468" s="717"/>
      <c r="O468" s="24">
        <f t="shared" si="75"/>
        <v>1</v>
      </c>
      <c r="P468" s="717"/>
      <c r="Q468" s="24">
        <f t="shared" si="76"/>
        <v>1</v>
      </c>
      <c r="R468" s="713">
        <f t="shared" si="77"/>
        <v>0</v>
      </c>
      <c r="S468" s="358">
        <f t="shared" ref="S468:S497" si="79">ROUND(R468*B468/10000,0)</f>
        <v>0</v>
      </c>
    </row>
    <row r="469" spans="1:19">
      <c r="A469" s="156"/>
      <c r="B469" s="59"/>
      <c r="C469" s="24">
        <f t="shared" si="69"/>
        <v>1</v>
      </c>
      <c r="D469" s="717"/>
      <c r="E469" s="24">
        <f t="shared" si="70"/>
        <v>1</v>
      </c>
      <c r="F469" s="717"/>
      <c r="G469" s="24">
        <f t="shared" si="71"/>
        <v>1</v>
      </c>
      <c r="H469" s="717"/>
      <c r="I469" s="24">
        <f t="shared" si="72"/>
        <v>1</v>
      </c>
      <c r="J469" s="717"/>
      <c r="K469" s="24">
        <f t="shared" si="73"/>
        <v>1</v>
      </c>
      <c r="L469" s="717"/>
      <c r="M469" s="24">
        <f t="shared" si="74"/>
        <v>1</v>
      </c>
      <c r="N469" s="717"/>
      <c r="O469" s="24">
        <f t="shared" si="75"/>
        <v>1</v>
      </c>
      <c r="P469" s="717"/>
      <c r="Q469" s="24">
        <f t="shared" si="76"/>
        <v>1</v>
      </c>
      <c r="R469" s="713">
        <f t="shared" si="77"/>
        <v>0</v>
      </c>
      <c r="S469" s="358">
        <f t="shared" si="79"/>
        <v>0</v>
      </c>
    </row>
    <row r="470" spans="1:19">
      <c r="A470" s="156"/>
      <c r="B470" s="59"/>
      <c r="C470" s="24">
        <f t="shared" si="69"/>
        <v>1</v>
      </c>
      <c r="D470" s="717"/>
      <c r="E470" s="24">
        <f t="shared" si="70"/>
        <v>1</v>
      </c>
      <c r="F470" s="717"/>
      <c r="G470" s="24">
        <f t="shared" si="71"/>
        <v>1</v>
      </c>
      <c r="H470" s="717"/>
      <c r="I470" s="24">
        <f t="shared" si="72"/>
        <v>1</v>
      </c>
      <c r="J470" s="717"/>
      <c r="K470" s="24">
        <f t="shared" si="73"/>
        <v>1</v>
      </c>
      <c r="L470" s="717"/>
      <c r="M470" s="24">
        <f t="shared" si="74"/>
        <v>1</v>
      </c>
      <c r="N470" s="717"/>
      <c r="O470" s="24">
        <f t="shared" si="75"/>
        <v>1</v>
      </c>
      <c r="P470" s="717"/>
      <c r="Q470" s="24">
        <f t="shared" si="76"/>
        <v>1</v>
      </c>
      <c r="R470" s="713">
        <f t="shared" si="77"/>
        <v>0</v>
      </c>
      <c r="S470" s="358">
        <f t="shared" si="79"/>
        <v>0</v>
      </c>
    </row>
    <row r="471" spans="1:19">
      <c r="A471" s="156"/>
      <c r="B471" s="59"/>
      <c r="C471" s="24">
        <f t="shared" si="69"/>
        <v>1</v>
      </c>
      <c r="D471" s="717"/>
      <c r="E471" s="24">
        <f t="shared" si="70"/>
        <v>1</v>
      </c>
      <c r="F471" s="717"/>
      <c r="G471" s="24">
        <f t="shared" si="71"/>
        <v>1</v>
      </c>
      <c r="H471" s="717"/>
      <c r="I471" s="24">
        <f t="shared" si="72"/>
        <v>1</v>
      </c>
      <c r="J471" s="717"/>
      <c r="K471" s="24">
        <f t="shared" si="73"/>
        <v>1</v>
      </c>
      <c r="L471" s="717"/>
      <c r="M471" s="24">
        <f t="shared" si="74"/>
        <v>1</v>
      </c>
      <c r="N471" s="717"/>
      <c r="O471" s="24">
        <f t="shared" si="75"/>
        <v>1</v>
      </c>
      <c r="P471" s="717"/>
      <c r="Q471" s="24">
        <f t="shared" si="76"/>
        <v>1</v>
      </c>
      <c r="R471" s="713">
        <f t="shared" si="77"/>
        <v>0</v>
      </c>
      <c r="S471" s="358">
        <f t="shared" si="79"/>
        <v>0</v>
      </c>
    </row>
    <row r="472" spans="1:19">
      <c r="A472" s="156"/>
      <c r="B472" s="59"/>
      <c r="C472" s="24">
        <f t="shared" si="69"/>
        <v>1</v>
      </c>
      <c r="D472" s="717"/>
      <c r="E472" s="24">
        <f t="shared" si="70"/>
        <v>1</v>
      </c>
      <c r="F472" s="717"/>
      <c r="G472" s="24">
        <f t="shared" si="71"/>
        <v>1</v>
      </c>
      <c r="H472" s="717"/>
      <c r="I472" s="24">
        <f t="shared" si="72"/>
        <v>1</v>
      </c>
      <c r="J472" s="717"/>
      <c r="K472" s="24">
        <f t="shared" si="73"/>
        <v>1</v>
      </c>
      <c r="L472" s="717"/>
      <c r="M472" s="24">
        <f t="shared" si="74"/>
        <v>1</v>
      </c>
      <c r="N472" s="717"/>
      <c r="O472" s="24">
        <f t="shared" si="75"/>
        <v>1</v>
      </c>
      <c r="P472" s="717"/>
      <c r="Q472" s="24">
        <f t="shared" si="76"/>
        <v>1</v>
      </c>
      <c r="R472" s="713">
        <f t="shared" si="77"/>
        <v>0</v>
      </c>
      <c r="S472" s="358">
        <f t="shared" si="79"/>
        <v>0</v>
      </c>
    </row>
    <row r="473" spans="1:19">
      <c r="A473" s="156"/>
      <c r="B473" s="59"/>
      <c r="C473" s="24">
        <f t="shared" si="69"/>
        <v>1</v>
      </c>
      <c r="D473" s="717"/>
      <c r="E473" s="24">
        <f t="shared" si="70"/>
        <v>1</v>
      </c>
      <c r="F473" s="717"/>
      <c r="G473" s="24">
        <f t="shared" si="71"/>
        <v>1</v>
      </c>
      <c r="H473" s="717"/>
      <c r="I473" s="24">
        <f t="shared" si="72"/>
        <v>1</v>
      </c>
      <c r="J473" s="717"/>
      <c r="K473" s="24">
        <f t="shared" si="73"/>
        <v>1</v>
      </c>
      <c r="L473" s="717"/>
      <c r="M473" s="24">
        <f t="shared" si="74"/>
        <v>1</v>
      </c>
      <c r="N473" s="717"/>
      <c r="O473" s="24">
        <f t="shared" si="75"/>
        <v>1</v>
      </c>
      <c r="P473" s="717"/>
      <c r="Q473" s="24">
        <f t="shared" si="76"/>
        <v>1</v>
      </c>
      <c r="R473" s="713">
        <f t="shared" si="77"/>
        <v>0</v>
      </c>
      <c r="S473" s="358">
        <f t="shared" si="79"/>
        <v>0</v>
      </c>
    </row>
    <row r="474" spans="1:19">
      <c r="A474" s="156"/>
      <c r="B474" s="59"/>
      <c r="C474" s="24">
        <f t="shared" ref="C474:C524" si="80">IF(B474="",1,(LOOKUP(B474,$3:$3,$4:$4)-LOOKUP($B$24,$3:$3,$4:$4)+100)/100)</f>
        <v>1</v>
      </c>
      <c r="D474" s="717"/>
      <c r="E474" s="24">
        <f t="shared" ref="E474:E524" si="81">(SUMIF($5:$5,D474,$6:$6)-SUMIF($5:$5,$D$24,$6:$6)+100)/100</f>
        <v>1</v>
      </c>
      <c r="F474" s="717"/>
      <c r="G474" s="24">
        <f t="shared" ref="G474:G524" si="82">(SUMIF($7:$7,F474,$8:$8)-SUMIF($7:$7,$F$24,$8:$8)+100)/100</f>
        <v>1</v>
      </c>
      <c r="H474" s="717"/>
      <c r="I474" s="24">
        <f t="shared" ref="I474:I524" si="83">(SUMIF($9:$9,H474,$10:$10)-SUMIF($9:$9,$H$24,$10:$10)+100)/100</f>
        <v>1</v>
      </c>
      <c r="J474" s="717"/>
      <c r="K474" s="24">
        <f t="shared" ref="K474:K524" si="84">(SUMIF($11:$11,J474,$12:$12)-SUMIF($11:$11,$J$24,$12:$12)+100)/100</f>
        <v>1</v>
      </c>
      <c r="L474" s="717"/>
      <c r="M474" s="24">
        <f t="shared" ref="M474:M524" si="85">(SUMIF($13:$13,L474,$14:$14)-SUMIF($13:$13,$L$24,$14:$14)+100)/100</f>
        <v>1</v>
      </c>
      <c r="N474" s="717"/>
      <c r="O474" s="24">
        <f t="shared" ref="O474:O524" si="86">(SUMIF($15:$15,N474,$16:$16)-SUMIF($15:$15,$N$24,$16:$16)+100)/100</f>
        <v>1</v>
      </c>
      <c r="P474" s="717"/>
      <c r="Q474" s="24">
        <f t="shared" ref="Q474:Q524" si="87">(SUMIF($17:$17,P474,$18:$18)-SUMIF($17:$17,$P$24,$18:$18)+100)/100</f>
        <v>1</v>
      </c>
      <c r="R474" s="713">
        <f t="shared" ref="R474:R524" si="88">IF(B474="",0,ROUND($R$24*C474*E474*G474*I474*K474*M474*O474*Q474,0))</f>
        <v>0</v>
      </c>
      <c r="S474" s="358">
        <f t="shared" si="79"/>
        <v>0</v>
      </c>
    </row>
    <row r="475" spans="1:19">
      <c r="A475" s="156"/>
      <c r="B475" s="59"/>
      <c r="C475" s="24">
        <f t="shared" si="80"/>
        <v>1</v>
      </c>
      <c r="D475" s="717"/>
      <c r="E475" s="24">
        <f t="shared" si="81"/>
        <v>1</v>
      </c>
      <c r="F475" s="717"/>
      <c r="G475" s="24">
        <f t="shared" si="82"/>
        <v>1</v>
      </c>
      <c r="H475" s="717"/>
      <c r="I475" s="24">
        <f t="shared" si="83"/>
        <v>1</v>
      </c>
      <c r="J475" s="717"/>
      <c r="K475" s="24">
        <f t="shared" si="84"/>
        <v>1</v>
      </c>
      <c r="L475" s="717"/>
      <c r="M475" s="24">
        <f t="shared" si="85"/>
        <v>1</v>
      </c>
      <c r="N475" s="717"/>
      <c r="O475" s="24">
        <f t="shared" si="86"/>
        <v>1</v>
      </c>
      <c r="P475" s="717"/>
      <c r="Q475" s="24">
        <f t="shared" si="87"/>
        <v>1</v>
      </c>
      <c r="R475" s="713">
        <f t="shared" si="88"/>
        <v>0</v>
      </c>
      <c r="S475" s="358">
        <f t="shared" si="79"/>
        <v>0</v>
      </c>
    </row>
    <row r="476" spans="1:19">
      <c r="A476" s="156"/>
      <c r="B476" s="59"/>
      <c r="C476" s="24">
        <f t="shared" si="80"/>
        <v>1</v>
      </c>
      <c r="D476" s="717"/>
      <c r="E476" s="24">
        <f t="shared" si="81"/>
        <v>1</v>
      </c>
      <c r="F476" s="717"/>
      <c r="G476" s="24">
        <f t="shared" si="82"/>
        <v>1</v>
      </c>
      <c r="H476" s="717"/>
      <c r="I476" s="24">
        <f t="shared" si="83"/>
        <v>1</v>
      </c>
      <c r="J476" s="717"/>
      <c r="K476" s="24">
        <f t="shared" si="84"/>
        <v>1</v>
      </c>
      <c r="L476" s="717"/>
      <c r="M476" s="24">
        <f t="shared" si="85"/>
        <v>1</v>
      </c>
      <c r="N476" s="717"/>
      <c r="O476" s="24">
        <f t="shared" si="86"/>
        <v>1</v>
      </c>
      <c r="P476" s="717"/>
      <c r="Q476" s="24">
        <f t="shared" si="87"/>
        <v>1</v>
      </c>
      <c r="R476" s="713">
        <f t="shared" si="88"/>
        <v>0</v>
      </c>
      <c r="S476" s="358">
        <f t="shared" si="79"/>
        <v>0</v>
      </c>
    </row>
    <row r="477" spans="1:19">
      <c r="A477" s="156"/>
      <c r="B477" s="59"/>
      <c r="C477" s="24">
        <f t="shared" si="80"/>
        <v>1</v>
      </c>
      <c r="D477" s="717"/>
      <c r="E477" s="24">
        <f t="shared" si="81"/>
        <v>1</v>
      </c>
      <c r="F477" s="717"/>
      <c r="G477" s="24">
        <f t="shared" si="82"/>
        <v>1</v>
      </c>
      <c r="H477" s="717"/>
      <c r="I477" s="24">
        <f t="shared" si="83"/>
        <v>1</v>
      </c>
      <c r="J477" s="717"/>
      <c r="K477" s="24">
        <f t="shared" si="84"/>
        <v>1</v>
      </c>
      <c r="L477" s="717"/>
      <c r="M477" s="24">
        <f t="shared" si="85"/>
        <v>1</v>
      </c>
      <c r="N477" s="717"/>
      <c r="O477" s="24">
        <f t="shared" si="86"/>
        <v>1</v>
      </c>
      <c r="P477" s="717"/>
      <c r="Q477" s="24">
        <f t="shared" si="87"/>
        <v>1</v>
      </c>
      <c r="R477" s="713">
        <f t="shared" si="88"/>
        <v>0</v>
      </c>
      <c r="S477" s="358">
        <f t="shared" si="79"/>
        <v>0</v>
      </c>
    </row>
    <row r="478" spans="1:19">
      <c r="A478" s="156"/>
      <c r="B478" s="59"/>
      <c r="C478" s="24">
        <f t="shared" si="80"/>
        <v>1</v>
      </c>
      <c r="D478" s="717"/>
      <c r="E478" s="24">
        <f t="shared" si="81"/>
        <v>1</v>
      </c>
      <c r="F478" s="717"/>
      <c r="G478" s="24">
        <f t="shared" si="82"/>
        <v>1</v>
      </c>
      <c r="H478" s="717"/>
      <c r="I478" s="24">
        <f t="shared" si="83"/>
        <v>1</v>
      </c>
      <c r="J478" s="717"/>
      <c r="K478" s="24">
        <f t="shared" si="84"/>
        <v>1</v>
      </c>
      <c r="L478" s="717"/>
      <c r="M478" s="24">
        <f t="shared" si="85"/>
        <v>1</v>
      </c>
      <c r="N478" s="717"/>
      <c r="O478" s="24">
        <f t="shared" si="86"/>
        <v>1</v>
      </c>
      <c r="P478" s="717"/>
      <c r="Q478" s="24">
        <f t="shared" si="87"/>
        <v>1</v>
      </c>
      <c r="R478" s="713">
        <f t="shared" si="88"/>
        <v>0</v>
      </c>
      <c r="S478" s="358">
        <f t="shared" si="79"/>
        <v>0</v>
      </c>
    </row>
    <row r="479" spans="1:19">
      <c r="A479" s="156"/>
      <c r="B479" s="59"/>
      <c r="C479" s="24">
        <f t="shared" si="80"/>
        <v>1</v>
      </c>
      <c r="D479" s="717"/>
      <c r="E479" s="24">
        <f t="shared" si="81"/>
        <v>1</v>
      </c>
      <c r="F479" s="717"/>
      <c r="G479" s="24">
        <f t="shared" si="82"/>
        <v>1</v>
      </c>
      <c r="H479" s="717"/>
      <c r="I479" s="24">
        <f t="shared" si="83"/>
        <v>1</v>
      </c>
      <c r="J479" s="717"/>
      <c r="K479" s="24">
        <f t="shared" si="84"/>
        <v>1</v>
      </c>
      <c r="L479" s="717"/>
      <c r="M479" s="24">
        <f t="shared" si="85"/>
        <v>1</v>
      </c>
      <c r="N479" s="717"/>
      <c r="O479" s="24">
        <f t="shared" si="86"/>
        <v>1</v>
      </c>
      <c r="P479" s="717"/>
      <c r="Q479" s="24">
        <f t="shared" si="87"/>
        <v>1</v>
      </c>
      <c r="R479" s="713">
        <f t="shared" si="88"/>
        <v>0</v>
      </c>
      <c r="S479" s="358">
        <f t="shared" si="79"/>
        <v>0</v>
      </c>
    </row>
    <row r="480" spans="1:19">
      <c r="A480" s="156"/>
      <c r="B480" s="59"/>
      <c r="C480" s="24">
        <f t="shared" si="80"/>
        <v>1</v>
      </c>
      <c r="D480" s="717"/>
      <c r="E480" s="24">
        <f t="shared" si="81"/>
        <v>1</v>
      </c>
      <c r="F480" s="717"/>
      <c r="G480" s="24">
        <f t="shared" si="82"/>
        <v>1</v>
      </c>
      <c r="H480" s="717"/>
      <c r="I480" s="24">
        <f t="shared" si="83"/>
        <v>1</v>
      </c>
      <c r="J480" s="717"/>
      <c r="K480" s="24">
        <f t="shared" si="84"/>
        <v>1</v>
      </c>
      <c r="L480" s="717"/>
      <c r="M480" s="24">
        <f t="shared" si="85"/>
        <v>1</v>
      </c>
      <c r="N480" s="717"/>
      <c r="O480" s="24">
        <f t="shared" si="86"/>
        <v>1</v>
      </c>
      <c r="P480" s="717"/>
      <c r="Q480" s="24">
        <f t="shared" si="87"/>
        <v>1</v>
      </c>
      <c r="R480" s="713">
        <f t="shared" si="88"/>
        <v>0</v>
      </c>
      <c r="S480" s="358">
        <f t="shared" si="79"/>
        <v>0</v>
      </c>
    </row>
    <row r="481" spans="1:19">
      <c r="A481" s="156"/>
      <c r="B481" s="59"/>
      <c r="C481" s="24">
        <f t="shared" si="80"/>
        <v>1</v>
      </c>
      <c r="D481" s="717"/>
      <c r="E481" s="24">
        <f t="shared" si="81"/>
        <v>1</v>
      </c>
      <c r="F481" s="717"/>
      <c r="G481" s="24">
        <f t="shared" si="82"/>
        <v>1</v>
      </c>
      <c r="H481" s="717"/>
      <c r="I481" s="24">
        <f t="shared" si="83"/>
        <v>1</v>
      </c>
      <c r="J481" s="717"/>
      <c r="K481" s="24">
        <f t="shared" si="84"/>
        <v>1</v>
      </c>
      <c r="L481" s="717"/>
      <c r="M481" s="24">
        <f t="shared" si="85"/>
        <v>1</v>
      </c>
      <c r="N481" s="717"/>
      <c r="O481" s="24">
        <f t="shared" si="86"/>
        <v>1</v>
      </c>
      <c r="P481" s="717"/>
      <c r="Q481" s="24">
        <f t="shared" si="87"/>
        <v>1</v>
      </c>
      <c r="R481" s="713">
        <f t="shared" si="88"/>
        <v>0</v>
      </c>
      <c r="S481" s="358">
        <f t="shared" si="79"/>
        <v>0</v>
      </c>
    </row>
    <row r="482" spans="1:19">
      <c r="A482" s="156"/>
      <c r="B482" s="59"/>
      <c r="C482" s="24">
        <f t="shared" si="80"/>
        <v>1</v>
      </c>
      <c r="D482" s="717"/>
      <c r="E482" s="24">
        <f t="shared" si="81"/>
        <v>1</v>
      </c>
      <c r="F482" s="717"/>
      <c r="G482" s="24">
        <f t="shared" si="82"/>
        <v>1</v>
      </c>
      <c r="H482" s="717"/>
      <c r="I482" s="24">
        <f t="shared" si="83"/>
        <v>1</v>
      </c>
      <c r="J482" s="717"/>
      <c r="K482" s="24">
        <f t="shared" si="84"/>
        <v>1</v>
      </c>
      <c r="L482" s="717"/>
      <c r="M482" s="24">
        <f t="shared" si="85"/>
        <v>1</v>
      </c>
      <c r="N482" s="717"/>
      <c r="O482" s="24">
        <f t="shared" si="86"/>
        <v>1</v>
      </c>
      <c r="P482" s="717"/>
      <c r="Q482" s="24">
        <f t="shared" si="87"/>
        <v>1</v>
      </c>
      <c r="R482" s="713">
        <f t="shared" si="88"/>
        <v>0</v>
      </c>
      <c r="S482" s="358">
        <f t="shared" si="79"/>
        <v>0</v>
      </c>
    </row>
    <row r="483" spans="1:19">
      <c r="A483" s="156"/>
      <c r="B483" s="59"/>
      <c r="C483" s="24">
        <f t="shared" si="80"/>
        <v>1</v>
      </c>
      <c r="D483" s="717"/>
      <c r="E483" s="24">
        <f t="shared" si="81"/>
        <v>1</v>
      </c>
      <c r="F483" s="717"/>
      <c r="G483" s="24">
        <f t="shared" si="82"/>
        <v>1</v>
      </c>
      <c r="H483" s="717"/>
      <c r="I483" s="24">
        <f t="shared" si="83"/>
        <v>1</v>
      </c>
      <c r="J483" s="717"/>
      <c r="K483" s="24">
        <f t="shared" si="84"/>
        <v>1</v>
      </c>
      <c r="L483" s="717"/>
      <c r="M483" s="24">
        <f t="shared" si="85"/>
        <v>1</v>
      </c>
      <c r="N483" s="717"/>
      <c r="O483" s="24">
        <f t="shared" si="86"/>
        <v>1</v>
      </c>
      <c r="P483" s="717"/>
      <c r="Q483" s="24">
        <f t="shared" si="87"/>
        <v>1</v>
      </c>
      <c r="R483" s="713">
        <f t="shared" si="88"/>
        <v>0</v>
      </c>
      <c r="S483" s="358">
        <f t="shared" si="79"/>
        <v>0</v>
      </c>
    </row>
    <row r="484" spans="1:19">
      <c r="A484" s="156"/>
      <c r="B484" s="59"/>
      <c r="C484" s="24">
        <f t="shared" si="80"/>
        <v>1</v>
      </c>
      <c r="D484" s="717"/>
      <c r="E484" s="24">
        <f t="shared" si="81"/>
        <v>1</v>
      </c>
      <c r="F484" s="717"/>
      <c r="G484" s="24">
        <f t="shared" si="82"/>
        <v>1</v>
      </c>
      <c r="H484" s="717"/>
      <c r="I484" s="24">
        <f t="shared" si="83"/>
        <v>1</v>
      </c>
      <c r="J484" s="717"/>
      <c r="K484" s="24">
        <f t="shared" si="84"/>
        <v>1</v>
      </c>
      <c r="L484" s="717"/>
      <c r="M484" s="24">
        <f t="shared" si="85"/>
        <v>1</v>
      </c>
      <c r="N484" s="717"/>
      <c r="O484" s="24">
        <f t="shared" si="86"/>
        <v>1</v>
      </c>
      <c r="P484" s="717"/>
      <c r="Q484" s="24">
        <f t="shared" si="87"/>
        <v>1</v>
      </c>
      <c r="R484" s="713">
        <f t="shared" si="88"/>
        <v>0</v>
      </c>
      <c r="S484" s="358">
        <f t="shared" si="79"/>
        <v>0</v>
      </c>
    </row>
    <row r="485" spans="1:19">
      <c r="A485" s="156"/>
      <c r="B485" s="59"/>
      <c r="C485" s="24">
        <f t="shared" si="80"/>
        <v>1</v>
      </c>
      <c r="D485" s="717"/>
      <c r="E485" s="24">
        <f t="shared" si="81"/>
        <v>1</v>
      </c>
      <c r="F485" s="717"/>
      <c r="G485" s="24">
        <f t="shared" si="82"/>
        <v>1</v>
      </c>
      <c r="H485" s="717"/>
      <c r="I485" s="24">
        <f t="shared" si="83"/>
        <v>1</v>
      </c>
      <c r="J485" s="717"/>
      <c r="K485" s="24">
        <f t="shared" si="84"/>
        <v>1</v>
      </c>
      <c r="L485" s="717"/>
      <c r="M485" s="24">
        <f t="shared" si="85"/>
        <v>1</v>
      </c>
      <c r="N485" s="717"/>
      <c r="O485" s="24">
        <f t="shared" si="86"/>
        <v>1</v>
      </c>
      <c r="P485" s="717"/>
      <c r="Q485" s="24">
        <f t="shared" si="87"/>
        <v>1</v>
      </c>
      <c r="R485" s="713">
        <f t="shared" si="88"/>
        <v>0</v>
      </c>
      <c r="S485" s="358">
        <f t="shared" si="79"/>
        <v>0</v>
      </c>
    </row>
    <row r="486" spans="1:19">
      <c r="A486" s="156"/>
      <c r="B486" s="59"/>
      <c r="C486" s="24">
        <f t="shared" si="80"/>
        <v>1</v>
      </c>
      <c r="D486" s="717"/>
      <c r="E486" s="24">
        <f t="shared" si="81"/>
        <v>1</v>
      </c>
      <c r="F486" s="717"/>
      <c r="G486" s="24">
        <f t="shared" si="82"/>
        <v>1</v>
      </c>
      <c r="H486" s="717"/>
      <c r="I486" s="24">
        <f t="shared" si="83"/>
        <v>1</v>
      </c>
      <c r="J486" s="717"/>
      <c r="K486" s="24">
        <f t="shared" si="84"/>
        <v>1</v>
      </c>
      <c r="L486" s="717"/>
      <c r="M486" s="24">
        <f t="shared" si="85"/>
        <v>1</v>
      </c>
      <c r="N486" s="717"/>
      <c r="O486" s="24">
        <f t="shared" si="86"/>
        <v>1</v>
      </c>
      <c r="P486" s="717"/>
      <c r="Q486" s="24">
        <f t="shared" si="87"/>
        <v>1</v>
      </c>
      <c r="R486" s="713">
        <f t="shared" si="88"/>
        <v>0</v>
      </c>
      <c r="S486" s="358">
        <f t="shared" si="79"/>
        <v>0</v>
      </c>
    </row>
    <row r="487" spans="1:19">
      <c r="A487" s="156"/>
      <c r="B487" s="59"/>
      <c r="C487" s="24">
        <f t="shared" si="80"/>
        <v>1</v>
      </c>
      <c r="D487" s="717"/>
      <c r="E487" s="24">
        <f t="shared" si="81"/>
        <v>1</v>
      </c>
      <c r="F487" s="717"/>
      <c r="G487" s="24">
        <f t="shared" si="82"/>
        <v>1</v>
      </c>
      <c r="H487" s="717"/>
      <c r="I487" s="24">
        <f t="shared" si="83"/>
        <v>1</v>
      </c>
      <c r="J487" s="717"/>
      <c r="K487" s="24">
        <f t="shared" si="84"/>
        <v>1</v>
      </c>
      <c r="L487" s="717"/>
      <c r="M487" s="24">
        <f t="shared" si="85"/>
        <v>1</v>
      </c>
      <c r="N487" s="717"/>
      <c r="O487" s="24">
        <f t="shared" si="86"/>
        <v>1</v>
      </c>
      <c r="P487" s="717"/>
      <c r="Q487" s="24">
        <f t="shared" si="87"/>
        <v>1</v>
      </c>
      <c r="R487" s="713">
        <f t="shared" si="88"/>
        <v>0</v>
      </c>
      <c r="S487" s="358">
        <f t="shared" si="79"/>
        <v>0</v>
      </c>
    </row>
    <row r="488" spans="1:19">
      <c r="A488" s="156"/>
      <c r="B488" s="59"/>
      <c r="C488" s="24">
        <f t="shared" si="80"/>
        <v>1</v>
      </c>
      <c r="D488" s="717"/>
      <c r="E488" s="24">
        <f t="shared" si="81"/>
        <v>1</v>
      </c>
      <c r="F488" s="717"/>
      <c r="G488" s="24">
        <f t="shared" si="82"/>
        <v>1</v>
      </c>
      <c r="H488" s="717"/>
      <c r="I488" s="24">
        <f t="shared" si="83"/>
        <v>1</v>
      </c>
      <c r="J488" s="717"/>
      <c r="K488" s="24">
        <f t="shared" si="84"/>
        <v>1</v>
      </c>
      <c r="L488" s="717"/>
      <c r="M488" s="24">
        <f t="shared" si="85"/>
        <v>1</v>
      </c>
      <c r="N488" s="717"/>
      <c r="O488" s="24">
        <f t="shared" si="86"/>
        <v>1</v>
      </c>
      <c r="P488" s="717"/>
      <c r="Q488" s="24">
        <f t="shared" si="87"/>
        <v>1</v>
      </c>
      <c r="R488" s="713">
        <f t="shared" si="88"/>
        <v>0</v>
      </c>
      <c r="S488" s="358">
        <f t="shared" si="79"/>
        <v>0</v>
      </c>
    </row>
    <row r="489" spans="1:19">
      <c r="A489" s="156"/>
      <c r="B489" s="59"/>
      <c r="C489" s="24">
        <f t="shared" si="80"/>
        <v>1</v>
      </c>
      <c r="D489" s="717"/>
      <c r="E489" s="24">
        <f t="shared" si="81"/>
        <v>1</v>
      </c>
      <c r="F489" s="717"/>
      <c r="G489" s="24">
        <f t="shared" si="82"/>
        <v>1</v>
      </c>
      <c r="H489" s="717"/>
      <c r="I489" s="24">
        <f t="shared" si="83"/>
        <v>1</v>
      </c>
      <c r="J489" s="717"/>
      <c r="K489" s="24">
        <f t="shared" si="84"/>
        <v>1</v>
      </c>
      <c r="L489" s="717"/>
      <c r="M489" s="24">
        <f t="shared" si="85"/>
        <v>1</v>
      </c>
      <c r="N489" s="717"/>
      <c r="O489" s="24">
        <f t="shared" si="86"/>
        <v>1</v>
      </c>
      <c r="P489" s="717"/>
      <c r="Q489" s="24">
        <f t="shared" si="87"/>
        <v>1</v>
      </c>
      <c r="R489" s="713">
        <f t="shared" si="88"/>
        <v>0</v>
      </c>
      <c r="S489" s="358">
        <f t="shared" si="79"/>
        <v>0</v>
      </c>
    </row>
    <row r="490" spans="1:19">
      <c r="A490" s="156"/>
      <c r="B490" s="59"/>
      <c r="C490" s="24">
        <f t="shared" si="80"/>
        <v>1</v>
      </c>
      <c r="D490" s="717"/>
      <c r="E490" s="24">
        <f t="shared" si="81"/>
        <v>1</v>
      </c>
      <c r="F490" s="717"/>
      <c r="G490" s="24">
        <f t="shared" si="82"/>
        <v>1</v>
      </c>
      <c r="H490" s="717"/>
      <c r="I490" s="24">
        <f t="shared" si="83"/>
        <v>1</v>
      </c>
      <c r="J490" s="717"/>
      <c r="K490" s="24">
        <f t="shared" si="84"/>
        <v>1</v>
      </c>
      <c r="L490" s="717"/>
      <c r="M490" s="24">
        <f t="shared" si="85"/>
        <v>1</v>
      </c>
      <c r="N490" s="717"/>
      <c r="O490" s="24">
        <f t="shared" si="86"/>
        <v>1</v>
      </c>
      <c r="P490" s="717"/>
      <c r="Q490" s="24">
        <f t="shared" si="87"/>
        <v>1</v>
      </c>
      <c r="R490" s="713">
        <f t="shared" si="88"/>
        <v>0</v>
      </c>
      <c r="S490" s="358">
        <f t="shared" si="79"/>
        <v>0</v>
      </c>
    </row>
    <row r="491" spans="1:19">
      <c r="A491" s="156"/>
      <c r="B491" s="59"/>
      <c r="C491" s="24">
        <f t="shared" si="80"/>
        <v>1</v>
      </c>
      <c r="D491" s="717"/>
      <c r="E491" s="24">
        <f t="shared" si="81"/>
        <v>1</v>
      </c>
      <c r="F491" s="717"/>
      <c r="G491" s="24">
        <f t="shared" si="82"/>
        <v>1</v>
      </c>
      <c r="H491" s="717"/>
      <c r="I491" s="24">
        <f t="shared" si="83"/>
        <v>1</v>
      </c>
      <c r="J491" s="717"/>
      <c r="K491" s="24">
        <f t="shared" si="84"/>
        <v>1</v>
      </c>
      <c r="L491" s="717"/>
      <c r="M491" s="24">
        <f t="shared" si="85"/>
        <v>1</v>
      </c>
      <c r="N491" s="717"/>
      <c r="O491" s="24">
        <f t="shared" si="86"/>
        <v>1</v>
      </c>
      <c r="P491" s="717"/>
      <c r="Q491" s="24">
        <f t="shared" si="87"/>
        <v>1</v>
      </c>
      <c r="R491" s="713">
        <f t="shared" si="88"/>
        <v>0</v>
      </c>
      <c r="S491" s="358">
        <f t="shared" si="79"/>
        <v>0</v>
      </c>
    </row>
    <row r="492" spans="1:19">
      <c r="A492" s="156"/>
      <c r="B492" s="59"/>
      <c r="C492" s="24">
        <f t="shared" si="80"/>
        <v>1</v>
      </c>
      <c r="D492" s="717"/>
      <c r="E492" s="24">
        <f t="shared" si="81"/>
        <v>1</v>
      </c>
      <c r="F492" s="717"/>
      <c r="G492" s="24">
        <f t="shared" si="82"/>
        <v>1</v>
      </c>
      <c r="H492" s="717"/>
      <c r="I492" s="24">
        <f t="shared" si="83"/>
        <v>1</v>
      </c>
      <c r="J492" s="717"/>
      <c r="K492" s="24">
        <f t="shared" si="84"/>
        <v>1</v>
      </c>
      <c r="L492" s="717"/>
      <c r="M492" s="24">
        <f t="shared" si="85"/>
        <v>1</v>
      </c>
      <c r="N492" s="717"/>
      <c r="O492" s="24">
        <f t="shared" si="86"/>
        <v>1</v>
      </c>
      <c r="P492" s="717"/>
      <c r="Q492" s="24">
        <f t="shared" si="87"/>
        <v>1</v>
      </c>
      <c r="R492" s="713">
        <f t="shared" si="88"/>
        <v>0</v>
      </c>
      <c r="S492" s="358">
        <f t="shared" si="79"/>
        <v>0</v>
      </c>
    </row>
    <row r="493" spans="1:19">
      <c r="A493" s="156"/>
      <c r="B493" s="59"/>
      <c r="C493" s="24">
        <f t="shared" si="80"/>
        <v>1</v>
      </c>
      <c r="D493" s="717"/>
      <c r="E493" s="24">
        <f t="shared" si="81"/>
        <v>1</v>
      </c>
      <c r="F493" s="717"/>
      <c r="G493" s="24">
        <f t="shared" si="82"/>
        <v>1</v>
      </c>
      <c r="H493" s="717"/>
      <c r="I493" s="24">
        <f t="shared" si="83"/>
        <v>1</v>
      </c>
      <c r="J493" s="717"/>
      <c r="K493" s="24">
        <f t="shared" si="84"/>
        <v>1</v>
      </c>
      <c r="L493" s="717"/>
      <c r="M493" s="24">
        <f t="shared" si="85"/>
        <v>1</v>
      </c>
      <c r="N493" s="717"/>
      <c r="O493" s="24">
        <f t="shared" si="86"/>
        <v>1</v>
      </c>
      <c r="P493" s="717"/>
      <c r="Q493" s="24">
        <f t="shared" si="87"/>
        <v>1</v>
      </c>
      <c r="R493" s="713">
        <f t="shared" si="88"/>
        <v>0</v>
      </c>
      <c r="S493" s="358">
        <f t="shared" si="79"/>
        <v>0</v>
      </c>
    </row>
    <row r="494" spans="1:19">
      <c r="A494" s="156"/>
      <c r="B494" s="59"/>
      <c r="C494" s="24">
        <f t="shared" si="80"/>
        <v>1</v>
      </c>
      <c r="D494" s="717"/>
      <c r="E494" s="24">
        <f t="shared" si="81"/>
        <v>1</v>
      </c>
      <c r="F494" s="717"/>
      <c r="G494" s="24">
        <f t="shared" si="82"/>
        <v>1</v>
      </c>
      <c r="H494" s="717"/>
      <c r="I494" s="24">
        <f t="shared" si="83"/>
        <v>1</v>
      </c>
      <c r="J494" s="717"/>
      <c r="K494" s="24">
        <f t="shared" si="84"/>
        <v>1</v>
      </c>
      <c r="L494" s="717"/>
      <c r="M494" s="24">
        <f t="shared" si="85"/>
        <v>1</v>
      </c>
      <c r="N494" s="717"/>
      <c r="O494" s="24">
        <f t="shared" si="86"/>
        <v>1</v>
      </c>
      <c r="P494" s="717"/>
      <c r="Q494" s="24">
        <f t="shared" si="87"/>
        <v>1</v>
      </c>
      <c r="R494" s="713">
        <f t="shared" si="88"/>
        <v>0</v>
      </c>
      <c r="S494" s="358">
        <f t="shared" si="79"/>
        <v>0</v>
      </c>
    </row>
    <row r="495" spans="1:19">
      <c r="A495" s="156"/>
      <c r="B495" s="59"/>
      <c r="C495" s="24">
        <f t="shared" si="80"/>
        <v>1</v>
      </c>
      <c r="D495" s="717"/>
      <c r="E495" s="24">
        <f t="shared" si="81"/>
        <v>1</v>
      </c>
      <c r="F495" s="717"/>
      <c r="G495" s="24">
        <f t="shared" si="82"/>
        <v>1</v>
      </c>
      <c r="H495" s="717"/>
      <c r="I495" s="24">
        <f t="shared" si="83"/>
        <v>1</v>
      </c>
      <c r="J495" s="717"/>
      <c r="K495" s="24">
        <f t="shared" si="84"/>
        <v>1</v>
      </c>
      <c r="L495" s="717"/>
      <c r="M495" s="24">
        <f t="shared" si="85"/>
        <v>1</v>
      </c>
      <c r="N495" s="717"/>
      <c r="O495" s="24">
        <f t="shared" si="86"/>
        <v>1</v>
      </c>
      <c r="P495" s="717"/>
      <c r="Q495" s="24">
        <f t="shared" si="87"/>
        <v>1</v>
      </c>
      <c r="R495" s="713">
        <f t="shared" si="88"/>
        <v>0</v>
      </c>
      <c r="S495" s="358">
        <f t="shared" si="79"/>
        <v>0</v>
      </c>
    </row>
    <row r="496" spans="1:19">
      <c r="A496" s="156"/>
      <c r="B496" s="59"/>
      <c r="C496" s="24">
        <f t="shared" si="80"/>
        <v>1</v>
      </c>
      <c r="D496" s="717"/>
      <c r="E496" s="24">
        <f t="shared" si="81"/>
        <v>1</v>
      </c>
      <c r="F496" s="717"/>
      <c r="G496" s="24">
        <f t="shared" si="82"/>
        <v>1</v>
      </c>
      <c r="H496" s="717"/>
      <c r="I496" s="24">
        <f t="shared" si="83"/>
        <v>1</v>
      </c>
      <c r="J496" s="717"/>
      <c r="K496" s="24">
        <f t="shared" si="84"/>
        <v>1</v>
      </c>
      <c r="L496" s="717"/>
      <c r="M496" s="24">
        <f t="shared" si="85"/>
        <v>1</v>
      </c>
      <c r="N496" s="717"/>
      <c r="O496" s="24">
        <f t="shared" si="86"/>
        <v>1</v>
      </c>
      <c r="P496" s="717"/>
      <c r="Q496" s="24">
        <f t="shared" si="87"/>
        <v>1</v>
      </c>
      <c r="R496" s="713">
        <f t="shared" si="88"/>
        <v>0</v>
      </c>
      <c r="S496" s="358">
        <f t="shared" si="79"/>
        <v>0</v>
      </c>
    </row>
    <row r="497" spans="1:19">
      <c r="A497" s="156"/>
      <c r="B497" s="59"/>
      <c r="C497" s="24">
        <f t="shared" si="80"/>
        <v>1</v>
      </c>
      <c r="D497" s="717"/>
      <c r="E497" s="24">
        <f t="shared" si="81"/>
        <v>1</v>
      </c>
      <c r="F497" s="717"/>
      <c r="G497" s="24">
        <f t="shared" si="82"/>
        <v>1</v>
      </c>
      <c r="H497" s="717"/>
      <c r="I497" s="24">
        <f t="shared" si="83"/>
        <v>1</v>
      </c>
      <c r="J497" s="717"/>
      <c r="K497" s="24">
        <f t="shared" si="84"/>
        <v>1</v>
      </c>
      <c r="L497" s="717"/>
      <c r="M497" s="24">
        <f t="shared" si="85"/>
        <v>1</v>
      </c>
      <c r="N497" s="717"/>
      <c r="O497" s="24">
        <f t="shared" si="86"/>
        <v>1</v>
      </c>
      <c r="P497" s="717"/>
      <c r="Q497" s="24">
        <f t="shared" si="87"/>
        <v>1</v>
      </c>
      <c r="R497" s="713">
        <f t="shared" si="88"/>
        <v>0</v>
      </c>
      <c r="S497" s="358">
        <f t="shared" si="79"/>
        <v>0</v>
      </c>
    </row>
    <row r="498" spans="1:19">
      <c r="A498" s="156"/>
      <c r="B498" s="59"/>
      <c r="C498" s="24">
        <f t="shared" si="80"/>
        <v>1</v>
      </c>
      <c r="D498" s="717"/>
      <c r="E498" s="24">
        <f t="shared" si="81"/>
        <v>1</v>
      </c>
      <c r="F498" s="717"/>
      <c r="G498" s="24">
        <f t="shared" si="82"/>
        <v>1</v>
      </c>
      <c r="H498" s="717"/>
      <c r="I498" s="24">
        <f t="shared" si="83"/>
        <v>1</v>
      </c>
      <c r="J498" s="717"/>
      <c r="K498" s="24">
        <f t="shared" si="84"/>
        <v>1</v>
      </c>
      <c r="L498" s="717"/>
      <c r="M498" s="24">
        <f t="shared" si="85"/>
        <v>1</v>
      </c>
      <c r="N498" s="717"/>
      <c r="O498" s="24">
        <f t="shared" si="86"/>
        <v>1</v>
      </c>
      <c r="P498" s="717"/>
      <c r="Q498" s="24">
        <f t="shared" si="87"/>
        <v>1</v>
      </c>
      <c r="R498" s="713">
        <f t="shared" si="88"/>
        <v>0</v>
      </c>
      <c r="S498" s="358">
        <f t="shared" ref="S498:S524" si="89">ROUND(R498*B498/10000,0)</f>
        <v>0</v>
      </c>
    </row>
    <row r="499" spans="1:19">
      <c r="A499" s="156"/>
      <c r="B499" s="59"/>
      <c r="C499" s="24">
        <f t="shared" si="80"/>
        <v>1</v>
      </c>
      <c r="D499" s="717"/>
      <c r="E499" s="24">
        <f t="shared" si="81"/>
        <v>1</v>
      </c>
      <c r="F499" s="717"/>
      <c r="G499" s="24">
        <f t="shared" si="82"/>
        <v>1</v>
      </c>
      <c r="H499" s="717"/>
      <c r="I499" s="24">
        <f t="shared" si="83"/>
        <v>1</v>
      </c>
      <c r="J499" s="717"/>
      <c r="K499" s="24">
        <f t="shared" si="84"/>
        <v>1</v>
      </c>
      <c r="L499" s="717"/>
      <c r="M499" s="24">
        <f t="shared" si="85"/>
        <v>1</v>
      </c>
      <c r="N499" s="717"/>
      <c r="O499" s="24">
        <f t="shared" si="86"/>
        <v>1</v>
      </c>
      <c r="P499" s="717"/>
      <c r="Q499" s="24">
        <f t="shared" si="87"/>
        <v>1</v>
      </c>
      <c r="R499" s="713">
        <f t="shared" si="88"/>
        <v>0</v>
      </c>
      <c r="S499" s="358">
        <f t="shared" si="89"/>
        <v>0</v>
      </c>
    </row>
    <row r="500" spans="1:19">
      <c r="A500" s="156"/>
      <c r="B500" s="59"/>
      <c r="C500" s="24">
        <f t="shared" si="80"/>
        <v>1</v>
      </c>
      <c r="D500" s="717"/>
      <c r="E500" s="24">
        <f t="shared" si="81"/>
        <v>1</v>
      </c>
      <c r="F500" s="717"/>
      <c r="G500" s="24">
        <f t="shared" si="82"/>
        <v>1</v>
      </c>
      <c r="H500" s="717"/>
      <c r="I500" s="24">
        <f t="shared" si="83"/>
        <v>1</v>
      </c>
      <c r="J500" s="717"/>
      <c r="K500" s="24">
        <f t="shared" si="84"/>
        <v>1</v>
      </c>
      <c r="L500" s="717"/>
      <c r="M500" s="24">
        <f t="shared" si="85"/>
        <v>1</v>
      </c>
      <c r="N500" s="717"/>
      <c r="O500" s="24">
        <f t="shared" si="86"/>
        <v>1</v>
      </c>
      <c r="P500" s="717"/>
      <c r="Q500" s="24">
        <f t="shared" si="87"/>
        <v>1</v>
      </c>
      <c r="R500" s="713">
        <f t="shared" si="88"/>
        <v>0</v>
      </c>
      <c r="S500" s="358">
        <f t="shared" si="89"/>
        <v>0</v>
      </c>
    </row>
    <row r="501" spans="1:19">
      <c r="A501" s="156"/>
      <c r="B501" s="59"/>
      <c r="C501" s="24">
        <f t="shared" si="80"/>
        <v>1</v>
      </c>
      <c r="D501" s="717"/>
      <c r="E501" s="24">
        <f t="shared" si="81"/>
        <v>1</v>
      </c>
      <c r="F501" s="717"/>
      <c r="G501" s="24">
        <f t="shared" si="82"/>
        <v>1</v>
      </c>
      <c r="H501" s="717"/>
      <c r="I501" s="24">
        <f t="shared" si="83"/>
        <v>1</v>
      </c>
      <c r="J501" s="717"/>
      <c r="K501" s="24">
        <f t="shared" si="84"/>
        <v>1</v>
      </c>
      <c r="L501" s="717"/>
      <c r="M501" s="24">
        <f t="shared" si="85"/>
        <v>1</v>
      </c>
      <c r="N501" s="717"/>
      <c r="O501" s="24">
        <f t="shared" si="86"/>
        <v>1</v>
      </c>
      <c r="P501" s="717"/>
      <c r="Q501" s="24">
        <f t="shared" si="87"/>
        <v>1</v>
      </c>
      <c r="R501" s="713">
        <f t="shared" si="88"/>
        <v>0</v>
      </c>
      <c r="S501" s="358">
        <f t="shared" si="89"/>
        <v>0</v>
      </c>
    </row>
    <row r="502" spans="1:19">
      <c r="A502" s="156"/>
      <c r="B502" s="59"/>
      <c r="C502" s="24">
        <f t="shared" si="80"/>
        <v>1</v>
      </c>
      <c r="D502" s="717"/>
      <c r="E502" s="24">
        <f t="shared" si="81"/>
        <v>1</v>
      </c>
      <c r="F502" s="717"/>
      <c r="G502" s="24">
        <f t="shared" si="82"/>
        <v>1</v>
      </c>
      <c r="H502" s="717"/>
      <c r="I502" s="24">
        <f t="shared" si="83"/>
        <v>1</v>
      </c>
      <c r="J502" s="717"/>
      <c r="K502" s="24">
        <f t="shared" si="84"/>
        <v>1</v>
      </c>
      <c r="L502" s="717"/>
      <c r="M502" s="24">
        <f t="shared" si="85"/>
        <v>1</v>
      </c>
      <c r="N502" s="717"/>
      <c r="O502" s="24">
        <f t="shared" si="86"/>
        <v>1</v>
      </c>
      <c r="P502" s="717"/>
      <c r="Q502" s="24">
        <f t="shared" si="87"/>
        <v>1</v>
      </c>
      <c r="R502" s="713">
        <f t="shared" si="88"/>
        <v>0</v>
      </c>
      <c r="S502" s="358">
        <f t="shared" si="89"/>
        <v>0</v>
      </c>
    </row>
    <row r="503" spans="1:19">
      <c r="A503" s="156"/>
      <c r="B503" s="59"/>
      <c r="C503" s="24">
        <f t="shared" si="80"/>
        <v>1</v>
      </c>
      <c r="D503" s="717"/>
      <c r="E503" s="24">
        <f t="shared" si="81"/>
        <v>1</v>
      </c>
      <c r="F503" s="717"/>
      <c r="G503" s="24">
        <f t="shared" si="82"/>
        <v>1</v>
      </c>
      <c r="H503" s="717"/>
      <c r="I503" s="24">
        <f t="shared" si="83"/>
        <v>1</v>
      </c>
      <c r="J503" s="717"/>
      <c r="K503" s="24">
        <f t="shared" si="84"/>
        <v>1</v>
      </c>
      <c r="L503" s="717"/>
      <c r="M503" s="24">
        <f t="shared" si="85"/>
        <v>1</v>
      </c>
      <c r="N503" s="717"/>
      <c r="O503" s="24">
        <f t="shared" si="86"/>
        <v>1</v>
      </c>
      <c r="P503" s="717"/>
      <c r="Q503" s="24">
        <f t="shared" si="87"/>
        <v>1</v>
      </c>
      <c r="R503" s="713">
        <f t="shared" si="88"/>
        <v>0</v>
      </c>
      <c r="S503" s="358">
        <f t="shared" si="89"/>
        <v>0</v>
      </c>
    </row>
    <row r="504" spans="1:19">
      <c r="A504" s="156"/>
      <c r="B504" s="59"/>
      <c r="C504" s="24">
        <f t="shared" si="80"/>
        <v>1</v>
      </c>
      <c r="D504" s="717"/>
      <c r="E504" s="24">
        <f t="shared" si="81"/>
        <v>1</v>
      </c>
      <c r="F504" s="717"/>
      <c r="G504" s="24">
        <f t="shared" si="82"/>
        <v>1</v>
      </c>
      <c r="H504" s="717"/>
      <c r="I504" s="24">
        <f t="shared" si="83"/>
        <v>1</v>
      </c>
      <c r="J504" s="717"/>
      <c r="K504" s="24">
        <f t="shared" si="84"/>
        <v>1</v>
      </c>
      <c r="L504" s="717"/>
      <c r="M504" s="24">
        <f t="shared" si="85"/>
        <v>1</v>
      </c>
      <c r="N504" s="717"/>
      <c r="O504" s="24">
        <f t="shared" si="86"/>
        <v>1</v>
      </c>
      <c r="P504" s="717"/>
      <c r="Q504" s="24">
        <f t="shared" si="87"/>
        <v>1</v>
      </c>
      <c r="R504" s="713">
        <f t="shared" si="88"/>
        <v>0</v>
      </c>
      <c r="S504" s="358">
        <f t="shared" si="89"/>
        <v>0</v>
      </c>
    </row>
    <row r="505" spans="1:19">
      <c r="A505" s="156"/>
      <c r="B505" s="59"/>
      <c r="C505" s="24">
        <f t="shared" si="80"/>
        <v>1</v>
      </c>
      <c r="D505" s="717"/>
      <c r="E505" s="24">
        <f t="shared" si="81"/>
        <v>1</v>
      </c>
      <c r="F505" s="717"/>
      <c r="G505" s="24">
        <f t="shared" si="82"/>
        <v>1</v>
      </c>
      <c r="H505" s="717"/>
      <c r="I505" s="24">
        <f t="shared" si="83"/>
        <v>1</v>
      </c>
      <c r="J505" s="717"/>
      <c r="K505" s="24">
        <f t="shared" si="84"/>
        <v>1</v>
      </c>
      <c r="L505" s="717"/>
      <c r="M505" s="24">
        <f t="shared" si="85"/>
        <v>1</v>
      </c>
      <c r="N505" s="717"/>
      <c r="O505" s="24">
        <f t="shared" si="86"/>
        <v>1</v>
      </c>
      <c r="P505" s="717"/>
      <c r="Q505" s="24">
        <f t="shared" si="87"/>
        <v>1</v>
      </c>
      <c r="R505" s="713">
        <f t="shared" si="88"/>
        <v>0</v>
      </c>
      <c r="S505" s="358">
        <f t="shared" si="89"/>
        <v>0</v>
      </c>
    </row>
    <row r="506" spans="1:19">
      <c r="A506" s="156"/>
      <c r="B506" s="59"/>
      <c r="C506" s="24">
        <f t="shared" si="80"/>
        <v>1</v>
      </c>
      <c r="D506" s="717"/>
      <c r="E506" s="24">
        <f t="shared" si="81"/>
        <v>1</v>
      </c>
      <c r="F506" s="717"/>
      <c r="G506" s="24">
        <f t="shared" si="82"/>
        <v>1</v>
      </c>
      <c r="H506" s="717"/>
      <c r="I506" s="24">
        <f t="shared" si="83"/>
        <v>1</v>
      </c>
      <c r="J506" s="717"/>
      <c r="K506" s="24">
        <f t="shared" si="84"/>
        <v>1</v>
      </c>
      <c r="L506" s="717"/>
      <c r="M506" s="24">
        <f t="shared" si="85"/>
        <v>1</v>
      </c>
      <c r="N506" s="717"/>
      <c r="O506" s="24">
        <f t="shared" si="86"/>
        <v>1</v>
      </c>
      <c r="P506" s="717"/>
      <c r="Q506" s="24">
        <f t="shared" si="87"/>
        <v>1</v>
      </c>
      <c r="R506" s="713">
        <f t="shared" si="88"/>
        <v>0</v>
      </c>
      <c r="S506" s="358">
        <f t="shared" si="89"/>
        <v>0</v>
      </c>
    </row>
    <row r="507" spans="1:19">
      <c r="A507" s="156"/>
      <c r="B507" s="59"/>
      <c r="C507" s="24">
        <f t="shared" si="80"/>
        <v>1</v>
      </c>
      <c r="D507" s="717"/>
      <c r="E507" s="24">
        <f t="shared" si="81"/>
        <v>1</v>
      </c>
      <c r="F507" s="717"/>
      <c r="G507" s="24">
        <f t="shared" si="82"/>
        <v>1</v>
      </c>
      <c r="H507" s="717"/>
      <c r="I507" s="24">
        <f t="shared" si="83"/>
        <v>1</v>
      </c>
      <c r="J507" s="717"/>
      <c r="K507" s="24">
        <f t="shared" si="84"/>
        <v>1</v>
      </c>
      <c r="L507" s="717"/>
      <c r="M507" s="24">
        <f t="shared" si="85"/>
        <v>1</v>
      </c>
      <c r="N507" s="717"/>
      <c r="O507" s="24">
        <f t="shared" si="86"/>
        <v>1</v>
      </c>
      <c r="P507" s="717"/>
      <c r="Q507" s="24">
        <f t="shared" si="87"/>
        <v>1</v>
      </c>
      <c r="R507" s="713">
        <f t="shared" si="88"/>
        <v>0</v>
      </c>
      <c r="S507" s="358">
        <f t="shared" si="89"/>
        <v>0</v>
      </c>
    </row>
    <row r="508" spans="1:19">
      <c r="A508" s="156"/>
      <c r="B508" s="59"/>
      <c r="C508" s="24">
        <f t="shared" si="80"/>
        <v>1</v>
      </c>
      <c r="D508" s="717"/>
      <c r="E508" s="24">
        <f t="shared" si="81"/>
        <v>1</v>
      </c>
      <c r="F508" s="717"/>
      <c r="G508" s="24">
        <f t="shared" si="82"/>
        <v>1</v>
      </c>
      <c r="H508" s="717"/>
      <c r="I508" s="24">
        <f t="shared" si="83"/>
        <v>1</v>
      </c>
      <c r="J508" s="717"/>
      <c r="K508" s="24">
        <f t="shared" si="84"/>
        <v>1</v>
      </c>
      <c r="L508" s="717"/>
      <c r="M508" s="24">
        <f t="shared" si="85"/>
        <v>1</v>
      </c>
      <c r="N508" s="717"/>
      <c r="O508" s="24">
        <f t="shared" si="86"/>
        <v>1</v>
      </c>
      <c r="P508" s="717"/>
      <c r="Q508" s="24">
        <f t="shared" si="87"/>
        <v>1</v>
      </c>
      <c r="R508" s="713">
        <f t="shared" si="88"/>
        <v>0</v>
      </c>
      <c r="S508" s="358">
        <f t="shared" si="89"/>
        <v>0</v>
      </c>
    </row>
    <row r="509" spans="1:19">
      <c r="A509" s="156"/>
      <c r="B509" s="59"/>
      <c r="C509" s="24">
        <f t="shared" si="80"/>
        <v>1</v>
      </c>
      <c r="D509" s="717"/>
      <c r="E509" s="24">
        <f t="shared" si="81"/>
        <v>1</v>
      </c>
      <c r="F509" s="717"/>
      <c r="G509" s="24">
        <f t="shared" si="82"/>
        <v>1</v>
      </c>
      <c r="H509" s="717"/>
      <c r="I509" s="24">
        <f t="shared" si="83"/>
        <v>1</v>
      </c>
      <c r="J509" s="717"/>
      <c r="K509" s="24">
        <f t="shared" si="84"/>
        <v>1</v>
      </c>
      <c r="L509" s="717"/>
      <c r="M509" s="24">
        <f t="shared" si="85"/>
        <v>1</v>
      </c>
      <c r="N509" s="717"/>
      <c r="O509" s="24">
        <f t="shared" si="86"/>
        <v>1</v>
      </c>
      <c r="P509" s="717"/>
      <c r="Q509" s="24">
        <f t="shared" si="87"/>
        <v>1</v>
      </c>
      <c r="R509" s="713">
        <f t="shared" si="88"/>
        <v>0</v>
      </c>
      <c r="S509" s="358">
        <f t="shared" si="89"/>
        <v>0</v>
      </c>
    </row>
    <row r="510" spans="1:19">
      <c r="A510" s="156"/>
      <c r="B510" s="59"/>
      <c r="C510" s="24">
        <f t="shared" si="80"/>
        <v>1</v>
      </c>
      <c r="D510" s="717"/>
      <c r="E510" s="24">
        <f t="shared" si="81"/>
        <v>1</v>
      </c>
      <c r="F510" s="717"/>
      <c r="G510" s="24">
        <f t="shared" si="82"/>
        <v>1</v>
      </c>
      <c r="H510" s="717"/>
      <c r="I510" s="24">
        <f t="shared" si="83"/>
        <v>1</v>
      </c>
      <c r="J510" s="717"/>
      <c r="K510" s="24">
        <f t="shared" si="84"/>
        <v>1</v>
      </c>
      <c r="L510" s="717"/>
      <c r="M510" s="24">
        <f t="shared" si="85"/>
        <v>1</v>
      </c>
      <c r="N510" s="717"/>
      <c r="O510" s="24">
        <f t="shared" si="86"/>
        <v>1</v>
      </c>
      <c r="P510" s="717"/>
      <c r="Q510" s="24">
        <f t="shared" si="87"/>
        <v>1</v>
      </c>
      <c r="R510" s="713">
        <f t="shared" si="88"/>
        <v>0</v>
      </c>
      <c r="S510" s="358">
        <f t="shared" si="89"/>
        <v>0</v>
      </c>
    </row>
    <row r="511" spans="1:19">
      <c r="A511" s="156"/>
      <c r="B511" s="59"/>
      <c r="C511" s="24">
        <f t="shared" si="80"/>
        <v>1</v>
      </c>
      <c r="D511" s="717"/>
      <c r="E511" s="24">
        <f t="shared" si="81"/>
        <v>1</v>
      </c>
      <c r="F511" s="717"/>
      <c r="G511" s="24">
        <f t="shared" si="82"/>
        <v>1</v>
      </c>
      <c r="H511" s="717"/>
      <c r="I511" s="24">
        <f t="shared" si="83"/>
        <v>1</v>
      </c>
      <c r="J511" s="717"/>
      <c r="K511" s="24">
        <f t="shared" si="84"/>
        <v>1</v>
      </c>
      <c r="L511" s="717"/>
      <c r="M511" s="24">
        <f t="shared" si="85"/>
        <v>1</v>
      </c>
      <c r="N511" s="717"/>
      <c r="O511" s="24">
        <f t="shared" si="86"/>
        <v>1</v>
      </c>
      <c r="P511" s="717"/>
      <c r="Q511" s="24">
        <f t="shared" si="87"/>
        <v>1</v>
      </c>
      <c r="R511" s="713">
        <f t="shared" si="88"/>
        <v>0</v>
      </c>
      <c r="S511" s="358">
        <f t="shared" si="89"/>
        <v>0</v>
      </c>
    </row>
    <row r="512" spans="1:19">
      <c r="A512" s="156"/>
      <c r="B512" s="59"/>
      <c r="C512" s="24">
        <f t="shared" si="80"/>
        <v>1</v>
      </c>
      <c r="D512" s="717"/>
      <c r="E512" s="24">
        <f t="shared" si="81"/>
        <v>1</v>
      </c>
      <c r="F512" s="717"/>
      <c r="G512" s="24">
        <f t="shared" si="82"/>
        <v>1</v>
      </c>
      <c r="H512" s="717"/>
      <c r="I512" s="24">
        <f t="shared" si="83"/>
        <v>1</v>
      </c>
      <c r="J512" s="717"/>
      <c r="K512" s="24">
        <f t="shared" si="84"/>
        <v>1</v>
      </c>
      <c r="L512" s="717"/>
      <c r="M512" s="24">
        <f t="shared" si="85"/>
        <v>1</v>
      </c>
      <c r="N512" s="717"/>
      <c r="O512" s="24">
        <f t="shared" si="86"/>
        <v>1</v>
      </c>
      <c r="P512" s="717"/>
      <c r="Q512" s="24">
        <f t="shared" si="87"/>
        <v>1</v>
      </c>
      <c r="R512" s="713">
        <f t="shared" si="88"/>
        <v>0</v>
      </c>
      <c r="S512" s="358">
        <f t="shared" si="89"/>
        <v>0</v>
      </c>
    </row>
    <row r="513" spans="1:19">
      <c r="A513" s="156"/>
      <c r="B513" s="59"/>
      <c r="C513" s="24">
        <f t="shared" si="80"/>
        <v>1</v>
      </c>
      <c r="D513" s="717"/>
      <c r="E513" s="24">
        <f t="shared" si="81"/>
        <v>1</v>
      </c>
      <c r="F513" s="717"/>
      <c r="G513" s="24">
        <f t="shared" si="82"/>
        <v>1</v>
      </c>
      <c r="H513" s="717"/>
      <c r="I513" s="24">
        <f t="shared" si="83"/>
        <v>1</v>
      </c>
      <c r="J513" s="717"/>
      <c r="K513" s="24">
        <f t="shared" si="84"/>
        <v>1</v>
      </c>
      <c r="L513" s="717"/>
      <c r="M513" s="24">
        <f t="shared" si="85"/>
        <v>1</v>
      </c>
      <c r="N513" s="717"/>
      <c r="O513" s="24">
        <f t="shared" si="86"/>
        <v>1</v>
      </c>
      <c r="P513" s="717"/>
      <c r="Q513" s="24">
        <f t="shared" si="87"/>
        <v>1</v>
      </c>
      <c r="R513" s="713">
        <f t="shared" si="88"/>
        <v>0</v>
      </c>
      <c r="S513" s="358">
        <f t="shared" si="89"/>
        <v>0</v>
      </c>
    </row>
    <row r="514" spans="1:19">
      <c r="A514" s="156"/>
      <c r="B514" s="59"/>
      <c r="C514" s="24">
        <f t="shared" si="80"/>
        <v>1</v>
      </c>
      <c r="D514" s="717"/>
      <c r="E514" s="24">
        <f t="shared" si="81"/>
        <v>1</v>
      </c>
      <c r="F514" s="717"/>
      <c r="G514" s="24">
        <f t="shared" si="82"/>
        <v>1</v>
      </c>
      <c r="H514" s="717"/>
      <c r="I514" s="24">
        <f t="shared" si="83"/>
        <v>1</v>
      </c>
      <c r="J514" s="717"/>
      <c r="K514" s="24">
        <f t="shared" si="84"/>
        <v>1</v>
      </c>
      <c r="L514" s="717"/>
      <c r="M514" s="24">
        <f t="shared" si="85"/>
        <v>1</v>
      </c>
      <c r="N514" s="717"/>
      <c r="O514" s="24">
        <f t="shared" si="86"/>
        <v>1</v>
      </c>
      <c r="P514" s="717"/>
      <c r="Q514" s="24">
        <f t="shared" si="87"/>
        <v>1</v>
      </c>
      <c r="R514" s="713">
        <f t="shared" si="88"/>
        <v>0</v>
      </c>
      <c r="S514" s="358">
        <f t="shared" si="89"/>
        <v>0</v>
      </c>
    </row>
    <row r="515" spans="1:19">
      <c r="A515" s="156"/>
      <c r="B515" s="59"/>
      <c r="C515" s="24">
        <f t="shared" si="80"/>
        <v>1</v>
      </c>
      <c r="D515" s="717"/>
      <c r="E515" s="24">
        <f t="shared" si="81"/>
        <v>1</v>
      </c>
      <c r="F515" s="717"/>
      <c r="G515" s="24">
        <f t="shared" si="82"/>
        <v>1</v>
      </c>
      <c r="H515" s="717"/>
      <c r="I515" s="24">
        <f t="shared" si="83"/>
        <v>1</v>
      </c>
      <c r="J515" s="717"/>
      <c r="K515" s="24">
        <f t="shared" si="84"/>
        <v>1</v>
      </c>
      <c r="L515" s="717"/>
      <c r="M515" s="24">
        <f t="shared" si="85"/>
        <v>1</v>
      </c>
      <c r="N515" s="717"/>
      <c r="O515" s="24">
        <f t="shared" si="86"/>
        <v>1</v>
      </c>
      <c r="P515" s="717"/>
      <c r="Q515" s="24">
        <f t="shared" si="87"/>
        <v>1</v>
      </c>
      <c r="R515" s="713">
        <f t="shared" si="88"/>
        <v>0</v>
      </c>
      <c r="S515" s="358">
        <f t="shared" si="89"/>
        <v>0</v>
      </c>
    </row>
    <row r="516" spans="1:19">
      <c r="A516" s="156"/>
      <c r="B516" s="59"/>
      <c r="C516" s="24">
        <f t="shared" si="80"/>
        <v>1</v>
      </c>
      <c r="D516" s="717"/>
      <c r="E516" s="24">
        <f t="shared" si="81"/>
        <v>1</v>
      </c>
      <c r="F516" s="717"/>
      <c r="G516" s="24">
        <f t="shared" si="82"/>
        <v>1</v>
      </c>
      <c r="H516" s="717"/>
      <c r="I516" s="24">
        <f t="shared" si="83"/>
        <v>1</v>
      </c>
      <c r="J516" s="717"/>
      <c r="K516" s="24">
        <f t="shared" si="84"/>
        <v>1</v>
      </c>
      <c r="L516" s="717"/>
      <c r="M516" s="24">
        <f t="shared" si="85"/>
        <v>1</v>
      </c>
      <c r="N516" s="717"/>
      <c r="O516" s="24">
        <f t="shared" si="86"/>
        <v>1</v>
      </c>
      <c r="P516" s="717"/>
      <c r="Q516" s="24">
        <f t="shared" si="87"/>
        <v>1</v>
      </c>
      <c r="R516" s="713">
        <f t="shared" si="88"/>
        <v>0</v>
      </c>
      <c r="S516" s="358">
        <f t="shared" si="89"/>
        <v>0</v>
      </c>
    </row>
    <row r="517" spans="1:19">
      <c r="A517" s="156"/>
      <c r="B517" s="59"/>
      <c r="C517" s="24">
        <f t="shared" si="80"/>
        <v>1</v>
      </c>
      <c r="D517" s="717"/>
      <c r="E517" s="24">
        <f t="shared" si="81"/>
        <v>1</v>
      </c>
      <c r="F517" s="717"/>
      <c r="G517" s="24">
        <f t="shared" si="82"/>
        <v>1</v>
      </c>
      <c r="H517" s="717"/>
      <c r="I517" s="24">
        <f t="shared" si="83"/>
        <v>1</v>
      </c>
      <c r="J517" s="717"/>
      <c r="K517" s="24">
        <f t="shared" si="84"/>
        <v>1</v>
      </c>
      <c r="L517" s="717"/>
      <c r="M517" s="24">
        <f t="shared" si="85"/>
        <v>1</v>
      </c>
      <c r="N517" s="717"/>
      <c r="O517" s="24">
        <f t="shared" si="86"/>
        <v>1</v>
      </c>
      <c r="P517" s="717"/>
      <c r="Q517" s="24">
        <f t="shared" si="87"/>
        <v>1</v>
      </c>
      <c r="R517" s="713">
        <f t="shared" si="88"/>
        <v>0</v>
      </c>
      <c r="S517" s="358">
        <f t="shared" si="89"/>
        <v>0</v>
      </c>
    </row>
    <row r="518" spans="1:19">
      <c r="A518" s="156"/>
      <c r="B518" s="59"/>
      <c r="C518" s="24">
        <f t="shared" si="80"/>
        <v>1</v>
      </c>
      <c r="D518" s="717"/>
      <c r="E518" s="24">
        <f t="shared" si="81"/>
        <v>1</v>
      </c>
      <c r="F518" s="717"/>
      <c r="G518" s="24">
        <f t="shared" si="82"/>
        <v>1</v>
      </c>
      <c r="H518" s="717"/>
      <c r="I518" s="24">
        <f t="shared" si="83"/>
        <v>1</v>
      </c>
      <c r="J518" s="717"/>
      <c r="K518" s="24">
        <f t="shared" si="84"/>
        <v>1</v>
      </c>
      <c r="L518" s="717"/>
      <c r="M518" s="24">
        <f t="shared" si="85"/>
        <v>1</v>
      </c>
      <c r="N518" s="717"/>
      <c r="O518" s="24">
        <f t="shared" si="86"/>
        <v>1</v>
      </c>
      <c r="P518" s="717"/>
      <c r="Q518" s="24">
        <f t="shared" si="87"/>
        <v>1</v>
      </c>
      <c r="R518" s="713">
        <f t="shared" si="88"/>
        <v>0</v>
      </c>
      <c r="S518" s="358">
        <f t="shared" si="89"/>
        <v>0</v>
      </c>
    </row>
    <row r="519" spans="1:19">
      <c r="A519" s="156"/>
      <c r="B519" s="59"/>
      <c r="C519" s="24">
        <f t="shared" si="80"/>
        <v>1</v>
      </c>
      <c r="D519" s="717"/>
      <c r="E519" s="24">
        <f t="shared" si="81"/>
        <v>1</v>
      </c>
      <c r="F519" s="717"/>
      <c r="G519" s="24">
        <f t="shared" si="82"/>
        <v>1</v>
      </c>
      <c r="H519" s="717"/>
      <c r="I519" s="24">
        <f t="shared" si="83"/>
        <v>1</v>
      </c>
      <c r="J519" s="717"/>
      <c r="K519" s="24">
        <f t="shared" si="84"/>
        <v>1</v>
      </c>
      <c r="L519" s="717"/>
      <c r="M519" s="24">
        <f t="shared" si="85"/>
        <v>1</v>
      </c>
      <c r="N519" s="717"/>
      <c r="O519" s="24">
        <f t="shared" si="86"/>
        <v>1</v>
      </c>
      <c r="P519" s="717"/>
      <c r="Q519" s="24">
        <f t="shared" si="87"/>
        <v>1</v>
      </c>
      <c r="R519" s="713">
        <f t="shared" si="88"/>
        <v>0</v>
      </c>
      <c r="S519" s="358">
        <f t="shared" si="89"/>
        <v>0</v>
      </c>
    </row>
    <row r="520" spans="1:19">
      <c r="A520" s="156"/>
      <c r="B520" s="59"/>
      <c r="C520" s="24">
        <f t="shared" si="80"/>
        <v>1</v>
      </c>
      <c r="D520" s="717"/>
      <c r="E520" s="24">
        <f t="shared" si="81"/>
        <v>1</v>
      </c>
      <c r="F520" s="717"/>
      <c r="G520" s="24">
        <f t="shared" si="82"/>
        <v>1</v>
      </c>
      <c r="H520" s="717"/>
      <c r="I520" s="24">
        <f t="shared" si="83"/>
        <v>1</v>
      </c>
      <c r="J520" s="717"/>
      <c r="K520" s="24">
        <f t="shared" si="84"/>
        <v>1</v>
      </c>
      <c r="L520" s="717"/>
      <c r="M520" s="24">
        <f t="shared" si="85"/>
        <v>1</v>
      </c>
      <c r="N520" s="717"/>
      <c r="O520" s="24">
        <f t="shared" si="86"/>
        <v>1</v>
      </c>
      <c r="P520" s="717"/>
      <c r="Q520" s="24">
        <f t="shared" si="87"/>
        <v>1</v>
      </c>
      <c r="R520" s="713">
        <f t="shared" si="88"/>
        <v>0</v>
      </c>
      <c r="S520" s="358">
        <f t="shared" si="89"/>
        <v>0</v>
      </c>
    </row>
    <row r="521" spans="1:19">
      <c r="A521" s="156"/>
      <c r="B521" s="59"/>
      <c r="C521" s="24">
        <f t="shared" si="80"/>
        <v>1</v>
      </c>
      <c r="D521" s="717"/>
      <c r="E521" s="24">
        <f t="shared" si="81"/>
        <v>1</v>
      </c>
      <c r="F521" s="717"/>
      <c r="G521" s="24">
        <f t="shared" si="82"/>
        <v>1</v>
      </c>
      <c r="H521" s="717"/>
      <c r="I521" s="24">
        <f t="shared" si="83"/>
        <v>1</v>
      </c>
      <c r="J521" s="717"/>
      <c r="K521" s="24">
        <f t="shared" si="84"/>
        <v>1</v>
      </c>
      <c r="L521" s="717"/>
      <c r="M521" s="24">
        <f t="shared" si="85"/>
        <v>1</v>
      </c>
      <c r="N521" s="717"/>
      <c r="O521" s="24">
        <f t="shared" si="86"/>
        <v>1</v>
      </c>
      <c r="P521" s="717"/>
      <c r="Q521" s="24">
        <f t="shared" si="87"/>
        <v>1</v>
      </c>
      <c r="R521" s="713">
        <f t="shared" si="88"/>
        <v>0</v>
      </c>
      <c r="S521" s="358">
        <f t="shared" si="89"/>
        <v>0</v>
      </c>
    </row>
    <row r="522" spans="1:19">
      <c r="A522" s="156"/>
      <c r="B522" s="59"/>
      <c r="C522" s="24">
        <f t="shared" si="80"/>
        <v>1</v>
      </c>
      <c r="D522" s="717"/>
      <c r="E522" s="24">
        <f t="shared" si="81"/>
        <v>1</v>
      </c>
      <c r="F522" s="717"/>
      <c r="G522" s="24">
        <f t="shared" si="82"/>
        <v>1</v>
      </c>
      <c r="H522" s="717"/>
      <c r="I522" s="24">
        <f t="shared" si="83"/>
        <v>1</v>
      </c>
      <c r="J522" s="717"/>
      <c r="K522" s="24">
        <f t="shared" si="84"/>
        <v>1</v>
      </c>
      <c r="L522" s="717"/>
      <c r="M522" s="24">
        <f t="shared" si="85"/>
        <v>1</v>
      </c>
      <c r="N522" s="717"/>
      <c r="O522" s="24">
        <f t="shared" si="86"/>
        <v>1</v>
      </c>
      <c r="P522" s="717"/>
      <c r="Q522" s="24">
        <f t="shared" si="87"/>
        <v>1</v>
      </c>
      <c r="R522" s="713">
        <f t="shared" si="88"/>
        <v>0</v>
      </c>
      <c r="S522" s="358">
        <f t="shared" si="89"/>
        <v>0</v>
      </c>
    </row>
    <row r="523" spans="1:19">
      <c r="A523" s="156"/>
      <c r="B523" s="59"/>
      <c r="C523" s="24">
        <f t="shared" si="80"/>
        <v>1</v>
      </c>
      <c r="D523" s="717"/>
      <c r="E523" s="24">
        <f t="shared" si="81"/>
        <v>1</v>
      </c>
      <c r="F523" s="717"/>
      <c r="G523" s="24">
        <f t="shared" si="82"/>
        <v>1</v>
      </c>
      <c r="H523" s="717"/>
      <c r="I523" s="24">
        <f t="shared" si="83"/>
        <v>1</v>
      </c>
      <c r="J523" s="717"/>
      <c r="K523" s="24">
        <f t="shared" si="84"/>
        <v>1</v>
      </c>
      <c r="L523" s="717"/>
      <c r="M523" s="24">
        <f t="shared" si="85"/>
        <v>1</v>
      </c>
      <c r="N523" s="717"/>
      <c r="O523" s="24">
        <f t="shared" si="86"/>
        <v>1</v>
      </c>
      <c r="P523" s="717"/>
      <c r="Q523" s="24">
        <f t="shared" si="87"/>
        <v>1</v>
      </c>
      <c r="R523" s="713">
        <f t="shared" si="88"/>
        <v>0</v>
      </c>
      <c r="S523" s="358">
        <f t="shared" si="89"/>
        <v>0</v>
      </c>
    </row>
    <row r="524" spans="1:19">
      <c r="A524" s="156"/>
      <c r="B524" s="59"/>
      <c r="C524" s="24">
        <f t="shared" si="80"/>
        <v>1</v>
      </c>
      <c r="D524" s="717"/>
      <c r="E524" s="24">
        <f t="shared" si="81"/>
        <v>1</v>
      </c>
      <c r="F524" s="717"/>
      <c r="G524" s="24">
        <f t="shared" si="82"/>
        <v>1</v>
      </c>
      <c r="H524" s="717"/>
      <c r="I524" s="24">
        <f t="shared" si="83"/>
        <v>1</v>
      </c>
      <c r="J524" s="717"/>
      <c r="K524" s="24">
        <f t="shared" si="84"/>
        <v>1</v>
      </c>
      <c r="L524" s="717"/>
      <c r="M524" s="24">
        <f t="shared" si="85"/>
        <v>1</v>
      </c>
      <c r="N524" s="717"/>
      <c r="O524" s="24">
        <f t="shared" si="86"/>
        <v>1</v>
      </c>
      <c r="P524" s="717"/>
      <c r="Q524" s="24">
        <f t="shared" si="87"/>
        <v>1</v>
      </c>
      <c r="R524" s="713">
        <f t="shared" si="88"/>
        <v>0</v>
      </c>
      <c r="S524" s="358">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125" style="292" customWidth="1"/>
    <col min="3" max="3" width="12.125" style="292" customWidth="1"/>
    <col min="4" max="5" width="1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37552</v>
      </c>
      <c r="C2" s="2" t="s">
        <v>133</v>
      </c>
      <c r="D2" s="240"/>
      <c r="E2" s="240"/>
      <c r="F2" s="240"/>
      <c r="G2" s="240"/>
    </row>
    <row r="3" spans="1:7" s="241" customFormat="1" ht="18" customHeight="1" thickBot="1">
      <c r="A3" s="244" t="s">
        <v>85</v>
      </c>
      <c r="B3" s="245">
        <f ca="1">ROUND(B2*10000/'数据-汇总表'!E3,0)</f>
        <v>417</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610</v>
      </c>
      <c r="D7" s="261"/>
      <c r="E7" s="259"/>
      <c r="F7" s="262">
        <f>'数据-取费表'!B48+'数据-取费表'!B49</f>
        <v>3.0499999999999999E-2</v>
      </c>
      <c r="G7" s="260"/>
    </row>
    <row r="8" spans="1:7" s="264" customFormat="1">
      <c r="A8" s="944" t="s">
        <v>793</v>
      </c>
      <c r="B8" s="256" t="s">
        <v>92</v>
      </c>
      <c r="C8" s="261" t="str">
        <f>IF(G8="已包含在土地购买价格中","0",'数据-取费表'!B29)</f>
        <v>0</v>
      </c>
      <c r="D8" s="263"/>
      <c r="E8" s="261"/>
      <c r="F8" s="262"/>
      <c r="G8" s="1" t="s">
        <v>1145</v>
      </c>
    </row>
    <row r="9" spans="1:7" s="255" customFormat="1" ht="13.5" customHeight="1">
      <c r="A9" s="945" t="s">
        <v>800</v>
      </c>
      <c r="B9" s="265" t="s">
        <v>93</v>
      </c>
      <c r="C9" s="266">
        <f>ROUND(D9*E9/10000,0)</f>
        <v>5507</v>
      </c>
      <c r="D9" s="1026">
        <f>'数据-汇总表'!E5</f>
        <v>611930.4</v>
      </c>
      <c r="E9" s="266">
        <f>'数据-取费表'!B27</f>
        <v>90</v>
      </c>
      <c r="F9" s="262"/>
      <c r="G9" s="267"/>
    </row>
    <row r="10" spans="1:7" s="255" customFormat="1" ht="13.5" customHeight="1">
      <c r="A10" s="945" t="s">
        <v>801</v>
      </c>
      <c r="B10" s="265" t="s">
        <v>94</v>
      </c>
      <c r="C10" s="266">
        <f>ROUND(D10*E10/10000,0)</f>
        <v>4038</v>
      </c>
      <c r="D10" s="1026">
        <f>'数据-汇总表'!E6</f>
        <v>288453.85897299997</v>
      </c>
      <c r="E10" s="266">
        <f>'数据-取费表'!B28</f>
        <v>140</v>
      </c>
      <c r="F10" s="262"/>
      <c r="G10" s="267"/>
    </row>
    <row r="11" spans="1:7" s="255" customFormat="1" ht="13.5" hidden="1" customHeight="1">
      <c r="A11" s="268" t="s">
        <v>7</v>
      </c>
      <c r="B11" s="256" t="s">
        <v>95</v>
      </c>
      <c r="C11" s="252"/>
      <c r="D11" s="1028"/>
      <c r="E11" s="259"/>
      <c r="F11" s="259"/>
      <c r="G11" s="260"/>
    </row>
    <row r="12" spans="1:7" s="255" customFormat="1" ht="13.5" hidden="1" customHeight="1">
      <c r="A12" s="268" t="s">
        <v>8</v>
      </c>
      <c r="B12" s="256" t="s">
        <v>96</v>
      </c>
      <c r="C12" s="252">
        <v>0</v>
      </c>
      <c r="D12" s="1028"/>
      <c r="E12" s="269"/>
      <c r="F12" s="262">
        <v>3.0499999999999999E-2</v>
      </c>
      <c r="G12" s="260"/>
    </row>
    <row r="13" spans="1:7" s="255" customFormat="1" ht="13.5" hidden="1" customHeight="1">
      <c r="A13" s="268" t="s">
        <v>9</v>
      </c>
      <c r="B13" s="256" t="s">
        <v>97</v>
      </c>
      <c r="C13" s="252"/>
      <c r="D13" s="1028"/>
      <c r="E13" s="259"/>
      <c r="F13" s="259"/>
      <c r="G13" s="260"/>
    </row>
    <row r="14" spans="1:7" s="255" customFormat="1" ht="13.5" hidden="1" customHeight="1">
      <c r="A14" s="268" t="s">
        <v>10</v>
      </c>
      <c r="B14" s="256" t="s">
        <v>92</v>
      </c>
      <c r="C14" s="252"/>
      <c r="D14" s="1028"/>
      <c r="E14" s="259"/>
      <c r="F14" s="259"/>
      <c r="G14" s="260" t="s">
        <v>98</v>
      </c>
    </row>
    <row r="15" spans="1:7" s="255" customFormat="1" ht="13.5" hidden="1" customHeight="1">
      <c r="A15" s="268" t="s">
        <v>11</v>
      </c>
      <c r="B15" s="256" t="s">
        <v>99</v>
      </c>
      <c r="C15" s="261"/>
      <c r="D15" s="1028"/>
      <c r="E15" s="259"/>
      <c r="F15" s="259"/>
      <c r="G15" s="260" t="s">
        <v>100</v>
      </c>
    </row>
    <row r="16" spans="1:7" s="255" customFormat="1" ht="13.5" hidden="1" customHeight="1">
      <c r="A16" s="268" t="s">
        <v>12</v>
      </c>
      <c r="B16" s="256" t="s">
        <v>92</v>
      </c>
      <c r="C16" s="261"/>
      <c r="D16" s="1028"/>
      <c r="E16" s="259"/>
      <c r="F16" s="259"/>
      <c r="G16" s="260"/>
    </row>
    <row r="17" spans="1:7" s="255" customFormat="1" ht="13.5" hidden="1" customHeight="1">
      <c r="A17" s="268" t="s">
        <v>13</v>
      </c>
      <c r="B17" s="256" t="s">
        <v>101</v>
      </c>
      <c r="C17" s="270"/>
      <c r="D17" s="1029"/>
      <c r="E17" s="270"/>
      <c r="F17" s="270"/>
      <c r="G17" s="260" t="s">
        <v>100</v>
      </c>
    </row>
    <row r="18" spans="1:7" s="255" customFormat="1" ht="13.5" hidden="1" customHeight="1">
      <c r="A18" s="268" t="s">
        <v>14</v>
      </c>
      <c r="B18" s="256" t="s">
        <v>102</v>
      </c>
      <c r="C18" s="261">
        <v>0</v>
      </c>
      <c r="D18" s="1028"/>
      <c r="E18" s="259"/>
      <c r="F18" s="262">
        <v>3.0499999999999999E-2</v>
      </c>
      <c r="G18" s="260" t="s">
        <v>103</v>
      </c>
    </row>
    <row r="19" spans="1:7" s="264" customFormat="1" ht="13.5" customHeight="1">
      <c r="A19" s="943" t="s">
        <v>1052</v>
      </c>
      <c r="B19" s="251" t="s">
        <v>111</v>
      </c>
      <c r="C19" s="252">
        <f>IF(G19="已包含在土地取得成本中","0",ROUND(D19*E19/10000,0))</f>
        <v>13506</v>
      </c>
      <c r="D19" s="1030">
        <f>'数据-汇总表'!E3</f>
        <v>900384.25897299999</v>
      </c>
      <c r="E19" s="252">
        <f>'数据-取费表'!B31</f>
        <v>150</v>
      </c>
      <c r="F19" s="272"/>
      <c r="G19" s="1" t="s">
        <v>1071</v>
      </c>
    </row>
    <row r="20" spans="1:7" s="255" customFormat="1" ht="13.5" customHeight="1">
      <c r="A20" s="943" t="s">
        <v>1054</v>
      </c>
      <c r="B20" s="251" t="s">
        <v>104</v>
      </c>
      <c r="C20" s="273">
        <f>ROUND((C5+C19)*F20,0)</f>
        <v>682</v>
      </c>
      <c r="D20" s="273"/>
      <c r="E20" s="273"/>
      <c r="F20" s="274">
        <f>'数据-取费表'!B37</f>
        <v>0.02</v>
      </c>
      <c r="G20" s="1283" t="s">
        <v>1065</v>
      </c>
    </row>
    <row r="21" spans="1:7" s="255" customFormat="1" ht="13.5" customHeight="1">
      <c r="A21" s="943" t="s">
        <v>1056</v>
      </c>
      <c r="B21" s="251" t="s">
        <v>105</v>
      </c>
      <c r="C21" s="276">
        <f>F21</f>
        <v>0.02</v>
      </c>
      <c r="D21" s="277" t="s">
        <v>126</v>
      </c>
      <c r="E21" s="273"/>
      <c r="F21" s="274">
        <f>'数据-取费表'!B38</f>
        <v>0.02</v>
      </c>
      <c r="G21" s="275" t="s">
        <v>106</v>
      </c>
    </row>
    <row r="22" spans="1:7" s="255" customFormat="1" ht="13.5" customHeight="1">
      <c r="A22" s="943" t="s">
        <v>786</v>
      </c>
      <c r="B22" s="251" t="s">
        <v>107</v>
      </c>
      <c r="C22" s="1348">
        <f ca="1">ROUND(SUM(C23:C25),0)</f>
        <v>0</v>
      </c>
      <c r="D22" s="276">
        <f ca="1">C26</f>
        <v>0</v>
      </c>
      <c r="E22" s="277" t="s">
        <v>126</v>
      </c>
      <c r="F22" s="278">
        <f ca="1">'数据-取费表'!B40</f>
        <v>4.7500000000000001E-2</v>
      </c>
      <c r="G22" s="1283" t="str">
        <f>IF('数据-取费表'!B22&lt;=1,"单利计息","复利计息")</f>
        <v>复利计息</v>
      </c>
    </row>
    <row r="23" spans="1:7" s="255" customFormat="1" ht="13.5" customHeight="1">
      <c r="A23" s="946" t="s">
        <v>794</v>
      </c>
      <c r="B23" s="256" t="s">
        <v>1058</v>
      </c>
      <c r="C23" s="1349">
        <f ca="1">ROUND(IF('数据-取费表'!B22&lt;=1,C5*F22*'数据-取费表'!B23,C5*(POWER((1+F22),'数据-取费表'!B23)-1)),0)</f>
        <v>0</v>
      </c>
      <c r="D23" s="279"/>
      <c r="E23" s="279"/>
      <c r="F23" s="280"/>
      <c r="G23" s="281" t="s">
        <v>108</v>
      </c>
    </row>
    <row r="24" spans="1:7" s="255" customFormat="1" ht="13.5" customHeight="1">
      <c r="A24" s="946" t="s">
        <v>792</v>
      </c>
      <c r="B24" s="256" t="s">
        <v>1053</v>
      </c>
      <c r="C24" s="1349">
        <f ca="1">ROUND(IF('数据-取费表'!B22&lt;=1,C19*F22*('数据-取费表'!B19/2+'数据-取费表'!B21),C19*(POWER((1+F22),('数据-取费表'!B19/2+'数据-取费表'!B21))-1)),0)</f>
        <v>0</v>
      </c>
      <c r="D24" s="279"/>
      <c r="E24" s="279"/>
      <c r="F24" s="280"/>
      <c r="G24" s="281" t="s">
        <v>109</v>
      </c>
    </row>
    <row r="25" spans="1:7" s="255" customFormat="1" ht="24">
      <c r="A25" s="946" t="s">
        <v>793</v>
      </c>
      <c r="B25" s="256" t="s">
        <v>1055</v>
      </c>
      <c r="C25" s="1349">
        <f ca="1">ROUND(IF('数据-取费表'!B22&lt;=1,C20*F22*'数据-取费表'!B23/2,C20*(POWER((1+F22),'数据-取费表'!B23/2)-1)),0)</f>
        <v>0</v>
      </c>
      <c r="D25" s="279"/>
      <c r="E25" s="282"/>
      <c r="F25" s="280"/>
      <c r="G25" s="283" t="s">
        <v>110</v>
      </c>
    </row>
    <row r="26" spans="1:7" s="255" customFormat="1">
      <c r="A26" s="946" t="s">
        <v>795</v>
      </c>
      <c r="B26" s="256" t="s">
        <v>1057</v>
      </c>
      <c r="C26" s="279">
        <f ca="1">ROUND(IF('数据-取费表'!B22&lt;=1,F21*F22*'数据-取费表'!B23/2,F21*(POWER((1+F22),'数据-取费表'!B23/2)-1)),4)</f>
        <v>0</v>
      </c>
      <c r="D26" s="279"/>
      <c r="E26" s="282"/>
      <c r="F26" s="280"/>
      <c r="G26" s="284"/>
    </row>
    <row r="27" spans="1:7" s="255" customFormat="1" ht="24.75">
      <c r="A27" s="943" t="s">
        <v>787</v>
      </c>
      <c r="B27" s="285" t="s">
        <v>112</v>
      </c>
      <c r="C27" s="286">
        <f>C28</f>
        <v>0</v>
      </c>
      <c r="D27" s="276">
        <f>C29</f>
        <v>0</v>
      </c>
      <c r="E27" s="277" t="s">
        <v>126</v>
      </c>
      <c r="F27" s="287">
        <f>'数据-取费表'!Q16</f>
        <v>0.13</v>
      </c>
      <c r="G27" s="288" t="s">
        <v>1066</v>
      </c>
    </row>
    <row r="28" spans="1:7" s="255" customFormat="1" ht="13.5" customHeight="1">
      <c r="A28" s="946" t="s">
        <v>794</v>
      </c>
      <c r="B28" s="289" t="s">
        <v>1059</v>
      </c>
      <c r="C28" s="290">
        <f>ROUND((C5+C19+C20)*F27*'数据-取费表'!B21/'数据-取费表'!B20,0)</f>
        <v>0</v>
      </c>
      <c r="D28" s="276"/>
      <c r="E28" s="277"/>
      <c r="F28" s="287"/>
      <c r="G28" s="288"/>
    </row>
    <row r="29" spans="1:7" s="255" customFormat="1" ht="13.5" customHeight="1">
      <c r="A29" s="946" t="s">
        <v>792</v>
      </c>
      <c r="B29" s="289" t="s">
        <v>1060</v>
      </c>
      <c r="C29" s="279">
        <f>ROUND(C21*F27*'数据-取费表'!B21/'数据-取费表'!B20,4)</f>
        <v>0</v>
      </c>
      <c r="D29" s="276"/>
      <c r="E29" s="277"/>
      <c r="F29" s="287"/>
      <c r="G29" s="288"/>
    </row>
    <row r="30" spans="1:7" s="255" customFormat="1" ht="13.5" customHeight="1">
      <c r="A30" s="943"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37552</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0</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0</v>
      </c>
      <c r="D34" s="258"/>
      <c r="E34" s="261"/>
      <c r="F34" s="298">
        <f>IF('数据-取费表'!B24=0,1,'数据-取费表'!N16)</f>
        <v>0</v>
      </c>
      <c r="G34" s="260" t="s">
        <v>116</v>
      </c>
    </row>
    <row r="35" spans="1:7" ht="13.5" customHeight="1">
      <c r="A35" s="946" t="s">
        <v>796</v>
      </c>
      <c r="B35" s="256" t="s">
        <v>60</v>
      </c>
      <c r="C35" s="261">
        <f>ROUND(C34*F35,0)</f>
        <v>0</v>
      </c>
      <c r="D35" s="261"/>
      <c r="E35" s="261"/>
      <c r="F35" s="300">
        <f>'数据-取费表'!B33</f>
        <v>0.03</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0.05</v>
      </c>
      <c r="G36" s="301" t="s">
        <v>62</v>
      </c>
    </row>
    <row r="37" spans="1:7" s="299" customFormat="1" ht="13.5" customHeight="1">
      <c r="A37" s="946" t="s">
        <v>798</v>
      </c>
      <c r="B37" s="256" t="s">
        <v>118</v>
      </c>
      <c r="C37" s="290">
        <f>ROUND(E37*D37*F34/10000,0)</f>
        <v>0</v>
      </c>
      <c r="D37" s="258">
        <f>'数据-汇总表'!E3</f>
        <v>900384.25897299999</v>
      </c>
      <c r="E37" s="290">
        <f>'数据-取费表'!B35</f>
        <v>200</v>
      </c>
      <c r="F37" s="300"/>
      <c r="G37" s="302" t="s">
        <v>119</v>
      </c>
    </row>
    <row r="38" spans="1:7" ht="13.5" customHeight="1">
      <c r="A38" s="946" t="s">
        <v>799</v>
      </c>
      <c r="B38" s="256" t="s">
        <v>63</v>
      </c>
      <c r="C38" s="261">
        <f>ROUND(C34*F38,0)</f>
        <v>0</v>
      </c>
      <c r="D38" s="261"/>
      <c r="E38" s="261"/>
      <c r="F38" s="300">
        <f>'数据-取费表'!B36</f>
        <v>1.4999999999999999E-2</v>
      </c>
      <c r="G38" s="260" t="s">
        <v>117</v>
      </c>
    </row>
    <row r="39" spans="1:7" s="255" customFormat="1" ht="13.5" customHeight="1">
      <c r="A39" s="943" t="s">
        <v>783</v>
      </c>
      <c r="B39" s="251" t="s">
        <v>104</v>
      </c>
      <c r="C39" s="273">
        <f>ROUND(C33*F20,0)</f>
        <v>0</v>
      </c>
      <c r="D39" s="273"/>
      <c r="E39" s="273"/>
      <c r="F39" s="274"/>
      <c r="G39" s="1283" t="s">
        <v>1068</v>
      </c>
    </row>
    <row r="40" spans="1:7" s="255" customFormat="1" ht="13.5" customHeight="1">
      <c r="A40" s="943" t="s">
        <v>784</v>
      </c>
      <c r="B40" s="251" t="s">
        <v>105</v>
      </c>
      <c r="C40" s="303">
        <f>F21</f>
        <v>0.02</v>
      </c>
      <c r="D40" s="277" t="s">
        <v>129</v>
      </c>
      <c r="E40" s="273"/>
      <c r="F40" s="274"/>
      <c r="G40" s="275" t="s">
        <v>120</v>
      </c>
    </row>
    <row r="41" spans="1:7" s="255" customFormat="1" ht="13.5" customHeight="1">
      <c r="A41" s="943" t="s">
        <v>785</v>
      </c>
      <c r="B41" s="251" t="s">
        <v>107</v>
      </c>
      <c r="C41" s="273">
        <f ca="1">ROUND(SUM(C42:C43),0)</f>
        <v>0</v>
      </c>
      <c r="D41" s="276">
        <f ca="1">C44</f>
        <v>0</v>
      </c>
      <c r="E41" s="277" t="s">
        <v>129</v>
      </c>
      <c r="F41" s="278"/>
      <c r="G41" s="1283" t="str">
        <f>IF('数据-取费表'!B22&lt;=1,"单利计息","复利计息")</f>
        <v>复利计息</v>
      </c>
    </row>
    <row r="42" spans="1:7" ht="13.5" customHeight="1">
      <c r="A42" s="946" t="s">
        <v>794</v>
      </c>
      <c r="B42" s="256" t="s">
        <v>1058</v>
      </c>
      <c r="C42" s="279">
        <f ca="1">ROUND(IF('数据-取费表'!B22&lt;=1,C33*F22*'数据-取费表'!B21/2,C33*(POWER((1+F22),'数据-取费表'!B21/2)-1)),0)</f>
        <v>0</v>
      </c>
      <c r="D42" s="279"/>
      <c r="E42" s="279"/>
      <c r="F42" s="280"/>
      <c r="G42" s="3257" t="s">
        <v>121</v>
      </c>
    </row>
    <row r="43" spans="1:7" ht="13.5" customHeight="1">
      <c r="A43" s="946" t="s">
        <v>792</v>
      </c>
      <c r="B43" s="256" t="s">
        <v>1061</v>
      </c>
      <c r="C43" s="279">
        <f ca="1">ROUND(IF('数据-取费表'!B22&lt;=1,C39*F22*'数据-取费表'!B21/2,C39*(POWER((1+F22),'数据-取费表'!B21/2)-1)),0)</f>
        <v>0</v>
      </c>
      <c r="D43" s="279"/>
      <c r="E43" s="279"/>
      <c r="F43" s="280"/>
      <c r="G43" s="3258"/>
    </row>
    <row r="44" spans="1:7" ht="13.5" customHeight="1">
      <c r="A44" s="946" t="s">
        <v>793</v>
      </c>
      <c r="B44" s="256" t="s">
        <v>1063</v>
      </c>
      <c r="C44" s="279">
        <f ca="1">ROUND(IF('数据-取费表'!B22&lt;=1,C40*F22*'数据-取费表'!B21/2,C40*(POWER((1+F22),'数据-取费表'!B21/2)-1)),4)</f>
        <v>0</v>
      </c>
      <c r="D44" s="279"/>
      <c r="E44" s="279"/>
      <c r="F44" s="280"/>
      <c r="G44" s="3259"/>
    </row>
    <row r="45" spans="1:7" s="255" customFormat="1" ht="13.5" customHeight="1">
      <c r="A45" s="943" t="s">
        <v>786</v>
      </c>
      <c r="B45" s="285" t="s">
        <v>112</v>
      </c>
      <c r="C45" s="286">
        <f>C46</f>
        <v>0</v>
      </c>
      <c r="D45" s="276">
        <f>C47</f>
        <v>2.5999999999999999E-3</v>
      </c>
      <c r="E45" s="277" t="s">
        <v>129</v>
      </c>
      <c r="F45" s="287"/>
      <c r="G45" s="288" t="s">
        <v>1069</v>
      </c>
    </row>
    <row r="46" spans="1:7" s="255" customFormat="1" ht="13.5" customHeight="1">
      <c r="A46" s="946" t="s">
        <v>794</v>
      </c>
      <c r="B46" s="289" t="s">
        <v>1062</v>
      </c>
      <c r="C46" s="290">
        <f>ROUND((C33+C39)*F27,0)</f>
        <v>0</v>
      </c>
      <c r="D46" s="304"/>
      <c r="E46" s="277"/>
      <c r="F46" s="287"/>
      <c r="G46" s="288"/>
    </row>
    <row r="47" spans="1:7" s="255" customFormat="1" ht="13.5" customHeight="1">
      <c r="A47" s="946" t="s">
        <v>792</v>
      </c>
      <c r="B47" s="289" t="s">
        <v>1064</v>
      </c>
      <c r="C47" s="279">
        <f>ROUND(C40*F27,4)</f>
        <v>2.5999999999999999E-3</v>
      </c>
      <c r="D47" s="304"/>
      <c r="E47" s="277"/>
      <c r="F47" s="287"/>
      <c r="G47" s="288"/>
    </row>
    <row r="48" spans="1:7" s="255" customFormat="1" ht="13.5" customHeight="1">
      <c r="A48" s="943" t="s">
        <v>787</v>
      </c>
      <c r="B48" s="251" t="s">
        <v>122</v>
      </c>
      <c r="C48" s="303">
        <f>F30</f>
        <v>5.6000000000000001E-2</v>
      </c>
      <c r="D48" s="277" t="s">
        <v>130</v>
      </c>
      <c r="E48" s="273"/>
      <c r="F48" s="278"/>
      <c r="G48" s="275" t="s">
        <v>123</v>
      </c>
    </row>
    <row r="49" spans="1:7" ht="16.5" customHeight="1">
      <c r="A49" s="943" t="s">
        <v>788</v>
      </c>
      <c r="B49" s="251" t="s">
        <v>131</v>
      </c>
      <c r="C49" s="273">
        <f ca="1">ROUND((C33+C39+C41+C45)/(1-C40-D41-D45-C48/(1+'数据-取费表'!B42)),0)</f>
        <v>0</v>
      </c>
      <c r="D49" s="273"/>
      <c r="E49" s="273"/>
      <c r="F49" s="305"/>
      <c r="G49" s="275" t="s">
        <v>1070</v>
      </c>
    </row>
    <row r="50" spans="1:7" s="299" customFormat="1" ht="24">
      <c r="A50" s="943" t="s">
        <v>789</v>
      </c>
      <c r="B50" s="251" t="s">
        <v>124</v>
      </c>
      <c r="C50" s="273"/>
      <c r="D50" s="273"/>
      <c r="E50" s="273"/>
      <c r="F50" s="305">
        <f>IF('数据-取费表'!B24=0,'数据-取费表'!N16,1)</f>
        <v>1</v>
      </c>
      <c r="G50" s="288" t="s">
        <v>125</v>
      </c>
    </row>
    <row r="51" spans="1:7" ht="16.5" customHeight="1">
      <c r="A51" s="943" t="s">
        <v>790</v>
      </c>
      <c r="B51" s="251" t="s">
        <v>132</v>
      </c>
      <c r="C51" s="273">
        <f ca="1">ROUND(C49*F50,0)</f>
        <v>0</v>
      </c>
      <c r="D51" s="273"/>
      <c r="E51" s="273"/>
      <c r="F51" s="305"/>
      <c r="G51" s="275" t="s">
        <v>64</v>
      </c>
    </row>
    <row r="52" spans="1:7" s="249" customFormat="1" ht="16.5" thickBot="1">
      <c r="A52" s="306" t="s">
        <v>65</v>
      </c>
      <c r="B52" s="307"/>
      <c r="C52" s="308">
        <f ca="1">C31+C51</f>
        <v>37552</v>
      </c>
      <c r="D52" s="307"/>
      <c r="E52" s="307"/>
      <c r="F52" s="307"/>
      <c r="G52" s="309"/>
    </row>
    <row r="55" spans="1:7" ht="15">
      <c r="B55" s="311" t="s">
        <v>66</v>
      </c>
      <c r="C55" s="312"/>
    </row>
    <row r="56" spans="1:7">
      <c r="B56" s="314" t="s">
        <v>67</v>
      </c>
      <c r="C56" s="315">
        <f ca="1">ROUND(C51/C52,3)</f>
        <v>0</v>
      </c>
    </row>
    <row r="57" spans="1:7">
      <c r="B57" s="314" t="s">
        <v>68</v>
      </c>
      <c r="C57" s="316">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125" style="808" customWidth="1"/>
    <col min="6" max="6" width="9" style="808"/>
    <col min="7" max="8" width="9" style="823"/>
    <col min="9" max="16384" width="9" style="808"/>
  </cols>
  <sheetData>
    <row r="1" spans="1:19">
      <c r="A1" s="3398" t="s">
        <v>156</v>
      </c>
      <c r="B1" s="3398"/>
      <c r="C1" s="3398"/>
      <c r="D1" s="3398"/>
      <c r="E1" s="3398"/>
      <c r="F1" s="3398"/>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99" t="s">
        <v>169</v>
      </c>
      <c r="B2" s="3399"/>
      <c r="C2" s="3399"/>
      <c r="D2" s="3399"/>
      <c r="E2" s="3399"/>
      <c r="F2" s="3399"/>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00"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01"/>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398" t="s">
        <v>868</v>
      </c>
      <c r="B1" s="3398"/>
    </row>
    <row r="2" spans="1:6" ht="14.25" thickBot="1">
      <c r="A2" s="1051"/>
      <c r="B2" s="1051"/>
    </row>
    <row r="3" spans="1:6" ht="14.25" thickBot="1">
      <c r="A3" s="1051"/>
      <c r="B3" s="1051"/>
      <c r="C3" s="1055" t="s">
        <v>871</v>
      </c>
      <c r="D3" s="1055" t="s">
        <v>872</v>
      </c>
      <c r="E3" s="1055" t="s">
        <v>873</v>
      </c>
      <c r="F3" s="1055" t="s">
        <v>874</v>
      </c>
    </row>
    <row r="4" spans="1:6" ht="14.25" thickBot="1">
      <c r="A4" s="1053" t="s">
        <v>869</v>
      </c>
      <c r="B4" s="1054" t="s">
        <v>870</v>
      </c>
      <c r="C4" s="1055"/>
      <c r="D4" s="1055"/>
      <c r="E4" s="1055"/>
      <c r="F4" s="1055"/>
    </row>
    <row r="5" spans="1:6" ht="14.25" thickBot="1">
      <c r="A5" s="835" t="s">
        <v>875</v>
      </c>
      <c r="B5" s="836" t="s">
        <v>876</v>
      </c>
      <c r="C5" s="1056">
        <v>8.8999999999999996E-2</v>
      </c>
      <c r="D5" s="1056">
        <v>7.3999999999999996E-2</v>
      </c>
      <c r="E5" s="1056">
        <v>7.4999999999999997E-2</v>
      </c>
      <c r="F5" s="1057">
        <v>0.1</v>
      </c>
    </row>
    <row r="6" spans="1:6" ht="14.25" thickBot="1">
      <c r="A6" s="835" t="s">
        <v>212</v>
      </c>
      <c r="B6" s="829" t="s">
        <v>877</v>
      </c>
      <c r="C6" s="1058">
        <v>0.1</v>
      </c>
      <c r="D6" s="1058">
        <v>9.0999999999999998E-2</v>
      </c>
      <c r="E6" s="1058">
        <v>9.0999999999999998E-2</v>
      </c>
      <c r="F6" s="1059">
        <v>0.1</v>
      </c>
    </row>
    <row r="7" spans="1:6" ht="14.25" thickBot="1">
      <c r="A7" s="835" t="s">
        <v>212</v>
      </c>
      <c r="B7" s="839" t="s">
        <v>201</v>
      </c>
      <c r="C7" s="1058">
        <v>8.5999999999999993E-2</v>
      </c>
      <c r="D7" s="1058">
        <v>9.6000000000000002E-2</v>
      </c>
      <c r="E7" s="1058">
        <v>7.5999999999999998E-2</v>
      </c>
      <c r="F7" s="1059">
        <v>0.1</v>
      </c>
    </row>
    <row r="8" spans="1:6" ht="14.25" thickBot="1">
      <c r="A8" s="835" t="s">
        <v>212</v>
      </c>
      <c r="B8" s="829" t="s">
        <v>213</v>
      </c>
      <c r="C8" s="1058">
        <v>9.9000000000000005E-2</v>
      </c>
      <c r="D8" s="1058">
        <v>9.8000000000000004E-2</v>
      </c>
      <c r="E8" s="1058">
        <v>9.8000000000000004E-2</v>
      </c>
      <c r="F8" s="1059">
        <v>0.1</v>
      </c>
    </row>
    <row r="9" spans="1:6" ht="14.25" thickBot="1">
      <c r="A9" s="845" t="s">
        <v>212</v>
      </c>
      <c r="B9" s="840" t="s">
        <v>225</v>
      </c>
      <c r="C9" s="1060">
        <v>0.05</v>
      </c>
      <c r="D9" s="1068"/>
      <c r="E9" s="1068"/>
      <c r="F9" s="1069"/>
    </row>
    <row r="10" spans="1:6" ht="14.25" thickBot="1">
      <c r="A10" s="835" t="s">
        <v>269</v>
      </c>
      <c r="B10" s="836" t="s">
        <v>878</v>
      </c>
      <c r="C10" s="1056">
        <v>8.8999999999999996E-2</v>
      </c>
      <c r="D10" s="1056">
        <v>7.2999999999999995E-2</v>
      </c>
      <c r="E10" s="1056">
        <v>8.2000000000000003E-2</v>
      </c>
      <c r="F10" s="1057">
        <v>0.1</v>
      </c>
    </row>
    <row r="11" spans="1:6" ht="14.25" thickBot="1">
      <c r="A11" s="835" t="s">
        <v>269</v>
      </c>
      <c r="B11" s="839" t="s">
        <v>188</v>
      </c>
      <c r="C11" s="1058">
        <v>8.8999999999999996E-2</v>
      </c>
      <c r="D11" s="1058">
        <v>7.2999999999999995E-2</v>
      </c>
      <c r="E11" s="1058">
        <v>8.2000000000000003E-2</v>
      </c>
      <c r="F11" s="1059">
        <v>0.1</v>
      </c>
    </row>
    <row r="12" spans="1:6" ht="14.25" thickBot="1">
      <c r="A12" s="835" t="s">
        <v>269</v>
      </c>
      <c r="B12" s="839" t="s">
        <v>138</v>
      </c>
      <c r="C12" s="1058">
        <v>6.0999999999999999E-2</v>
      </c>
      <c r="D12" s="1058">
        <v>7.0999999999999994E-2</v>
      </c>
      <c r="E12" s="1058">
        <v>9.6000000000000002E-2</v>
      </c>
      <c r="F12" s="1059">
        <v>0.1</v>
      </c>
    </row>
    <row r="13" spans="1:6" ht="14.25" thickBot="1">
      <c r="A13" s="835" t="s">
        <v>269</v>
      </c>
      <c r="B13" s="839" t="s">
        <v>214</v>
      </c>
      <c r="C13" s="1058">
        <v>6.9000000000000006E-2</v>
      </c>
      <c r="D13" s="1058">
        <v>6.5000000000000002E-2</v>
      </c>
      <c r="E13" s="1058">
        <v>6.6000000000000003E-2</v>
      </c>
      <c r="F13" s="1059">
        <v>0.1</v>
      </c>
    </row>
    <row r="14" spans="1:6" ht="14.25" thickBot="1">
      <c r="A14" s="835" t="s">
        <v>269</v>
      </c>
      <c r="B14" s="839" t="s">
        <v>226</v>
      </c>
      <c r="C14" s="1058">
        <v>0.1</v>
      </c>
      <c r="D14" s="1058">
        <v>6.5000000000000002E-2</v>
      </c>
      <c r="E14" s="1058">
        <v>7.0000000000000007E-2</v>
      </c>
      <c r="F14" s="1059">
        <v>0.1</v>
      </c>
    </row>
    <row r="15" spans="1:6" ht="14.25" thickBot="1">
      <c r="A15" s="835" t="s">
        <v>269</v>
      </c>
      <c r="B15" s="839" t="s">
        <v>237</v>
      </c>
      <c r="C15" s="1058">
        <v>9.8000000000000004E-2</v>
      </c>
      <c r="D15" s="1058">
        <v>8.8999999999999996E-2</v>
      </c>
      <c r="E15" s="1058">
        <v>8.8999999999999996E-2</v>
      </c>
      <c r="F15" s="1059">
        <v>0.1</v>
      </c>
    </row>
    <row r="16" spans="1:6" ht="14.25" thickBot="1">
      <c r="A16" s="835" t="s">
        <v>269</v>
      </c>
      <c r="B16" s="839" t="s">
        <v>248</v>
      </c>
      <c r="C16" s="1058">
        <v>7.0000000000000007E-2</v>
      </c>
      <c r="D16" s="1058">
        <v>9.2999999999999999E-2</v>
      </c>
      <c r="E16" s="1058">
        <v>9.6000000000000002E-2</v>
      </c>
      <c r="F16" s="1059">
        <v>0.1</v>
      </c>
    </row>
    <row r="17" spans="1:6" ht="14.25" thickBot="1">
      <c r="A17" s="835" t="s">
        <v>269</v>
      </c>
      <c r="B17" s="839" t="s">
        <v>259</v>
      </c>
      <c r="C17" s="1058">
        <v>9.5000000000000001E-2</v>
      </c>
      <c r="D17" s="1058">
        <v>0.1</v>
      </c>
      <c r="E17" s="1058">
        <v>0.1</v>
      </c>
      <c r="F17" s="1070"/>
    </row>
    <row r="18" spans="1:6" ht="14.25" thickBot="1">
      <c r="A18" s="835" t="s">
        <v>269</v>
      </c>
      <c r="B18" s="839" t="s">
        <v>271</v>
      </c>
      <c r="C18" s="1058">
        <v>7.3999999999999996E-2</v>
      </c>
      <c r="D18" s="1058">
        <v>9.9000000000000005E-2</v>
      </c>
      <c r="E18" s="1058">
        <v>0.1</v>
      </c>
      <c r="F18" s="1070"/>
    </row>
    <row r="19" spans="1:6" ht="14.25" thickBot="1">
      <c r="A19" s="835" t="s">
        <v>269</v>
      </c>
      <c r="B19" s="839" t="s">
        <v>281</v>
      </c>
      <c r="C19" s="1058">
        <v>9.9000000000000005E-2</v>
      </c>
      <c r="D19" s="1058">
        <v>7.5999999999999998E-2</v>
      </c>
      <c r="E19" s="1058">
        <v>8.6999999999999994E-2</v>
      </c>
      <c r="F19" s="1070"/>
    </row>
    <row r="20" spans="1:6" ht="14.25" thickBot="1">
      <c r="A20" s="835" t="s">
        <v>269</v>
      </c>
      <c r="B20" s="839" t="s">
        <v>291</v>
      </c>
      <c r="C20" s="1058">
        <v>9.8000000000000004E-2</v>
      </c>
      <c r="D20" s="1058">
        <v>8.5000000000000006E-2</v>
      </c>
      <c r="E20" s="1058">
        <v>8.2000000000000003E-2</v>
      </c>
      <c r="F20" s="1070"/>
    </row>
    <row r="21" spans="1:6" ht="14.25" thickBot="1">
      <c r="A21" s="835" t="s">
        <v>269</v>
      </c>
      <c r="B21" s="839" t="s">
        <v>301</v>
      </c>
      <c r="C21" s="1058">
        <v>6.6000000000000003E-2</v>
      </c>
      <c r="D21" s="1058">
        <v>6.4000000000000001E-2</v>
      </c>
      <c r="E21" s="1058">
        <v>6.5000000000000002E-2</v>
      </c>
      <c r="F21" s="1070"/>
    </row>
    <row r="22" spans="1:6" ht="14.25" thickBot="1">
      <c r="A22" s="835" t="s">
        <v>269</v>
      </c>
      <c r="B22" s="839" t="s">
        <v>879</v>
      </c>
      <c r="C22" s="1058">
        <v>0.08</v>
      </c>
      <c r="D22" s="1058">
        <v>9.8000000000000004E-2</v>
      </c>
      <c r="E22" s="1058">
        <v>9.8000000000000004E-2</v>
      </c>
      <c r="F22" s="1070"/>
    </row>
    <row r="23" spans="1:6" ht="14.25" thickBot="1">
      <c r="A23" s="835" t="s">
        <v>269</v>
      </c>
      <c r="B23" s="839" t="s">
        <v>322</v>
      </c>
      <c r="C23" s="1058">
        <v>9.9000000000000005E-2</v>
      </c>
      <c r="D23" s="1058">
        <v>9.8000000000000004E-2</v>
      </c>
      <c r="E23" s="1058">
        <v>9.0999999999999998E-2</v>
      </c>
      <c r="F23" s="1070"/>
    </row>
    <row r="24" spans="1:6" ht="14.25" thickBot="1">
      <c r="A24" s="835" t="s">
        <v>269</v>
      </c>
      <c r="B24" s="839" t="s">
        <v>333</v>
      </c>
      <c r="C24" s="1058">
        <v>8.8999999999999996E-2</v>
      </c>
      <c r="D24" s="1058">
        <v>9.7000000000000003E-2</v>
      </c>
      <c r="E24" s="1058">
        <v>7.0000000000000007E-2</v>
      </c>
      <c r="F24" s="1070"/>
    </row>
    <row r="25" spans="1:6" ht="14.25" thickBot="1">
      <c r="A25" s="835" t="s">
        <v>269</v>
      </c>
      <c r="B25" s="839" t="s">
        <v>343</v>
      </c>
      <c r="C25" s="1058">
        <v>8.8999999999999996E-2</v>
      </c>
      <c r="D25" s="1058">
        <v>0.1</v>
      </c>
      <c r="E25" s="1058">
        <v>8.1000000000000003E-2</v>
      </c>
      <c r="F25" s="1070"/>
    </row>
    <row r="26" spans="1:6" ht="14.25" thickBot="1">
      <c r="A26" s="835" t="s">
        <v>269</v>
      </c>
      <c r="B26" s="839" t="s">
        <v>353</v>
      </c>
      <c r="C26" s="1071"/>
      <c r="D26" s="1058">
        <v>9.6000000000000002E-2</v>
      </c>
      <c r="E26" s="1058">
        <v>9.2999999999999999E-2</v>
      </c>
      <c r="F26" s="1070"/>
    </row>
    <row r="27" spans="1:6" ht="14.25" thickBot="1">
      <c r="A27" s="835" t="s">
        <v>269</v>
      </c>
      <c r="B27" s="839" t="s">
        <v>363</v>
      </c>
      <c r="C27" s="1071"/>
      <c r="D27" s="1058">
        <v>7.5999999999999998E-2</v>
      </c>
      <c r="E27" s="1058">
        <v>9.1999999999999998E-2</v>
      </c>
      <c r="F27" s="1070"/>
    </row>
    <row r="28" spans="1:6" ht="14.25" thickBot="1">
      <c r="A28" s="845" t="s">
        <v>269</v>
      </c>
      <c r="B28" s="840" t="s">
        <v>373</v>
      </c>
      <c r="C28" s="1068"/>
      <c r="D28" s="1060">
        <v>7.5999999999999998E-2</v>
      </c>
      <c r="E28" s="1060">
        <v>9.1999999999999998E-2</v>
      </c>
      <c r="F28" s="1069"/>
    </row>
    <row r="29" spans="1:6" ht="14.25" thickBot="1">
      <c r="A29" s="835" t="s">
        <v>442</v>
      </c>
      <c r="B29" s="836" t="s">
        <v>880</v>
      </c>
      <c r="C29" s="1056">
        <v>6.4000000000000001E-2</v>
      </c>
      <c r="D29" s="1056">
        <v>6.5000000000000002E-2</v>
      </c>
      <c r="E29" s="1056">
        <v>6.9000000000000006E-2</v>
      </c>
      <c r="F29" s="1057">
        <v>0.1</v>
      </c>
    </row>
    <row r="30" spans="1:6" ht="14.25" thickBot="1">
      <c r="A30" s="835" t="s">
        <v>442</v>
      </c>
      <c r="B30" s="839" t="s">
        <v>189</v>
      </c>
      <c r="C30" s="1058">
        <v>6.4000000000000001E-2</v>
      </c>
      <c r="D30" s="1058">
        <v>9.9000000000000005E-2</v>
      </c>
      <c r="E30" s="1058">
        <v>0.1</v>
      </c>
      <c r="F30" s="1059">
        <v>0.1</v>
      </c>
    </row>
    <row r="31" spans="1:6" ht="14.25" thickBot="1">
      <c r="A31" s="835" t="s">
        <v>442</v>
      </c>
      <c r="B31" s="839" t="s">
        <v>202</v>
      </c>
      <c r="C31" s="1058">
        <v>0.1</v>
      </c>
      <c r="D31" s="1058">
        <v>9.5000000000000001E-2</v>
      </c>
      <c r="E31" s="1058">
        <v>8.8999999999999996E-2</v>
      </c>
      <c r="F31" s="1059">
        <v>0.1</v>
      </c>
    </row>
    <row r="32" spans="1:6" ht="14.25" thickBot="1">
      <c r="A32" s="835" t="s">
        <v>442</v>
      </c>
      <c r="B32" s="839" t="s">
        <v>215</v>
      </c>
      <c r="C32" s="1058">
        <v>0.05</v>
      </c>
      <c r="D32" s="1058">
        <v>0.05</v>
      </c>
      <c r="E32" s="1058">
        <v>8.7999999999999995E-2</v>
      </c>
      <c r="F32" s="1059">
        <v>0.1</v>
      </c>
    </row>
    <row r="33" spans="1:6" ht="14.25" thickBot="1">
      <c r="A33" s="835" t="s">
        <v>442</v>
      </c>
      <c r="B33" s="839" t="s">
        <v>227</v>
      </c>
      <c r="C33" s="1058">
        <v>7.4999999999999997E-2</v>
      </c>
      <c r="D33" s="1058">
        <v>9.4E-2</v>
      </c>
      <c r="E33" s="1058">
        <v>9.7000000000000003E-2</v>
      </c>
      <c r="F33" s="1059">
        <v>0.1</v>
      </c>
    </row>
    <row r="34" spans="1:6" ht="14.25" thickBot="1">
      <c r="A34" s="835" t="s">
        <v>442</v>
      </c>
      <c r="B34" s="839" t="s">
        <v>238</v>
      </c>
      <c r="C34" s="1058">
        <v>9.8000000000000004E-2</v>
      </c>
      <c r="D34" s="1058">
        <v>8.5999999999999993E-2</v>
      </c>
      <c r="E34" s="1058">
        <v>9.7000000000000003E-2</v>
      </c>
      <c r="F34" s="1059">
        <v>0.1</v>
      </c>
    </row>
    <row r="35" spans="1:6" ht="14.25" thickBot="1">
      <c r="A35" s="835" t="s">
        <v>442</v>
      </c>
      <c r="B35" s="839" t="s">
        <v>249</v>
      </c>
      <c r="C35" s="1058">
        <v>5.8999999999999997E-2</v>
      </c>
      <c r="D35" s="1058">
        <v>6.5000000000000002E-2</v>
      </c>
      <c r="E35" s="1058">
        <v>7.0000000000000007E-2</v>
      </c>
      <c r="F35" s="1059">
        <v>0.1</v>
      </c>
    </row>
    <row r="36" spans="1:6" ht="14.25" thickBot="1">
      <c r="A36" s="835" t="s">
        <v>442</v>
      </c>
      <c r="B36" s="839" t="s">
        <v>260</v>
      </c>
      <c r="C36" s="1058">
        <v>6.3E-2</v>
      </c>
      <c r="D36" s="1058">
        <v>0.1</v>
      </c>
      <c r="E36" s="1058">
        <v>0.1</v>
      </c>
      <c r="F36" s="1059">
        <v>0.1</v>
      </c>
    </row>
    <row r="37" spans="1:6" ht="14.25" thickBot="1">
      <c r="A37" s="835" t="s">
        <v>442</v>
      </c>
      <c r="B37" s="839" t="s">
        <v>272</v>
      </c>
      <c r="C37" s="1058">
        <v>7.3999999999999996E-2</v>
      </c>
      <c r="D37" s="1058">
        <v>0.1</v>
      </c>
      <c r="E37" s="1058">
        <v>0.1</v>
      </c>
      <c r="F37" s="1059">
        <v>0.1</v>
      </c>
    </row>
    <row r="38" spans="1:6" ht="14.25" thickBot="1">
      <c r="A38" s="835" t="s">
        <v>442</v>
      </c>
      <c r="B38" s="839" t="s">
        <v>282</v>
      </c>
      <c r="C38" s="1058">
        <v>0.1</v>
      </c>
      <c r="D38" s="1058">
        <v>9.6000000000000002E-2</v>
      </c>
      <c r="E38" s="1058">
        <v>9.6000000000000002E-2</v>
      </c>
      <c r="F38" s="1070"/>
    </row>
    <row r="39" spans="1:6" ht="14.25" thickBot="1">
      <c r="A39" s="835" t="s">
        <v>442</v>
      </c>
      <c r="B39" s="839" t="s">
        <v>292</v>
      </c>
      <c r="C39" s="1058">
        <v>0.1</v>
      </c>
      <c r="D39" s="1058">
        <v>9.6000000000000002E-2</v>
      </c>
      <c r="E39" s="1058">
        <v>9.6000000000000002E-2</v>
      </c>
      <c r="F39" s="1070"/>
    </row>
    <row r="40" spans="1:6" ht="14.25" thickBot="1">
      <c r="A40" s="835" t="s">
        <v>442</v>
      </c>
      <c r="B40" s="839" t="s">
        <v>302</v>
      </c>
      <c r="C40" s="1058">
        <v>9.6000000000000002E-2</v>
      </c>
      <c r="D40" s="1058">
        <v>0.1</v>
      </c>
      <c r="E40" s="1058">
        <v>9.9000000000000005E-2</v>
      </c>
      <c r="F40" s="1070"/>
    </row>
    <row r="41" spans="1:6" ht="14.25" thickBot="1">
      <c r="A41" s="835" t="s">
        <v>442</v>
      </c>
      <c r="B41" s="839" t="s">
        <v>312</v>
      </c>
      <c r="C41" s="1058">
        <v>9.6000000000000002E-2</v>
      </c>
      <c r="D41" s="1058">
        <v>9.8000000000000004E-2</v>
      </c>
      <c r="E41" s="1058">
        <v>9.8000000000000004E-2</v>
      </c>
      <c r="F41" s="1070"/>
    </row>
    <row r="42" spans="1:6" ht="14.25" thickBot="1">
      <c r="A42" s="835" t="s">
        <v>442</v>
      </c>
      <c r="B42" s="839" t="s">
        <v>323</v>
      </c>
      <c r="C42" s="1058">
        <v>0.1</v>
      </c>
      <c r="D42" s="1058">
        <v>8.7999999999999995E-2</v>
      </c>
      <c r="E42" s="1058">
        <v>0.1</v>
      </c>
      <c r="F42" s="1070"/>
    </row>
    <row r="43" spans="1:6" ht="14.25" thickBot="1">
      <c r="A43" s="835" t="s">
        <v>442</v>
      </c>
      <c r="B43" s="839" t="s">
        <v>334</v>
      </c>
      <c r="C43" s="1058">
        <v>9.8000000000000004E-2</v>
      </c>
      <c r="D43" s="1058">
        <v>9.7000000000000003E-2</v>
      </c>
      <c r="E43" s="1058">
        <v>9.6000000000000002E-2</v>
      </c>
      <c r="F43" s="1070"/>
    </row>
    <row r="44" spans="1:6" ht="14.25" thickBot="1">
      <c r="A44" s="835" t="s">
        <v>442</v>
      </c>
      <c r="B44" s="839" t="s">
        <v>344</v>
      </c>
      <c r="C44" s="1058">
        <v>8.5999999999999993E-2</v>
      </c>
      <c r="D44" s="1058">
        <v>7.9000000000000001E-2</v>
      </c>
      <c r="E44" s="1058">
        <v>7.0999999999999994E-2</v>
      </c>
      <c r="F44" s="1070"/>
    </row>
    <row r="45" spans="1:6" ht="14.25" thickBot="1">
      <c r="A45" s="835" t="s">
        <v>442</v>
      </c>
      <c r="B45" s="839" t="s">
        <v>354</v>
      </c>
      <c r="C45" s="1058">
        <v>9.8000000000000004E-2</v>
      </c>
      <c r="D45" s="1058">
        <v>9.6000000000000002E-2</v>
      </c>
      <c r="E45" s="1058">
        <v>9.6000000000000002E-2</v>
      </c>
      <c r="F45" s="1070"/>
    </row>
    <row r="46" spans="1:6" ht="14.25" thickBot="1">
      <c r="A46" s="835" t="s">
        <v>442</v>
      </c>
      <c r="B46" s="839" t="s">
        <v>364</v>
      </c>
      <c r="C46" s="1058">
        <v>8.5999999999999993E-2</v>
      </c>
      <c r="D46" s="1058">
        <v>9.8000000000000004E-2</v>
      </c>
      <c r="E46" s="1058">
        <v>8.7999999999999995E-2</v>
      </c>
      <c r="F46" s="1070"/>
    </row>
    <row r="47" spans="1:6" ht="14.25" thickBot="1">
      <c r="A47" s="835" t="s">
        <v>442</v>
      </c>
      <c r="B47" s="839" t="s">
        <v>374</v>
      </c>
      <c r="C47" s="1058">
        <v>9.6000000000000002E-2</v>
      </c>
      <c r="D47" s="1071"/>
      <c r="E47" s="1058">
        <v>6.9000000000000006E-2</v>
      </c>
      <c r="F47" s="1070"/>
    </row>
    <row r="48" spans="1:6" ht="14.25" thickBot="1">
      <c r="A48" s="845" t="s">
        <v>442</v>
      </c>
      <c r="B48" s="840" t="s">
        <v>383</v>
      </c>
      <c r="C48" s="1060">
        <v>9.8000000000000004E-2</v>
      </c>
      <c r="D48" s="1068"/>
      <c r="E48" s="1060">
        <v>9.5000000000000001E-2</v>
      </c>
      <c r="F48" s="1069"/>
    </row>
    <row r="49" spans="1:6" ht="14.25" thickBot="1">
      <c r="A49" s="835" t="s">
        <v>137</v>
      </c>
      <c r="B49" s="836" t="s">
        <v>881</v>
      </c>
      <c r="C49" s="1056">
        <v>9.7000000000000003E-2</v>
      </c>
      <c r="D49" s="1056">
        <v>9.5000000000000001E-2</v>
      </c>
      <c r="E49" s="1056">
        <v>9.7000000000000003E-2</v>
      </c>
      <c r="F49" s="1057">
        <v>0.1</v>
      </c>
    </row>
    <row r="50" spans="1:6" ht="14.25" thickBot="1">
      <c r="A50" s="835" t="s">
        <v>137</v>
      </c>
      <c r="B50" s="829" t="s">
        <v>190</v>
      </c>
      <c r="C50" s="1058">
        <v>7.4999999999999997E-2</v>
      </c>
      <c r="D50" s="1058">
        <v>9.5000000000000001E-2</v>
      </c>
      <c r="E50" s="1058">
        <v>0.1</v>
      </c>
      <c r="F50" s="1059">
        <v>0.1</v>
      </c>
    </row>
    <row r="51" spans="1:6" ht="14.25" thickBot="1">
      <c r="A51" s="835" t="s">
        <v>137</v>
      </c>
      <c r="B51" s="829" t="s">
        <v>203</v>
      </c>
      <c r="C51" s="1058">
        <v>9.8000000000000004E-2</v>
      </c>
      <c r="D51" s="1058">
        <v>8.8999999999999996E-2</v>
      </c>
      <c r="E51" s="1058">
        <v>0.1</v>
      </c>
      <c r="F51" s="1059">
        <v>0.1</v>
      </c>
    </row>
    <row r="52" spans="1:6" ht="14.25" thickBot="1">
      <c r="A52" s="835" t="s">
        <v>137</v>
      </c>
      <c r="B52" s="829" t="s">
        <v>216</v>
      </c>
      <c r="C52" s="1058">
        <v>9.8000000000000004E-2</v>
      </c>
      <c r="D52" s="1058">
        <v>9.7000000000000003E-2</v>
      </c>
      <c r="E52" s="1058">
        <v>8.1000000000000003E-2</v>
      </c>
      <c r="F52" s="1059">
        <v>0.1</v>
      </c>
    </row>
    <row r="53" spans="1:6" ht="14.25" thickBot="1">
      <c r="A53" s="835" t="s">
        <v>137</v>
      </c>
      <c r="B53" s="829" t="s">
        <v>228</v>
      </c>
      <c r="C53" s="1058">
        <v>9.7000000000000003E-2</v>
      </c>
      <c r="D53" s="1058">
        <v>7.5999999999999998E-2</v>
      </c>
      <c r="E53" s="1058">
        <v>7.0999999999999994E-2</v>
      </c>
      <c r="F53" s="1059">
        <v>0.1</v>
      </c>
    </row>
    <row r="54" spans="1:6" ht="14.25" thickBot="1">
      <c r="A54" s="835" t="s">
        <v>137</v>
      </c>
      <c r="B54" s="829" t="s">
        <v>239</v>
      </c>
      <c r="C54" s="1058">
        <v>7.5999999999999998E-2</v>
      </c>
      <c r="D54" s="1058">
        <v>0.1</v>
      </c>
      <c r="E54" s="1058">
        <v>9.9000000000000005E-2</v>
      </c>
      <c r="F54" s="1059">
        <v>0.1</v>
      </c>
    </row>
    <row r="55" spans="1:6" ht="14.25" thickBot="1">
      <c r="A55" s="835" t="s">
        <v>137</v>
      </c>
      <c r="B55" s="829" t="s">
        <v>250</v>
      </c>
      <c r="C55" s="1058">
        <v>0.1</v>
      </c>
      <c r="D55" s="1058">
        <v>0.1</v>
      </c>
      <c r="E55" s="1058">
        <v>9.6000000000000002E-2</v>
      </c>
      <c r="F55" s="1059">
        <v>0.1</v>
      </c>
    </row>
    <row r="56" spans="1:6" ht="14.25" thickBot="1">
      <c r="A56" s="835" t="s">
        <v>137</v>
      </c>
      <c r="B56" s="829" t="s">
        <v>261</v>
      </c>
      <c r="C56" s="1058">
        <v>0.1</v>
      </c>
      <c r="D56" s="1058">
        <v>9.6000000000000002E-2</v>
      </c>
      <c r="E56" s="1058">
        <v>5.1999999999999998E-2</v>
      </c>
      <c r="F56" s="1059">
        <v>0.1</v>
      </c>
    </row>
    <row r="57" spans="1:6" ht="14.25" thickBot="1">
      <c r="A57" s="835" t="s">
        <v>137</v>
      </c>
      <c r="B57" s="829" t="s">
        <v>273</v>
      </c>
      <c r="C57" s="1058">
        <v>9.7000000000000003E-2</v>
      </c>
      <c r="D57" s="1058">
        <v>9.6000000000000002E-2</v>
      </c>
      <c r="E57" s="1058">
        <v>9.6000000000000002E-2</v>
      </c>
      <c r="F57" s="1059">
        <v>0.1</v>
      </c>
    </row>
    <row r="58" spans="1:6" ht="14.25" thickBot="1">
      <c r="A58" s="835" t="s">
        <v>137</v>
      </c>
      <c r="B58" s="829" t="s">
        <v>283</v>
      </c>
      <c r="C58" s="1058">
        <v>9.6000000000000002E-2</v>
      </c>
      <c r="D58" s="1058">
        <v>9.9000000000000005E-2</v>
      </c>
      <c r="E58" s="1058">
        <v>9.6000000000000002E-2</v>
      </c>
      <c r="F58" s="1059">
        <v>0.1</v>
      </c>
    </row>
    <row r="59" spans="1:6" ht="14.25" thickBot="1">
      <c r="A59" s="835" t="s">
        <v>137</v>
      </c>
      <c r="B59" s="829" t="s">
        <v>293</v>
      </c>
      <c r="C59" s="1058">
        <v>7.1999999999999995E-2</v>
      </c>
      <c r="D59" s="1058">
        <v>9.6000000000000002E-2</v>
      </c>
      <c r="E59" s="1058">
        <v>7.0999999999999994E-2</v>
      </c>
      <c r="F59" s="1059">
        <v>0.1</v>
      </c>
    </row>
    <row r="60" spans="1:6" ht="14.25" thickBot="1">
      <c r="A60" s="835" t="s">
        <v>137</v>
      </c>
      <c r="B60" s="829" t="s">
        <v>303</v>
      </c>
      <c r="C60" s="1058">
        <v>9.6000000000000002E-2</v>
      </c>
      <c r="D60" s="1058">
        <v>8.8999999999999996E-2</v>
      </c>
      <c r="E60" s="1058">
        <v>9.6000000000000002E-2</v>
      </c>
      <c r="F60" s="1059">
        <v>0.1</v>
      </c>
    </row>
    <row r="61" spans="1:6" ht="14.25" thickBot="1">
      <c r="A61" s="835" t="s">
        <v>137</v>
      </c>
      <c r="B61" s="829" t="s">
        <v>313</v>
      </c>
      <c r="C61" s="1058">
        <v>8.8999999999999996E-2</v>
      </c>
      <c r="D61" s="1058">
        <v>9.8000000000000004E-2</v>
      </c>
      <c r="E61" s="1058">
        <v>8.7999999999999995E-2</v>
      </c>
      <c r="F61" s="1070"/>
    </row>
    <row r="62" spans="1:6" ht="14.25" thickBot="1">
      <c r="A62" s="835" t="s">
        <v>137</v>
      </c>
      <c r="B62" s="829" t="s">
        <v>324</v>
      </c>
      <c r="C62" s="1058">
        <v>9.8000000000000004E-2</v>
      </c>
      <c r="D62" s="1058">
        <v>9.2999999999999999E-2</v>
      </c>
      <c r="E62" s="1058">
        <v>9.7000000000000003E-2</v>
      </c>
      <c r="F62" s="1070"/>
    </row>
    <row r="63" spans="1:6" ht="14.25" thickBot="1">
      <c r="A63" s="835" t="s">
        <v>137</v>
      </c>
      <c r="B63" s="829" t="s">
        <v>335</v>
      </c>
      <c r="C63" s="1058">
        <v>9.6000000000000002E-2</v>
      </c>
      <c r="D63" s="1058">
        <v>9.8000000000000004E-2</v>
      </c>
      <c r="E63" s="1058">
        <v>0.09</v>
      </c>
      <c r="F63" s="1070"/>
    </row>
    <row r="64" spans="1:6" ht="14.25" thickBot="1">
      <c r="A64" s="835" t="s">
        <v>137</v>
      </c>
      <c r="B64" s="829" t="s">
        <v>345</v>
      </c>
      <c r="C64" s="1058">
        <v>9.9000000000000005E-2</v>
      </c>
      <c r="D64" s="1058">
        <v>9.7000000000000003E-2</v>
      </c>
      <c r="E64" s="1058">
        <v>9.9000000000000005E-2</v>
      </c>
      <c r="F64" s="1070"/>
    </row>
    <row r="65" spans="1:6" ht="14.25" thickBot="1">
      <c r="A65" s="835" t="s">
        <v>137</v>
      </c>
      <c r="B65" s="829" t="s">
        <v>355</v>
      </c>
      <c r="C65" s="1058">
        <v>9.8000000000000004E-2</v>
      </c>
      <c r="D65" s="1058">
        <v>9.6000000000000002E-2</v>
      </c>
      <c r="E65" s="1058">
        <v>9.6000000000000002E-2</v>
      </c>
      <c r="F65" s="1070"/>
    </row>
    <row r="66" spans="1:6" ht="14.25" thickBot="1">
      <c r="A66" s="835" t="s">
        <v>137</v>
      </c>
      <c r="B66" s="829" t="s">
        <v>365</v>
      </c>
      <c r="C66" s="1058">
        <v>9.6000000000000002E-2</v>
      </c>
      <c r="D66" s="1058">
        <v>9.1999999999999998E-2</v>
      </c>
      <c r="E66" s="1058">
        <v>9.6000000000000002E-2</v>
      </c>
      <c r="F66" s="1070"/>
    </row>
    <row r="67" spans="1:6" ht="14.25" thickBot="1">
      <c r="A67" s="835" t="s">
        <v>137</v>
      </c>
      <c r="B67" s="829" t="s">
        <v>375</v>
      </c>
      <c r="C67" s="1058">
        <v>9.4E-2</v>
      </c>
      <c r="D67" s="1058">
        <v>0.1</v>
      </c>
      <c r="E67" s="1058">
        <v>8.7999999999999995E-2</v>
      </c>
      <c r="F67" s="1070"/>
    </row>
    <row r="68" spans="1:6" ht="14.25" thickBot="1">
      <c r="A68" s="835" t="s">
        <v>137</v>
      </c>
      <c r="B68" s="829" t="s">
        <v>384</v>
      </c>
      <c r="C68" s="1058">
        <v>0.1</v>
      </c>
      <c r="D68" s="1058">
        <v>8.7999999999999995E-2</v>
      </c>
      <c r="E68" s="1058">
        <v>9.7000000000000003E-2</v>
      </c>
      <c r="F68" s="1070"/>
    </row>
    <row r="69" spans="1:6" ht="14.25" thickBot="1">
      <c r="A69" s="835" t="s">
        <v>137</v>
      </c>
      <c r="B69" s="829" t="s">
        <v>393</v>
      </c>
      <c r="C69" s="1058">
        <v>6.4000000000000001E-2</v>
      </c>
      <c r="D69" s="1058">
        <v>0.1</v>
      </c>
      <c r="E69" s="1058">
        <v>0.1</v>
      </c>
      <c r="F69" s="1070"/>
    </row>
    <row r="70" spans="1:6" ht="14.25" thickBot="1">
      <c r="A70" s="835" t="s">
        <v>137</v>
      </c>
      <c r="B70" s="829" t="s">
        <v>401</v>
      </c>
      <c r="C70" s="1058">
        <v>9.0999999999999998E-2</v>
      </c>
      <c r="D70" s="1071"/>
      <c r="E70" s="1071"/>
      <c r="F70" s="1070"/>
    </row>
    <row r="71" spans="1:6" ht="14.25" thickBot="1">
      <c r="A71" s="835" t="s">
        <v>137</v>
      </c>
      <c r="B71" s="829" t="s">
        <v>408</v>
      </c>
      <c r="C71" s="1058">
        <v>0.1</v>
      </c>
      <c r="D71" s="1071"/>
      <c r="E71" s="1071"/>
      <c r="F71" s="1070"/>
    </row>
    <row r="72" spans="1:6" ht="24.75" thickBot="1">
      <c r="A72" s="835" t="s">
        <v>137</v>
      </c>
      <c r="B72" s="829" t="s">
        <v>882</v>
      </c>
      <c r="C72" s="1071"/>
      <c r="D72" s="1071"/>
      <c r="E72" s="1071"/>
      <c r="F72" s="1059">
        <v>0.05</v>
      </c>
    </row>
    <row r="73" spans="1:6" ht="24.75" thickBot="1">
      <c r="A73" s="835" t="s">
        <v>137</v>
      </c>
      <c r="B73" s="829" t="s">
        <v>883</v>
      </c>
      <c r="C73" s="1071"/>
      <c r="D73" s="1071"/>
      <c r="E73" s="1071"/>
      <c r="F73" s="1059">
        <v>0.05</v>
      </c>
    </row>
    <row r="74" spans="1:6" ht="24.75" thickBot="1">
      <c r="A74" s="835" t="s">
        <v>137</v>
      </c>
      <c r="B74" s="829" t="s">
        <v>884</v>
      </c>
      <c r="C74" s="1071"/>
      <c r="D74" s="1071"/>
      <c r="E74" s="1071"/>
      <c r="F74" s="1059">
        <v>0.05</v>
      </c>
    </row>
    <row r="75" spans="1:6" ht="24.75" thickBot="1">
      <c r="A75" s="845" t="s">
        <v>137</v>
      </c>
      <c r="B75" s="841" t="s">
        <v>885</v>
      </c>
      <c r="C75" s="1068"/>
      <c r="D75" s="1068"/>
      <c r="E75" s="1068"/>
      <c r="F75" s="1061">
        <v>0.05</v>
      </c>
    </row>
    <row r="76" spans="1:6" ht="14.25" thickBot="1">
      <c r="A76" s="835" t="s">
        <v>523</v>
      </c>
      <c r="B76" s="836" t="s">
        <v>886</v>
      </c>
      <c r="C76" s="1056">
        <v>0.1</v>
      </c>
      <c r="D76" s="1056">
        <v>0.1</v>
      </c>
      <c r="E76" s="1056">
        <v>0.1</v>
      </c>
      <c r="F76" s="1057">
        <v>0.1</v>
      </c>
    </row>
    <row r="77" spans="1:6" ht="14.25" thickBot="1">
      <c r="A77" s="835" t="s">
        <v>523</v>
      </c>
      <c r="B77" s="829" t="s">
        <v>191</v>
      </c>
      <c r="C77" s="1058">
        <v>8.7999999999999995E-2</v>
      </c>
      <c r="D77" s="1058">
        <v>8.6999999999999994E-2</v>
      </c>
      <c r="E77" s="1058">
        <v>7.9000000000000001E-2</v>
      </c>
      <c r="F77" s="1059">
        <v>0.1</v>
      </c>
    </row>
    <row r="78" spans="1:6" ht="14.25" thickBot="1">
      <c r="A78" s="835" t="s">
        <v>523</v>
      </c>
      <c r="B78" s="829" t="s">
        <v>204</v>
      </c>
      <c r="C78" s="1058">
        <v>8.6999999999999994E-2</v>
      </c>
      <c r="D78" s="1058">
        <v>8.4000000000000005E-2</v>
      </c>
      <c r="E78" s="1058">
        <v>9.6000000000000002E-2</v>
      </c>
      <c r="F78" s="1059">
        <v>0.1</v>
      </c>
    </row>
    <row r="79" spans="1:6" ht="14.25" thickBot="1">
      <c r="A79" s="835" t="s">
        <v>523</v>
      </c>
      <c r="B79" s="829" t="s">
        <v>217</v>
      </c>
      <c r="C79" s="1058">
        <v>9.8000000000000004E-2</v>
      </c>
      <c r="D79" s="1058">
        <v>9.8000000000000004E-2</v>
      </c>
      <c r="E79" s="1058">
        <v>9.0999999999999998E-2</v>
      </c>
      <c r="F79" s="1059">
        <v>0.1</v>
      </c>
    </row>
    <row r="80" spans="1:6" ht="14.25" thickBot="1">
      <c r="A80" s="835" t="s">
        <v>523</v>
      </c>
      <c r="B80" s="829" t="s">
        <v>229</v>
      </c>
      <c r="C80" s="1058">
        <v>9.6000000000000002E-2</v>
      </c>
      <c r="D80" s="1058">
        <v>9.6000000000000002E-2</v>
      </c>
      <c r="E80" s="1058">
        <v>0.1</v>
      </c>
      <c r="F80" s="1059">
        <v>0.1</v>
      </c>
    </row>
    <row r="81" spans="1:6" ht="14.25" thickBot="1">
      <c r="A81" s="835" t="s">
        <v>523</v>
      </c>
      <c r="B81" s="829" t="s">
        <v>240</v>
      </c>
      <c r="C81" s="1058">
        <v>9.9000000000000005E-2</v>
      </c>
      <c r="D81" s="1058">
        <v>9.9000000000000005E-2</v>
      </c>
      <c r="E81" s="1058">
        <v>9.8000000000000004E-2</v>
      </c>
      <c r="F81" s="1059">
        <v>0.1</v>
      </c>
    </row>
    <row r="82" spans="1:6" ht="14.25" thickBot="1">
      <c r="A82" s="835" t="s">
        <v>523</v>
      </c>
      <c r="B82" s="829" t="s">
        <v>251</v>
      </c>
      <c r="C82" s="1058">
        <v>9.9000000000000005E-2</v>
      </c>
      <c r="D82" s="1058">
        <v>9.9000000000000005E-2</v>
      </c>
      <c r="E82" s="1058">
        <v>9.7000000000000003E-2</v>
      </c>
      <c r="F82" s="1059">
        <v>0.1</v>
      </c>
    </row>
    <row r="83" spans="1:6" ht="14.25" thickBot="1">
      <c r="A83" s="835" t="s">
        <v>523</v>
      </c>
      <c r="B83" s="829" t="s">
        <v>262</v>
      </c>
      <c r="C83" s="1058">
        <v>9.8000000000000004E-2</v>
      </c>
      <c r="D83" s="1058">
        <v>9.8000000000000004E-2</v>
      </c>
      <c r="E83" s="1058">
        <v>9.8000000000000004E-2</v>
      </c>
      <c r="F83" s="1059">
        <v>0.1</v>
      </c>
    </row>
    <row r="84" spans="1:6" ht="14.25" thickBot="1">
      <c r="A84" s="835" t="s">
        <v>523</v>
      </c>
      <c r="B84" s="829" t="s">
        <v>274</v>
      </c>
      <c r="C84" s="1058">
        <v>9.9000000000000005E-2</v>
      </c>
      <c r="D84" s="1058">
        <v>9.9000000000000005E-2</v>
      </c>
      <c r="E84" s="1058">
        <v>9.9000000000000005E-2</v>
      </c>
      <c r="F84" s="1059">
        <v>0.1</v>
      </c>
    </row>
    <row r="85" spans="1:6" ht="14.25" thickBot="1">
      <c r="A85" s="835" t="s">
        <v>523</v>
      </c>
      <c r="B85" s="829" t="s">
        <v>284</v>
      </c>
      <c r="C85" s="1058">
        <v>9.9000000000000005E-2</v>
      </c>
      <c r="D85" s="1058">
        <v>9.9000000000000005E-2</v>
      </c>
      <c r="E85" s="1058">
        <v>9.9000000000000005E-2</v>
      </c>
      <c r="F85" s="1059">
        <v>0.1</v>
      </c>
    </row>
    <row r="86" spans="1:6" ht="14.25" thickBot="1">
      <c r="A86" s="835" t="s">
        <v>523</v>
      </c>
      <c r="B86" s="829" t="s">
        <v>294</v>
      </c>
      <c r="C86" s="1058">
        <v>0.1</v>
      </c>
      <c r="D86" s="1058">
        <v>0.1</v>
      </c>
      <c r="E86" s="1058">
        <v>7.6999999999999999E-2</v>
      </c>
      <c r="F86" s="1059">
        <v>0.1</v>
      </c>
    </row>
    <row r="87" spans="1:6" ht="14.25" thickBot="1">
      <c r="A87" s="835" t="s">
        <v>523</v>
      </c>
      <c r="B87" s="829" t="s">
        <v>304</v>
      </c>
      <c r="C87" s="1058">
        <v>0.1</v>
      </c>
      <c r="D87" s="1058">
        <v>0.1</v>
      </c>
      <c r="E87" s="1058">
        <v>9.8000000000000004E-2</v>
      </c>
      <c r="F87" s="1070"/>
    </row>
    <row r="88" spans="1:6" ht="14.25" thickBot="1">
      <c r="A88" s="835" t="s">
        <v>523</v>
      </c>
      <c r="B88" s="829" t="s">
        <v>314</v>
      </c>
      <c r="C88" s="1058">
        <v>9.1999999999999998E-2</v>
      </c>
      <c r="D88" s="1058">
        <v>8.5000000000000006E-2</v>
      </c>
      <c r="E88" s="1058">
        <v>9.6000000000000002E-2</v>
      </c>
      <c r="F88" s="1070"/>
    </row>
    <row r="89" spans="1:6" ht="14.25" thickBot="1">
      <c r="A89" s="835" t="s">
        <v>523</v>
      </c>
      <c r="B89" s="829" t="s">
        <v>325</v>
      </c>
      <c r="C89" s="1058">
        <v>0.1</v>
      </c>
      <c r="D89" s="1058">
        <v>0.1</v>
      </c>
      <c r="E89" s="1058">
        <v>9.7000000000000003E-2</v>
      </c>
      <c r="F89" s="1070"/>
    </row>
    <row r="90" spans="1:6" ht="14.25" thickBot="1">
      <c r="A90" s="835" t="s">
        <v>523</v>
      </c>
      <c r="B90" s="829" t="s">
        <v>336</v>
      </c>
      <c r="C90" s="1058">
        <v>9.8000000000000004E-2</v>
      </c>
      <c r="D90" s="1058">
        <v>9.8000000000000004E-2</v>
      </c>
      <c r="E90" s="1058">
        <v>8.7999999999999995E-2</v>
      </c>
      <c r="F90" s="1070"/>
    </row>
    <row r="91" spans="1:6" ht="14.25" thickBot="1">
      <c r="A91" s="835" t="s">
        <v>523</v>
      </c>
      <c r="B91" s="829" t="s">
        <v>346</v>
      </c>
      <c r="C91" s="1058">
        <v>9.9000000000000005E-2</v>
      </c>
      <c r="D91" s="1058">
        <v>9.9000000000000005E-2</v>
      </c>
      <c r="E91" s="1058">
        <v>9.0999999999999998E-2</v>
      </c>
      <c r="F91" s="1070"/>
    </row>
    <row r="92" spans="1:6" ht="14.25" thickBot="1">
      <c r="A92" s="835" t="s">
        <v>523</v>
      </c>
      <c r="B92" s="829" t="s">
        <v>356</v>
      </c>
      <c r="C92" s="1058">
        <v>9.6000000000000002E-2</v>
      </c>
      <c r="D92" s="1058">
        <v>9.6000000000000002E-2</v>
      </c>
      <c r="E92" s="1058">
        <v>7.2999999999999995E-2</v>
      </c>
      <c r="F92" s="1070"/>
    </row>
    <row r="93" spans="1:6" ht="14.25" thickBot="1">
      <c r="A93" s="835" t="s">
        <v>523</v>
      </c>
      <c r="B93" s="829" t="s">
        <v>366</v>
      </c>
      <c r="C93" s="1058">
        <v>9.6000000000000002E-2</v>
      </c>
      <c r="D93" s="1058">
        <v>9.6000000000000002E-2</v>
      </c>
      <c r="E93" s="1058">
        <v>9.9000000000000005E-2</v>
      </c>
      <c r="F93" s="1070"/>
    </row>
    <row r="94" spans="1:6" ht="14.25" thickBot="1">
      <c r="A94" s="835" t="s">
        <v>523</v>
      </c>
      <c r="B94" s="829" t="s">
        <v>376</v>
      </c>
      <c r="C94" s="1058">
        <v>7.5999999999999998E-2</v>
      </c>
      <c r="D94" s="1058">
        <v>7.3999999999999996E-2</v>
      </c>
      <c r="E94" s="1058">
        <v>9.7000000000000003E-2</v>
      </c>
      <c r="F94" s="1070"/>
    </row>
    <row r="95" spans="1:6" ht="14.25" thickBot="1">
      <c r="A95" s="835" t="s">
        <v>523</v>
      </c>
      <c r="B95" s="829" t="s">
        <v>385</v>
      </c>
      <c r="C95" s="1058">
        <v>9.9000000000000005E-2</v>
      </c>
      <c r="D95" s="1058">
        <v>9.4E-2</v>
      </c>
      <c r="E95" s="1058">
        <v>9.6000000000000002E-2</v>
      </c>
      <c r="F95" s="1070"/>
    </row>
    <row r="96" spans="1:6" ht="14.25" thickBot="1">
      <c r="A96" s="835" t="s">
        <v>523</v>
      </c>
      <c r="B96" s="829" t="s">
        <v>394</v>
      </c>
      <c r="C96" s="1058">
        <v>9.9000000000000005E-2</v>
      </c>
      <c r="D96" s="1058">
        <v>9.9000000000000005E-2</v>
      </c>
      <c r="E96" s="1058">
        <v>9.9000000000000005E-2</v>
      </c>
      <c r="F96" s="1070"/>
    </row>
    <row r="97" spans="1:6" ht="14.25" thickBot="1">
      <c r="A97" s="835" t="s">
        <v>523</v>
      </c>
      <c r="B97" s="829" t="s">
        <v>402</v>
      </c>
      <c r="C97" s="1058">
        <v>9.8000000000000004E-2</v>
      </c>
      <c r="D97" s="1058">
        <v>9.8000000000000004E-2</v>
      </c>
      <c r="E97" s="1058">
        <v>9.7000000000000003E-2</v>
      </c>
      <c r="F97" s="1070"/>
    </row>
    <row r="98" spans="1:6" ht="14.25" thickBot="1">
      <c r="A98" s="835" t="s">
        <v>523</v>
      </c>
      <c r="B98" s="829" t="s">
        <v>409</v>
      </c>
      <c r="C98" s="1058">
        <v>0.1</v>
      </c>
      <c r="D98" s="1058">
        <v>0.1</v>
      </c>
      <c r="E98" s="1058">
        <v>9.7000000000000003E-2</v>
      </c>
      <c r="F98" s="1070"/>
    </row>
    <row r="99" spans="1:6" ht="14.25" thickBot="1">
      <c r="A99" s="835" t="s">
        <v>523</v>
      </c>
      <c r="B99" s="829" t="s">
        <v>416</v>
      </c>
      <c r="C99" s="1058">
        <v>0.1</v>
      </c>
      <c r="D99" s="1058">
        <v>0.1</v>
      </c>
      <c r="E99" s="1071"/>
      <c r="F99" s="1070"/>
    </row>
    <row r="100" spans="1:6" ht="14.25" thickBot="1">
      <c r="A100" s="835" t="s">
        <v>523</v>
      </c>
      <c r="B100" s="829" t="s">
        <v>423</v>
      </c>
      <c r="C100" s="1058">
        <v>0.09</v>
      </c>
      <c r="D100" s="1058">
        <v>8.8999999999999996E-2</v>
      </c>
      <c r="E100" s="1071"/>
      <c r="F100" s="1070"/>
    </row>
    <row r="101" spans="1:6" ht="14.25" thickBot="1">
      <c r="A101" s="835" t="s">
        <v>523</v>
      </c>
      <c r="B101" s="829" t="s">
        <v>430</v>
      </c>
      <c r="C101" s="1058">
        <v>9.8000000000000004E-2</v>
      </c>
      <c r="D101" s="1058">
        <v>9.7000000000000003E-2</v>
      </c>
      <c r="E101" s="1071"/>
      <c r="F101" s="1070"/>
    </row>
    <row r="102" spans="1:6" ht="24.75" thickBot="1">
      <c r="A102" s="835" t="s">
        <v>523</v>
      </c>
      <c r="B102" s="829" t="s">
        <v>887</v>
      </c>
      <c r="C102" s="1071"/>
      <c r="D102" s="1071"/>
      <c r="E102" s="1071"/>
      <c r="F102" s="1059">
        <v>0.05</v>
      </c>
    </row>
    <row r="103" spans="1:6" ht="24.75" thickBot="1">
      <c r="A103" s="835" t="s">
        <v>523</v>
      </c>
      <c r="B103" s="829" t="s">
        <v>888</v>
      </c>
      <c r="C103" s="1071"/>
      <c r="D103" s="1071"/>
      <c r="E103" s="1071"/>
      <c r="F103" s="1059">
        <v>0.05</v>
      </c>
    </row>
    <row r="104" spans="1:6" ht="14.25" thickBot="1">
      <c r="A104" s="835" t="s">
        <v>523</v>
      </c>
      <c r="B104" s="829" t="s">
        <v>889</v>
      </c>
      <c r="C104" s="1071"/>
      <c r="D104" s="1071"/>
      <c r="E104" s="1071"/>
      <c r="F104" s="1059">
        <v>0.05</v>
      </c>
    </row>
    <row r="105" spans="1:6" ht="14.25" thickBot="1">
      <c r="A105" s="835" t="s">
        <v>523</v>
      </c>
      <c r="B105" s="829" t="s">
        <v>890</v>
      </c>
      <c r="C105" s="1071"/>
      <c r="D105" s="1071"/>
      <c r="E105" s="1071"/>
      <c r="F105" s="1059">
        <v>0.05</v>
      </c>
    </row>
    <row r="106" spans="1:6" ht="14.25" thickBot="1">
      <c r="A106" s="835" t="s">
        <v>523</v>
      </c>
      <c r="B106" s="829" t="s">
        <v>891</v>
      </c>
      <c r="C106" s="1071"/>
      <c r="D106" s="1071"/>
      <c r="E106" s="1071"/>
      <c r="F106" s="1059">
        <v>0.05</v>
      </c>
    </row>
    <row r="107" spans="1:6" ht="24.75" thickBot="1">
      <c r="A107" s="835" t="s">
        <v>523</v>
      </c>
      <c r="B107" s="829" t="s">
        <v>892</v>
      </c>
      <c r="C107" s="1071"/>
      <c r="D107" s="1071"/>
      <c r="E107" s="1071"/>
      <c r="F107" s="1059">
        <v>0.05</v>
      </c>
    </row>
    <row r="108" spans="1:6" ht="24.75" thickBot="1">
      <c r="A108" s="835" t="s">
        <v>523</v>
      </c>
      <c r="B108" s="829" t="s">
        <v>893</v>
      </c>
      <c r="C108" s="1071"/>
      <c r="D108" s="1071"/>
      <c r="E108" s="1071"/>
      <c r="F108" s="1059">
        <v>0.05</v>
      </c>
    </row>
    <row r="109" spans="1:6" ht="24.75" thickBot="1">
      <c r="A109" s="845" t="s">
        <v>523</v>
      </c>
      <c r="B109" s="841" t="s">
        <v>894</v>
      </c>
      <c r="C109" s="1068"/>
      <c r="D109" s="1068"/>
      <c r="E109" s="1068"/>
      <c r="F109" s="1061">
        <v>0.05</v>
      </c>
    </row>
    <row r="110" spans="1:6" ht="14.25" thickBot="1">
      <c r="A110" s="835" t="s">
        <v>56</v>
      </c>
      <c r="B110" s="836" t="s">
        <v>895</v>
      </c>
      <c r="C110" s="1056">
        <v>0.129</v>
      </c>
      <c r="D110" s="1056">
        <v>0.129</v>
      </c>
      <c r="E110" s="1056">
        <v>0.126</v>
      </c>
      <c r="F110" s="1057">
        <v>0.13</v>
      </c>
    </row>
    <row r="111" spans="1:6" ht="14.25" thickBot="1">
      <c r="A111" s="835" t="s">
        <v>56</v>
      </c>
      <c r="B111" s="829" t="s">
        <v>192</v>
      </c>
      <c r="C111" s="1058">
        <v>0.11</v>
      </c>
      <c r="D111" s="1058">
        <v>0.11</v>
      </c>
      <c r="E111" s="1058">
        <v>9.9000000000000005E-2</v>
      </c>
      <c r="F111" s="1059">
        <v>0.128</v>
      </c>
    </row>
    <row r="112" spans="1:6" ht="14.25" thickBot="1">
      <c r="A112" s="835" t="s">
        <v>56</v>
      </c>
      <c r="B112" s="829" t="s">
        <v>205</v>
      </c>
      <c r="C112" s="1058">
        <v>0.125</v>
      </c>
      <c r="D112" s="1058">
        <v>0.125</v>
      </c>
      <c r="E112" s="1058">
        <v>0.12</v>
      </c>
      <c r="F112" s="1059">
        <v>0.125</v>
      </c>
    </row>
    <row r="113" spans="1:6" ht="14.25" thickBot="1">
      <c r="A113" s="835" t="s">
        <v>56</v>
      </c>
      <c r="B113" s="829" t="s">
        <v>218</v>
      </c>
      <c r="C113" s="1058">
        <v>0.13</v>
      </c>
      <c r="D113" s="1058">
        <v>0.13</v>
      </c>
      <c r="E113" s="1058">
        <v>0.13</v>
      </c>
      <c r="F113" s="1059">
        <v>0.13</v>
      </c>
    </row>
    <row r="114" spans="1:6" ht="14.25" thickBot="1">
      <c r="A114" s="835" t="s">
        <v>56</v>
      </c>
      <c r="B114" s="829" t="s">
        <v>230</v>
      </c>
      <c r="C114" s="1058">
        <v>0.123</v>
      </c>
      <c r="D114" s="1058">
        <v>0.123</v>
      </c>
      <c r="E114" s="1058">
        <v>0.12</v>
      </c>
      <c r="F114" s="1059">
        <v>0.13</v>
      </c>
    </row>
    <row r="115" spans="1:6" ht="14.25" thickBot="1">
      <c r="A115" s="835" t="s">
        <v>56</v>
      </c>
      <c r="B115" s="829" t="s">
        <v>241</v>
      </c>
      <c r="C115" s="1058">
        <v>0.125</v>
      </c>
      <c r="D115" s="1058">
        <v>0.125</v>
      </c>
      <c r="E115" s="1058">
        <v>0.11700000000000001</v>
      </c>
      <c r="F115" s="1059">
        <v>0.13</v>
      </c>
    </row>
    <row r="116" spans="1:6" ht="14.25" thickBot="1">
      <c r="A116" s="835" t="s">
        <v>56</v>
      </c>
      <c r="B116" s="829" t="s">
        <v>252</v>
      </c>
      <c r="C116" s="1058">
        <v>0.11700000000000001</v>
      </c>
      <c r="D116" s="1058">
        <v>0.11700000000000001</v>
      </c>
      <c r="E116" s="1058">
        <v>8.7999999999999995E-2</v>
      </c>
      <c r="F116" s="1059">
        <v>0.13</v>
      </c>
    </row>
    <row r="117" spans="1:6" ht="14.25" thickBot="1">
      <c r="A117" s="835" t="s">
        <v>56</v>
      </c>
      <c r="B117" s="829" t="s">
        <v>263</v>
      </c>
      <c r="C117" s="1058">
        <v>0.13</v>
      </c>
      <c r="D117" s="1058">
        <v>0.13</v>
      </c>
      <c r="E117" s="1058">
        <v>0.129</v>
      </c>
      <c r="F117" s="1059">
        <v>0.13</v>
      </c>
    </row>
    <row r="118" spans="1:6" ht="14.25" thickBot="1">
      <c r="A118" s="835" t="s">
        <v>56</v>
      </c>
      <c r="B118" s="829" t="s">
        <v>275</v>
      </c>
      <c r="C118" s="1058">
        <v>0.123</v>
      </c>
      <c r="D118" s="1058">
        <v>0.123</v>
      </c>
      <c r="E118" s="1058">
        <v>0.11600000000000001</v>
      </c>
      <c r="F118" s="1059">
        <v>0.13</v>
      </c>
    </row>
    <row r="119" spans="1:6" ht="14.25" thickBot="1">
      <c r="A119" s="835" t="s">
        <v>56</v>
      </c>
      <c r="B119" s="829" t="s">
        <v>285</v>
      </c>
      <c r="C119" s="1058">
        <v>0.127</v>
      </c>
      <c r="D119" s="1058">
        <v>0.127</v>
      </c>
      <c r="E119" s="1058">
        <v>0.124</v>
      </c>
      <c r="F119" s="1059">
        <v>0.13</v>
      </c>
    </row>
    <row r="120" spans="1:6" ht="14.25" thickBot="1">
      <c r="A120" s="835" t="s">
        <v>56</v>
      </c>
      <c r="B120" s="829" t="s">
        <v>295</v>
      </c>
      <c r="C120" s="1058">
        <v>0.125</v>
      </c>
      <c r="D120" s="1058">
        <v>0.125</v>
      </c>
      <c r="E120" s="1058">
        <v>0.122</v>
      </c>
      <c r="F120" s="1059">
        <v>0.13</v>
      </c>
    </row>
    <row r="121" spans="1:6" ht="14.25" thickBot="1">
      <c r="A121" s="835" t="s">
        <v>56</v>
      </c>
      <c r="B121" s="829" t="s">
        <v>305</v>
      </c>
      <c r="C121" s="1058">
        <v>0.13</v>
      </c>
      <c r="D121" s="1058">
        <v>0.13</v>
      </c>
      <c r="E121" s="1058">
        <v>0.13</v>
      </c>
      <c r="F121" s="1059">
        <v>0.13</v>
      </c>
    </row>
    <row r="122" spans="1:6" ht="14.25" thickBot="1">
      <c r="A122" s="835" t="s">
        <v>56</v>
      </c>
      <c r="B122" s="829" t="s">
        <v>315</v>
      </c>
      <c r="C122" s="1058">
        <v>0.13</v>
      </c>
      <c r="D122" s="1058">
        <v>0.13</v>
      </c>
      <c r="E122" s="1058">
        <v>0.125</v>
      </c>
      <c r="F122" s="1059">
        <v>0.13</v>
      </c>
    </row>
    <row r="123" spans="1:6" ht="14.25" thickBot="1">
      <c r="A123" s="835" t="s">
        <v>56</v>
      </c>
      <c r="B123" s="829" t="s">
        <v>326</v>
      </c>
      <c r="C123" s="1058">
        <v>0.129</v>
      </c>
      <c r="D123" s="1058">
        <v>0.129</v>
      </c>
      <c r="E123" s="1058">
        <v>0.123</v>
      </c>
      <c r="F123" s="1059">
        <v>0.13</v>
      </c>
    </row>
    <row r="124" spans="1:6" ht="14.25" thickBot="1">
      <c r="A124" s="835" t="s">
        <v>56</v>
      </c>
      <c r="B124" s="829" t="s">
        <v>337</v>
      </c>
      <c r="C124" s="1058">
        <v>0.10199999999999999</v>
      </c>
      <c r="D124" s="1058">
        <v>0.10100000000000001</v>
      </c>
      <c r="E124" s="1058">
        <v>0.08</v>
      </c>
      <c r="F124" s="1070"/>
    </row>
    <row r="125" spans="1:6" ht="14.25" thickBot="1">
      <c r="A125" s="835" t="s">
        <v>56</v>
      </c>
      <c r="B125" s="829" t="s">
        <v>347</v>
      </c>
      <c r="C125" s="1058">
        <v>0.13</v>
      </c>
      <c r="D125" s="1058">
        <v>0.13</v>
      </c>
      <c r="E125" s="1058">
        <v>0.129</v>
      </c>
      <c r="F125" s="1070"/>
    </row>
    <row r="126" spans="1:6" ht="14.25" thickBot="1">
      <c r="A126" s="835" t="s">
        <v>56</v>
      </c>
      <c r="B126" s="829" t="s">
        <v>357</v>
      </c>
      <c r="C126" s="1058">
        <v>0.13</v>
      </c>
      <c r="D126" s="1058">
        <v>0.13</v>
      </c>
      <c r="E126" s="1058">
        <v>0.126</v>
      </c>
      <c r="F126" s="1070"/>
    </row>
    <row r="127" spans="1:6" ht="14.25" thickBot="1">
      <c r="A127" s="835" t="s">
        <v>56</v>
      </c>
      <c r="B127" s="829" t="s">
        <v>367</v>
      </c>
      <c r="C127" s="1058">
        <v>0.125</v>
      </c>
      <c r="D127" s="1058">
        <v>0.125</v>
      </c>
      <c r="E127" s="1058">
        <v>0.121</v>
      </c>
      <c r="F127" s="1070"/>
    </row>
    <row r="128" spans="1:6" ht="14.25" thickBot="1">
      <c r="A128" s="835" t="s">
        <v>56</v>
      </c>
      <c r="B128" s="829" t="s">
        <v>377</v>
      </c>
      <c r="C128" s="1058">
        <v>0.12</v>
      </c>
      <c r="D128" s="1058">
        <v>0.12</v>
      </c>
      <c r="E128" s="1058">
        <v>0.105</v>
      </c>
      <c r="F128" s="1070"/>
    </row>
    <row r="129" spans="1:6" ht="14.25" thickBot="1">
      <c r="A129" s="835" t="s">
        <v>56</v>
      </c>
      <c r="B129" s="829" t="s">
        <v>386</v>
      </c>
      <c r="C129" s="1058">
        <v>0.13</v>
      </c>
      <c r="D129" s="1058">
        <v>0.13</v>
      </c>
      <c r="E129" s="1058">
        <v>0.126</v>
      </c>
      <c r="F129" s="1070"/>
    </row>
    <row r="130" spans="1:6" ht="14.25" thickBot="1">
      <c r="A130" s="835" t="s">
        <v>56</v>
      </c>
      <c r="B130" s="829" t="s">
        <v>395</v>
      </c>
      <c r="C130" s="1058">
        <v>0.125</v>
      </c>
      <c r="D130" s="1058">
        <v>0.125</v>
      </c>
      <c r="E130" s="1058">
        <v>0.122</v>
      </c>
      <c r="F130" s="1070"/>
    </row>
    <row r="131" spans="1:6" ht="14.25" thickBot="1">
      <c r="A131" s="835" t="s">
        <v>56</v>
      </c>
      <c r="B131" s="829" t="s">
        <v>403</v>
      </c>
      <c r="C131" s="1058">
        <v>0.127</v>
      </c>
      <c r="D131" s="1058">
        <v>0.126</v>
      </c>
      <c r="E131" s="1058">
        <v>0.123</v>
      </c>
      <c r="F131" s="1070"/>
    </row>
    <row r="132" spans="1:6" ht="14.25" thickBot="1">
      <c r="A132" s="835" t="s">
        <v>56</v>
      </c>
      <c r="B132" s="829" t="s">
        <v>410</v>
      </c>
      <c r="C132" s="1058">
        <v>9.0999999999999998E-2</v>
      </c>
      <c r="D132" s="1058">
        <v>0.121</v>
      </c>
      <c r="E132" s="1058">
        <v>9.9000000000000005E-2</v>
      </c>
      <c r="F132" s="1070"/>
    </row>
    <row r="133" spans="1:6" ht="14.25" thickBot="1">
      <c r="A133" s="835" t="s">
        <v>56</v>
      </c>
      <c r="B133" s="829" t="s">
        <v>417</v>
      </c>
      <c r="C133" s="1058">
        <v>0.13</v>
      </c>
      <c r="D133" s="1058">
        <v>0.13</v>
      </c>
      <c r="E133" s="1058">
        <v>0.129</v>
      </c>
      <c r="F133" s="1070"/>
    </row>
    <row r="134" spans="1:6" ht="14.25" thickBot="1">
      <c r="A134" s="835" t="s">
        <v>56</v>
      </c>
      <c r="B134" s="829" t="s">
        <v>896</v>
      </c>
      <c r="C134" s="1058">
        <v>6.8000000000000005E-2</v>
      </c>
      <c r="D134" s="1058">
        <v>6.5000000000000002E-2</v>
      </c>
      <c r="E134" s="1058">
        <v>6.5000000000000002E-2</v>
      </c>
      <c r="F134" s="1059">
        <v>0.13</v>
      </c>
    </row>
    <row r="135" spans="1:6" ht="14.25" thickBot="1">
      <c r="A135" s="835" t="s">
        <v>56</v>
      </c>
      <c r="B135" s="829" t="s">
        <v>431</v>
      </c>
      <c r="C135" s="1058">
        <v>0.123</v>
      </c>
      <c r="D135" s="1058">
        <v>0.123</v>
      </c>
      <c r="E135" s="1058">
        <v>0.11</v>
      </c>
      <c r="F135" s="1070"/>
    </row>
    <row r="136" spans="1:6" ht="14.25" thickBot="1">
      <c r="A136" s="835" t="s">
        <v>56</v>
      </c>
      <c r="B136" s="829" t="s">
        <v>438</v>
      </c>
      <c r="C136" s="1058">
        <v>0.13</v>
      </c>
      <c r="D136" s="1058">
        <v>0.13</v>
      </c>
      <c r="E136" s="1058">
        <v>0.125</v>
      </c>
      <c r="F136" s="1070"/>
    </row>
    <row r="137" spans="1:6" ht="14.25" thickBot="1">
      <c r="A137" s="835" t="s">
        <v>56</v>
      </c>
      <c r="B137" s="829" t="s">
        <v>445</v>
      </c>
      <c r="C137" s="1058">
        <v>0.121</v>
      </c>
      <c r="D137" s="1058">
        <v>0.122</v>
      </c>
      <c r="E137" s="1058">
        <v>0.115</v>
      </c>
      <c r="F137" s="1070"/>
    </row>
    <row r="138" spans="1:6" ht="14.25" thickBot="1">
      <c r="A138" s="835" t="s">
        <v>56</v>
      </c>
      <c r="B138" s="829" t="s">
        <v>897</v>
      </c>
      <c r="C138" s="1058">
        <v>0.105</v>
      </c>
      <c r="D138" s="1058">
        <v>0.125</v>
      </c>
      <c r="E138" s="1058">
        <v>0.112</v>
      </c>
      <c r="F138" s="1070"/>
    </row>
    <row r="139" spans="1:6" ht="14.25" thickBot="1">
      <c r="A139" s="835" t="s">
        <v>56</v>
      </c>
      <c r="B139" s="829" t="s">
        <v>898</v>
      </c>
      <c r="C139" s="1058">
        <v>0.127</v>
      </c>
      <c r="D139" s="1058">
        <v>0.127</v>
      </c>
      <c r="E139" s="1058">
        <v>0.122</v>
      </c>
      <c r="F139" s="1059">
        <v>0.13</v>
      </c>
    </row>
    <row r="140" spans="1:6" ht="14.25" thickBot="1">
      <c r="A140" s="835" t="s">
        <v>56</v>
      </c>
      <c r="B140" s="829" t="s">
        <v>899</v>
      </c>
      <c r="C140" s="1058">
        <v>0.125</v>
      </c>
      <c r="D140" s="1058">
        <v>0.125</v>
      </c>
      <c r="E140" s="1058">
        <v>0.11899999999999999</v>
      </c>
      <c r="F140" s="1059">
        <v>0.13</v>
      </c>
    </row>
    <row r="141" spans="1:6" ht="14.25" thickBot="1">
      <c r="A141" s="835" t="s">
        <v>56</v>
      </c>
      <c r="B141" s="829" t="s">
        <v>464</v>
      </c>
      <c r="C141" s="1058">
        <v>0.125</v>
      </c>
      <c r="D141" s="1058">
        <v>0.125</v>
      </c>
      <c r="E141" s="1058">
        <v>0.11700000000000001</v>
      </c>
      <c r="F141" s="1070"/>
    </row>
    <row r="142" spans="1:6" ht="14.25" thickBot="1">
      <c r="A142" s="835" t="s">
        <v>56</v>
      </c>
      <c r="B142" s="829" t="s">
        <v>469</v>
      </c>
      <c r="C142" s="1058">
        <v>0.125</v>
      </c>
      <c r="D142" s="1058">
        <v>0.125</v>
      </c>
      <c r="E142" s="1058">
        <v>0.115</v>
      </c>
      <c r="F142" s="1070"/>
    </row>
    <row r="143" spans="1:6" ht="14.25" thickBot="1">
      <c r="A143" s="835" t="s">
        <v>56</v>
      </c>
      <c r="B143" s="829" t="s">
        <v>474</v>
      </c>
      <c r="C143" s="1058">
        <v>0.121</v>
      </c>
      <c r="D143" s="1058">
        <v>0.121</v>
      </c>
      <c r="E143" s="1058">
        <v>0.108</v>
      </c>
      <c r="F143" s="1070"/>
    </row>
    <row r="144" spans="1:6" ht="14.25" thickBot="1">
      <c r="A144" s="835" t="s">
        <v>56</v>
      </c>
      <c r="B144" s="1062" t="s">
        <v>900</v>
      </c>
      <c r="C144" s="1063">
        <v>0.126</v>
      </c>
      <c r="D144" s="1063">
        <v>0.126</v>
      </c>
      <c r="E144" s="1063">
        <v>0.121</v>
      </c>
      <c r="F144" s="1070"/>
    </row>
    <row r="145" spans="1:6" ht="14.25" thickBot="1">
      <c r="A145" s="845" t="s">
        <v>56</v>
      </c>
      <c r="B145" s="1064" t="s">
        <v>901</v>
      </c>
      <c r="C145" s="1072"/>
      <c r="D145" s="1072"/>
      <c r="E145" s="1072"/>
      <c r="F145" s="1065">
        <v>0.05</v>
      </c>
    </row>
    <row r="146" spans="1:6" ht="24.75" thickBot="1">
      <c r="A146" s="1066" t="s">
        <v>56</v>
      </c>
      <c r="B146" s="839" t="s">
        <v>902</v>
      </c>
      <c r="C146" s="1071"/>
      <c r="D146" s="1071"/>
      <c r="E146" s="1071"/>
      <c r="F146" s="1067">
        <v>0.05</v>
      </c>
    </row>
    <row r="147" spans="1:6" ht="24.75" thickBot="1">
      <c r="A147" s="835" t="s">
        <v>56</v>
      </c>
      <c r="B147" s="829" t="s">
        <v>903</v>
      </c>
      <c r="C147" s="1071"/>
      <c r="D147" s="1071"/>
      <c r="E147" s="1071"/>
      <c r="F147" s="1059">
        <v>0.05</v>
      </c>
    </row>
    <row r="148" spans="1:6" ht="24.75" thickBot="1">
      <c r="A148" s="835" t="s">
        <v>56</v>
      </c>
      <c r="B148" s="829" t="s">
        <v>904</v>
      </c>
      <c r="C148" s="1071"/>
      <c r="D148" s="1071"/>
      <c r="E148" s="1071"/>
      <c r="F148" s="1059">
        <v>0.05</v>
      </c>
    </row>
    <row r="149" spans="1:6" ht="24.75" thickBot="1">
      <c r="A149" s="835" t="s">
        <v>56</v>
      </c>
      <c r="B149" s="829" t="s">
        <v>905</v>
      </c>
      <c r="C149" s="1071"/>
      <c r="D149" s="1071"/>
      <c r="E149" s="1071"/>
      <c r="F149" s="1059">
        <v>0.05</v>
      </c>
    </row>
    <row r="150" spans="1:6" ht="24.75" thickBot="1">
      <c r="A150" s="835" t="s">
        <v>56</v>
      </c>
      <c r="B150" s="829" t="s">
        <v>906</v>
      </c>
      <c r="C150" s="1071"/>
      <c r="D150" s="1071"/>
      <c r="E150" s="1071"/>
      <c r="F150" s="1059">
        <v>0.05</v>
      </c>
    </row>
    <row r="151" spans="1:6" ht="24.75" thickBot="1">
      <c r="A151" s="835" t="s">
        <v>56</v>
      </c>
      <c r="B151" s="829" t="s">
        <v>907</v>
      </c>
      <c r="C151" s="1071"/>
      <c r="D151" s="1071"/>
      <c r="E151" s="1071"/>
      <c r="F151" s="1059">
        <v>0.05</v>
      </c>
    </row>
    <row r="152" spans="1:6" ht="24.75" thickBot="1">
      <c r="A152" s="835" t="s">
        <v>56</v>
      </c>
      <c r="B152" s="829" t="s">
        <v>507</v>
      </c>
      <c r="C152" s="1071"/>
      <c r="D152" s="1071"/>
      <c r="E152" s="1071"/>
      <c r="F152" s="1059">
        <v>0.05</v>
      </c>
    </row>
    <row r="153" spans="1:6" ht="14.25" thickBot="1">
      <c r="A153" s="835" t="s">
        <v>56</v>
      </c>
      <c r="B153" s="829" t="s">
        <v>908</v>
      </c>
      <c r="C153" s="1071"/>
      <c r="D153" s="1071"/>
      <c r="E153" s="1071"/>
      <c r="F153" s="1059">
        <v>0.05</v>
      </c>
    </row>
    <row r="154" spans="1:6" ht="14.25" thickBot="1">
      <c r="A154" s="835" t="s">
        <v>56</v>
      </c>
      <c r="B154" s="829" t="s">
        <v>909</v>
      </c>
      <c r="C154" s="1071"/>
      <c r="D154" s="1071"/>
      <c r="E154" s="1071"/>
      <c r="F154" s="1059">
        <v>0.05</v>
      </c>
    </row>
    <row r="155" spans="1:6" ht="24.75" thickBot="1">
      <c r="A155" s="835" t="s">
        <v>56</v>
      </c>
      <c r="B155" s="829" t="s">
        <v>910</v>
      </c>
      <c r="C155" s="1071"/>
      <c r="D155" s="1071"/>
      <c r="E155" s="1071"/>
      <c r="F155" s="1059">
        <v>0.05</v>
      </c>
    </row>
    <row r="156" spans="1:6" ht="24.75" thickBot="1">
      <c r="A156" s="835" t="s">
        <v>56</v>
      </c>
      <c r="B156" s="829" t="s">
        <v>911</v>
      </c>
      <c r="C156" s="1071"/>
      <c r="D156" s="1071"/>
      <c r="E156" s="1071"/>
      <c r="F156" s="1059">
        <v>0.05</v>
      </c>
    </row>
    <row r="157" spans="1:6" ht="14.25" thickBot="1">
      <c r="A157" s="845" t="s">
        <v>56</v>
      </c>
      <c r="B157" s="841" t="s">
        <v>912</v>
      </c>
      <c r="C157" s="1068"/>
      <c r="D157" s="1068"/>
      <c r="E157" s="1068"/>
      <c r="F157" s="1061">
        <v>0.05</v>
      </c>
    </row>
    <row r="158" spans="1:6" ht="14.25" thickBot="1">
      <c r="A158" s="835" t="s">
        <v>526</v>
      </c>
      <c r="B158" s="836" t="s">
        <v>913</v>
      </c>
      <c r="C158" s="1056">
        <v>0.13</v>
      </c>
      <c r="D158" s="1056">
        <v>0.13</v>
      </c>
      <c r="E158" s="1056">
        <v>0.13</v>
      </c>
      <c r="F158" s="1057">
        <v>0.13</v>
      </c>
    </row>
    <row r="159" spans="1:6" ht="14.25" thickBot="1">
      <c r="A159" s="835" t="s">
        <v>526</v>
      </c>
      <c r="B159" s="829" t="s">
        <v>193</v>
      </c>
      <c r="C159" s="1058">
        <v>0.13</v>
      </c>
      <c r="D159" s="1058">
        <v>0.13</v>
      </c>
      <c r="E159" s="1058">
        <v>0.13</v>
      </c>
      <c r="F159" s="1059">
        <v>0.13</v>
      </c>
    </row>
    <row r="160" spans="1:6" ht="14.25" thickBot="1">
      <c r="A160" s="835" t="s">
        <v>526</v>
      </c>
      <c r="B160" s="829" t="s">
        <v>206</v>
      </c>
      <c r="C160" s="1058">
        <v>0.13</v>
      </c>
      <c r="D160" s="1058">
        <v>0.13</v>
      </c>
      <c r="E160" s="1058">
        <v>0.129</v>
      </c>
      <c r="F160" s="1059">
        <v>0.13</v>
      </c>
    </row>
    <row r="161" spans="1:6" ht="14.25" thickBot="1">
      <c r="A161" s="835" t="s">
        <v>526</v>
      </c>
      <c r="B161" s="829" t="s">
        <v>219</v>
      </c>
      <c r="C161" s="1058">
        <v>0.128</v>
      </c>
      <c r="D161" s="1058">
        <v>0.128</v>
      </c>
      <c r="E161" s="1058">
        <v>0.125</v>
      </c>
      <c r="F161" s="1059">
        <v>0.13</v>
      </c>
    </row>
    <row r="162" spans="1:6" ht="14.25" thickBot="1">
      <c r="A162" s="835" t="s">
        <v>526</v>
      </c>
      <c r="B162" s="829" t="s">
        <v>231</v>
      </c>
      <c r="C162" s="1058">
        <v>0.122</v>
      </c>
      <c r="D162" s="1058">
        <v>0.122</v>
      </c>
      <c r="E162" s="1058">
        <v>0.126</v>
      </c>
      <c r="F162" s="1059">
        <v>0.122</v>
      </c>
    </row>
    <row r="163" spans="1:6" ht="14.25" thickBot="1">
      <c r="A163" s="835" t="s">
        <v>526</v>
      </c>
      <c r="B163" s="829" t="s">
        <v>242</v>
      </c>
      <c r="C163" s="1058">
        <v>0.13</v>
      </c>
      <c r="D163" s="1058">
        <v>0.13</v>
      </c>
      <c r="E163" s="1058">
        <v>0.125</v>
      </c>
      <c r="F163" s="1059">
        <v>0.13</v>
      </c>
    </row>
    <row r="164" spans="1:6" ht="14.25" thickBot="1">
      <c r="A164" s="835" t="s">
        <v>526</v>
      </c>
      <c r="B164" s="829" t="s">
        <v>253</v>
      </c>
      <c r="C164" s="1058">
        <v>0.13</v>
      </c>
      <c r="D164" s="1058">
        <v>0.13</v>
      </c>
      <c r="E164" s="1058">
        <v>0.13</v>
      </c>
      <c r="F164" s="1059">
        <v>0.13</v>
      </c>
    </row>
    <row r="165" spans="1:6" ht="14.25" thickBot="1">
      <c r="A165" s="835" t="s">
        <v>526</v>
      </c>
      <c r="B165" s="829" t="s">
        <v>264</v>
      </c>
      <c r="C165" s="1058">
        <v>0.13</v>
      </c>
      <c r="D165" s="1058">
        <v>0.13</v>
      </c>
      <c r="E165" s="1058">
        <v>0.124</v>
      </c>
      <c r="F165" s="1059">
        <v>0.13</v>
      </c>
    </row>
    <row r="166" spans="1:6" ht="14.25" thickBot="1">
      <c r="A166" s="835" t="s">
        <v>526</v>
      </c>
      <c r="B166" s="829" t="s">
        <v>276</v>
      </c>
      <c r="C166" s="1058">
        <v>0.13</v>
      </c>
      <c r="D166" s="1058">
        <v>0.13</v>
      </c>
      <c r="E166" s="1058">
        <v>0.13</v>
      </c>
      <c r="F166" s="1059">
        <v>0.13</v>
      </c>
    </row>
    <row r="167" spans="1:6" ht="14.25" thickBot="1">
      <c r="A167" s="835" t="s">
        <v>526</v>
      </c>
      <c r="B167" s="829" t="s">
        <v>286</v>
      </c>
      <c r="C167" s="1058">
        <v>0.125</v>
      </c>
      <c r="D167" s="1058">
        <v>0.125</v>
      </c>
      <c r="E167" s="1058">
        <v>0.121</v>
      </c>
      <c r="F167" s="1070"/>
    </row>
    <row r="168" spans="1:6" ht="14.25" thickBot="1">
      <c r="A168" s="835" t="s">
        <v>526</v>
      </c>
      <c r="B168" s="829" t="s">
        <v>296</v>
      </c>
      <c r="C168" s="1058">
        <v>0.13</v>
      </c>
      <c r="D168" s="1058">
        <v>0.13</v>
      </c>
      <c r="E168" s="1058">
        <v>0.126</v>
      </c>
      <c r="F168" s="1070"/>
    </row>
    <row r="169" spans="1:6" ht="14.25" thickBot="1">
      <c r="A169" s="835" t="s">
        <v>526</v>
      </c>
      <c r="B169" s="829" t="s">
        <v>306</v>
      </c>
      <c r="C169" s="1058">
        <v>0.128</v>
      </c>
      <c r="D169" s="1058">
        <v>0.129</v>
      </c>
      <c r="E169" s="1058">
        <v>0.13</v>
      </c>
      <c r="F169" s="1070"/>
    </row>
    <row r="170" spans="1:6" ht="14.25" thickBot="1">
      <c r="A170" s="835" t="s">
        <v>526</v>
      </c>
      <c r="B170" s="829" t="s">
        <v>316</v>
      </c>
      <c r="C170" s="1058">
        <v>0.14099999999999999</v>
      </c>
      <c r="D170" s="1058">
        <v>0.13</v>
      </c>
      <c r="E170" s="1058">
        <v>0.125</v>
      </c>
      <c r="F170" s="1070"/>
    </row>
    <row r="171" spans="1:6" ht="14.25" thickBot="1">
      <c r="A171" s="835" t="s">
        <v>526</v>
      </c>
      <c r="B171" s="829" t="s">
        <v>914</v>
      </c>
      <c r="C171" s="1058">
        <v>0.127</v>
      </c>
      <c r="D171" s="1058">
        <v>0.126</v>
      </c>
      <c r="E171" s="1058">
        <v>0.126</v>
      </c>
      <c r="F171" s="1059">
        <v>0.11799999999999999</v>
      </c>
    </row>
    <row r="172" spans="1:6" ht="14.25" thickBot="1">
      <c r="A172" s="835" t="s">
        <v>526</v>
      </c>
      <c r="B172" s="829" t="s">
        <v>915</v>
      </c>
      <c r="C172" s="1058">
        <v>0.13</v>
      </c>
      <c r="D172" s="1058">
        <v>0.13</v>
      </c>
      <c r="E172" s="1058">
        <v>0.13</v>
      </c>
      <c r="F172" s="1070"/>
    </row>
    <row r="173" spans="1:6" ht="14.25" thickBot="1">
      <c r="A173" s="835" t="s">
        <v>526</v>
      </c>
      <c r="B173" s="829" t="s">
        <v>348</v>
      </c>
      <c r="C173" s="1058">
        <v>0.13</v>
      </c>
      <c r="D173" s="1058">
        <v>0.13</v>
      </c>
      <c r="E173" s="1058">
        <v>0.13</v>
      </c>
      <c r="F173" s="1070"/>
    </row>
    <row r="174" spans="1:6" ht="14.25" thickBot="1">
      <c r="A174" s="835" t="s">
        <v>526</v>
      </c>
      <c r="B174" s="829" t="s">
        <v>916</v>
      </c>
      <c r="C174" s="1058">
        <v>0.13</v>
      </c>
      <c r="D174" s="1058">
        <v>0.13</v>
      </c>
      <c r="E174" s="1058">
        <v>0.13</v>
      </c>
      <c r="F174" s="1059">
        <v>0.13</v>
      </c>
    </row>
    <row r="175" spans="1:6" ht="14.25" thickBot="1">
      <c r="A175" s="835" t="s">
        <v>526</v>
      </c>
      <c r="B175" s="829" t="s">
        <v>917</v>
      </c>
      <c r="C175" s="1058">
        <v>0.13</v>
      </c>
      <c r="D175" s="1058">
        <v>0.13</v>
      </c>
      <c r="E175" s="1058">
        <v>0.13</v>
      </c>
      <c r="F175" s="1059">
        <v>0.13</v>
      </c>
    </row>
    <row r="176" spans="1:6" ht="14.25" thickBot="1">
      <c r="A176" s="835" t="s">
        <v>526</v>
      </c>
      <c r="B176" s="829" t="s">
        <v>378</v>
      </c>
      <c r="C176" s="1058">
        <v>0.13</v>
      </c>
      <c r="D176" s="1058">
        <v>0.13</v>
      </c>
      <c r="E176" s="1058">
        <v>0.13</v>
      </c>
      <c r="F176" s="1059">
        <v>0.13</v>
      </c>
    </row>
    <row r="177" spans="1:6" ht="14.25" thickBot="1">
      <c r="A177" s="835" t="s">
        <v>526</v>
      </c>
      <c r="B177" s="829" t="s">
        <v>918</v>
      </c>
      <c r="C177" s="1058">
        <v>0.13</v>
      </c>
      <c r="D177" s="1058">
        <v>0.13</v>
      </c>
      <c r="E177" s="1058">
        <v>0.13</v>
      </c>
      <c r="F177" s="1059">
        <v>0.13</v>
      </c>
    </row>
    <row r="178" spans="1:6" ht="14.25" thickBot="1">
      <c r="A178" s="835" t="s">
        <v>526</v>
      </c>
      <c r="B178" s="829" t="s">
        <v>396</v>
      </c>
      <c r="C178" s="1058">
        <v>0.13</v>
      </c>
      <c r="D178" s="1058">
        <v>0.13</v>
      </c>
      <c r="E178" s="1058">
        <v>0.13</v>
      </c>
      <c r="F178" s="1059">
        <v>0.127</v>
      </c>
    </row>
    <row r="179" spans="1:6" ht="14.25" thickBot="1">
      <c r="A179" s="835" t="s">
        <v>526</v>
      </c>
      <c r="B179" s="829" t="s">
        <v>404</v>
      </c>
      <c r="C179" s="1058">
        <v>0.13</v>
      </c>
      <c r="D179" s="1058">
        <v>0.13</v>
      </c>
      <c r="E179" s="1058">
        <v>0.13</v>
      </c>
      <c r="F179" s="1070"/>
    </row>
    <row r="180" spans="1:6" ht="14.25" thickBot="1">
      <c r="A180" s="835" t="s">
        <v>526</v>
      </c>
      <c r="B180" s="829" t="s">
        <v>919</v>
      </c>
      <c r="C180" s="1058">
        <v>0.13</v>
      </c>
      <c r="D180" s="1058">
        <v>0.13</v>
      </c>
      <c r="E180" s="1058">
        <v>0.125</v>
      </c>
      <c r="F180" s="1059">
        <v>0.13</v>
      </c>
    </row>
    <row r="181" spans="1:6" ht="14.25" thickBot="1">
      <c r="A181" s="835" t="s">
        <v>526</v>
      </c>
      <c r="B181" s="829" t="s">
        <v>418</v>
      </c>
      <c r="C181" s="1058">
        <v>0.122</v>
      </c>
      <c r="D181" s="1058">
        <v>0.123</v>
      </c>
      <c r="E181" s="1058">
        <v>0.126</v>
      </c>
      <c r="F181" s="1059">
        <v>0.121</v>
      </c>
    </row>
    <row r="182" spans="1:6" ht="14.25" thickBot="1">
      <c r="A182" s="835" t="s">
        <v>526</v>
      </c>
      <c r="B182" s="829" t="s">
        <v>425</v>
      </c>
      <c r="C182" s="1058">
        <v>0.125</v>
      </c>
      <c r="D182" s="1058">
        <v>0.125</v>
      </c>
      <c r="E182" s="1058">
        <v>0.11700000000000001</v>
      </c>
      <c r="F182" s="1059">
        <v>0.13</v>
      </c>
    </row>
    <row r="183" spans="1:6" ht="14.25" thickBot="1">
      <c r="A183" s="835" t="s">
        <v>526</v>
      </c>
      <c r="B183" s="829" t="s">
        <v>432</v>
      </c>
      <c r="C183" s="1058">
        <v>0.127</v>
      </c>
      <c r="D183" s="1058">
        <v>0.127</v>
      </c>
      <c r="E183" s="1058">
        <v>0.128</v>
      </c>
      <c r="F183" s="1070"/>
    </row>
    <row r="184" spans="1:6" ht="14.25" thickBot="1">
      <c r="A184" s="835" t="s">
        <v>526</v>
      </c>
      <c r="B184" s="829" t="s">
        <v>439</v>
      </c>
      <c r="C184" s="1058">
        <v>0.125</v>
      </c>
      <c r="D184" s="1058">
        <v>0.125</v>
      </c>
      <c r="E184" s="1058">
        <v>0.127</v>
      </c>
      <c r="F184" s="1070"/>
    </row>
    <row r="185" spans="1:6" ht="14.25" thickBot="1">
      <c r="A185" s="835" t="s">
        <v>526</v>
      </c>
      <c r="B185" s="829" t="s">
        <v>920</v>
      </c>
      <c r="C185" s="1058">
        <v>0.127</v>
      </c>
      <c r="D185" s="1058">
        <v>0.127</v>
      </c>
      <c r="E185" s="1058">
        <v>0.128</v>
      </c>
      <c r="F185" s="1059">
        <v>0.13</v>
      </c>
    </row>
    <row r="186" spans="1:6" ht="24.75" thickBot="1">
      <c r="A186" s="835" t="s">
        <v>526</v>
      </c>
      <c r="B186" s="829" t="s">
        <v>921</v>
      </c>
      <c r="C186" s="1071"/>
      <c r="D186" s="1071"/>
      <c r="E186" s="1071"/>
      <c r="F186" s="1059">
        <v>0.05</v>
      </c>
    </row>
    <row r="187" spans="1:6" ht="14.25" thickBot="1">
      <c r="A187" s="835" t="s">
        <v>526</v>
      </c>
      <c r="B187" s="829" t="s">
        <v>922</v>
      </c>
      <c r="C187" s="1071"/>
      <c r="D187" s="1071"/>
      <c r="E187" s="1071"/>
      <c r="F187" s="1059">
        <v>0.05</v>
      </c>
    </row>
    <row r="188" spans="1:6" ht="24.75" thickBot="1">
      <c r="A188" s="835" t="s">
        <v>526</v>
      </c>
      <c r="B188" s="829" t="s">
        <v>923</v>
      </c>
      <c r="C188" s="1071"/>
      <c r="D188" s="1071"/>
      <c r="E188" s="1071"/>
      <c r="F188" s="1059">
        <v>0.05</v>
      </c>
    </row>
    <row r="189" spans="1:6" ht="24.75" thickBot="1">
      <c r="A189" s="835" t="s">
        <v>526</v>
      </c>
      <c r="B189" s="829" t="s">
        <v>924</v>
      </c>
      <c r="C189" s="1071"/>
      <c r="D189" s="1071"/>
      <c r="E189" s="1071"/>
      <c r="F189" s="1059">
        <v>0.05</v>
      </c>
    </row>
    <row r="190" spans="1:6" ht="24.75" thickBot="1">
      <c r="A190" s="835" t="s">
        <v>526</v>
      </c>
      <c r="B190" s="829" t="s">
        <v>925</v>
      </c>
      <c r="C190" s="1071"/>
      <c r="D190" s="1071"/>
      <c r="E190" s="1071"/>
      <c r="F190" s="1059">
        <v>0.05</v>
      </c>
    </row>
    <row r="191" spans="1:6" ht="24.75" thickBot="1">
      <c r="A191" s="835" t="s">
        <v>526</v>
      </c>
      <c r="B191" s="829" t="s">
        <v>926</v>
      </c>
      <c r="C191" s="1071"/>
      <c r="D191" s="1071"/>
      <c r="E191" s="1071"/>
      <c r="F191" s="1059">
        <v>0.05</v>
      </c>
    </row>
    <row r="192" spans="1:6" ht="24.75" thickBot="1">
      <c r="A192" s="835" t="s">
        <v>526</v>
      </c>
      <c r="B192" s="829" t="s">
        <v>927</v>
      </c>
      <c r="C192" s="1071"/>
      <c r="D192" s="1071"/>
      <c r="E192" s="1071"/>
      <c r="F192" s="1059">
        <v>0.05</v>
      </c>
    </row>
    <row r="193" spans="1:6" ht="24.75" thickBot="1">
      <c r="A193" s="835" t="s">
        <v>526</v>
      </c>
      <c r="B193" s="829" t="s">
        <v>928</v>
      </c>
      <c r="C193" s="1071"/>
      <c r="D193" s="1071"/>
      <c r="E193" s="1071"/>
      <c r="F193" s="1059">
        <v>0.05</v>
      </c>
    </row>
    <row r="194" spans="1:6" ht="24.75" thickBot="1">
      <c r="A194" s="835" t="s">
        <v>526</v>
      </c>
      <c r="B194" s="829" t="s">
        <v>929</v>
      </c>
      <c r="C194" s="1071"/>
      <c r="D194" s="1071"/>
      <c r="E194" s="1071"/>
      <c r="F194" s="1059">
        <v>0.05</v>
      </c>
    </row>
    <row r="195" spans="1:6" ht="14.25" thickBot="1">
      <c r="A195" s="835" t="s">
        <v>526</v>
      </c>
      <c r="B195" s="829" t="s">
        <v>930</v>
      </c>
      <c r="C195" s="1071"/>
      <c r="D195" s="1071"/>
      <c r="E195" s="1071"/>
      <c r="F195" s="1059">
        <v>0.05</v>
      </c>
    </row>
    <row r="196" spans="1:6" ht="24.75" thickBot="1">
      <c r="A196" s="835" t="s">
        <v>526</v>
      </c>
      <c r="B196" s="829" t="s">
        <v>931</v>
      </c>
      <c r="C196" s="1071"/>
      <c r="D196" s="1071"/>
      <c r="E196" s="1071"/>
      <c r="F196" s="1059">
        <v>0.05</v>
      </c>
    </row>
    <row r="197" spans="1:6" ht="24.75" thickBot="1">
      <c r="A197" s="835" t="s">
        <v>526</v>
      </c>
      <c r="B197" s="829" t="s">
        <v>932</v>
      </c>
      <c r="C197" s="1071"/>
      <c r="D197" s="1071"/>
      <c r="E197" s="1071"/>
      <c r="F197" s="1059">
        <v>0.05</v>
      </c>
    </row>
    <row r="198" spans="1:6" ht="24.75" thickBot="1">
      <c r="A198" s="835" t="s">
        <v>526</v>
      </c>
      <c r="B198" s="829" t="s">
        <v>933</v>
      </c>
      <c r="C198" s="1071"/>
      <c r="D198" s="1071"/>
      <c r="E198" s="1071"/>
      <c r="F198" s="1059">
        <v>0.05</v>
      </c>
    </row>
    <row r="199" spans="1:6" ht="24.75" thickBot="1">
      <c r="A199" s="835" t="s">
        <v>526</v>
      </c>
      <c r="B199" s="829" t="s">
        <v>934</v>
      </c>
      <c r="C199" s="1071"/>
      <c r="D199" s="1071"/>
      <c r="E199" s="1071"/>
      <c r="F199" s="1059">
        <v>0.05</v>
      </c>
    </row>
    <row r="200" spans="1:6" ht="24.75" thickBot="1">
      <c r="A200" s="835" t="s">
        <v>526</v>
      </c>
      <c r="B200" s="829" t="s">
        <v>935</v>
      </c>
      <c r="C200" s="1071"/>
      <c r="D200" s="1071"/>
      <c r="E200" s="1071"/>
      <c r="F200" s="1059">
        <v>0.05</v>
      </c>
    </row>
    <row r="201" spans="1:6" ht="24.75" thickBot="1">
      <c r="A201" s="835" t="s">
        <v>526</v>
      </c>
      <c r="B201" s="829" t="s">
        <v>936</v>
      </c>
      <c r="C201" s="1071"/>
      <c r="D201" s="1071"/>
      <c r="E201" s="1071"/>
      <c r="F201" s="1059">
        <v>0.05</v>
      </c>
    </row>
    <row r="202" spans="1:6" ht="24.75" thickBot="1">
      <c r="A202" s="835" t="s">
        <v>526</v>
      </c>
      <c r="B202" s="829" t="s">
        <v>937</v>
      </c>
      <c r="C202" s="1071"/>
      <c r="D202" s="1071"/>
      <c r="E202" s="1071"/>
      <c r="F202" s="1059">
        <v>0.05</v>
      </c>
    </row>
    <row r="203" spans="1:6" ht="24.75" thickBot="1">
      <c r="A203" s="835" t="s">
        <v>526</v>
      </c>
      <c r="B203" s="829" t="s">
        <v>938</v>
      </c>
      <c r="C203" s="1071"/>
      <c r="D203" s="1071"/>
      <c r="E203" s="1071"/>
      <c r="F203" s="1059">
        <v>0.05</v>
      </c>
    </row>
    <row r="204" spans="1:6" ht="14.25" thickBot="1">
      <c r="A204" s="835" t="s">
        <v>526</v>
      </c>
      <c r="B204" s="829" t="s">
        <v>939</v>
      </c>
      <c r="C204" s="1071"/>
      <c r="D204" s="1071"/>
      <c r="E204" s="1071"/>
      <c r="F204" s="1059">
        <v>0.05</v>
      </c>
    </row>
    <row r="205" spans="1:6" ht="14.25" thickBot="1">
      <c r="A205" s="845" t="s">
        <v>526</v>
      </c>
      <c r="B205" s="841" t="s">
        <v>940</v>
      </c>
      <c r="C205" s="1068"/>
      <c r="D205" s="1068"/>
      <c r="E205" s="1068"/>
      <c r="F205" s="1061">
        <v>0.05</v>
      </c>
    </row>
    <row r="206" spans="1:6" ht="14.25" thickBot="1">
      <c r="A206" s="835" t="s">
        <v>528</v>
      </c>
      <c r="B206" s="836" t="s">
        <v>941</v>
      </c>
      <c r="C206" s="1056">
        <v>0.15</v>
      </c>
      <c r="D206" s="1056">
        <v>0.15</v>
      </c>
      <c r="E206" s="1056">
        <v>0.15</v>
      </c>
      <c r="F206" s="1057">
        <v>0.15</v>
      </c>
    </row>
    <row r="207" spans="1:6" ht="14.25" thickBot="1">
      <c r="A207" s="835" t="s">
        <v>528</v>
      </c>
      <c r="B207" s="829" t="s">
        <v>194</v>
      </c>
      <c r="C207" s="1058">
        <v>0.15</v>
      </c>
      <c r="D207" s="1058">
        <v>0.15</v>
      </c>
      <c r="E207" s="1058">
        <v>0.15</v>
      </c>
      <c r="F207" s="1059">
        <v>0.14399999999999999</v>
      </c>
    </row>
    <row r="208" spans="1:6" ht="14.25" thickBot="1">
      <c r="A208" s="835" t="s">
        <v>528</v>
      </c>
      <c r="B208" s="829" t="s">
        <v>207</v>
      </c>
      <c r="C208" s="1058">
        <v>0.15</v>
      </c>
      <c r="D208" s="1058">
        <v>0.15</v>
      </c>
      <c r="E208" s="1058">
        <v>0.15</v>
      </c>
      <c r="F208" s="1059">
        <v>0.15</v>
      </c>
    </row>
    <row r="209" spans="1:6" ht="14.25" thickBot="1">
      <c r="A209" s="835" t="s">
        <v>528</v>
      </c>
      <c r="B209" s="829" t="s">
        <v>220</v>
      </c>
      <c r="C209" s="1058">
        <v>0.13700000000000001</v>
      </c>
      <c r="D209" s="1058">
        <v>0.13700000000000001</v>
      </c>
      <c r="E209" s="1058">
        <v>0.14000000000000001</v>
      </c>
      <c r="F209" s="1059">
        <v>0.11700000000000001</v>
      </c>
    </row>
    <row r="210" spans="1:6" ht="14.25" thickBot="1">
      <c r="A210" s="835" t="s">
        <v>528</v>
      </c>
      <c r="B210" s="829" t="s">
        <v>942</v>
      </c>
      <c r="C210" s="1058">
        <v>0.15</v>
      </c>
      <c r="D210" s="1058">
        <v>0.15</v>
      </c>
      <c r="E210" s="1058">
        <v>0.15</v>
      </c>
      <c r="F210" s="1059">
        <v>0.13800000000000001</v>
      </c>
    </row>
    <row r="211" spans="1:6" ht="14.25" thickBot="1">
      <c r="A211" s="835" t="s">
        <v>528</v>
      </c>
      <c r="B211" s="829" t="s">
        <v>943</v>
      </c>
      <c r="C211" s="1058">
        <v>0.13700000000000001</v>
      </c>
      <c r="D211" s="1058">
        <v>0.13500000000000001</v>
      </c>
      <c r="E211" s="1058">
        <v>0.13600000000000001</v>
      </c>
      <c r="F211" s="1059">
        <v>0.1</v>
      </c>
    </row>
    <row r="212" spans="1:6" ht="14.25" thickBot="1">
      <c r="A212" s="835" t="s">
        <v>528</v>
      </c>
      <c r="B212" s="829" t="s">
        <v>944</v>
      </c>
      <c r="C212" s="1058">
        <v>0.15</v>
      </c>
      <c r="D212" s="1058">
        <v>0.15</v>
      </c>
      <c r="E212" s="1058">
        <v>0.14799999999999999</v>
      </c>
      <c r="F212" s="1059">
        <v>0.13600000000000001</v>
      </c>
    </row>
    <row r="213" spans="1:6" ht="14.25" thickBot="1">
      <c r="A213" s="835" t="s">
        <v>528</v>
      </c>
      <c r="B213" s="829" t="s">
        <v>265</v>
      </c>
      <c r="C213" s="1058">
        <v>0.15</v>
      </c>
      <c r="D213" s="1058">
        <v>0.15</v>
      </c>
      <c r="E213" s="1058">
        <v>0.15</v>
      </c>
      <c r="F213" s="1059">
        <v>0.13800000000000001</v>
      </c>
    </row>
    <row r="214" spans="1:6" ht="14.25" thickBot="1">
      <c r="A214" s="835" t="s">
        <v>528</v>
      </c>
      <c r="B214" s="829" t="s">
        <v>277</v>
      </c>
      <c r="C214" s="1058">
        <v>9.0999999999999998E-2</v>
      </c>
      <c r="D214" s="1058">
        <v>0.09</v>
      </c>
      <c r="E214" s="1058">
        <v>9.1999999999999998E-2</v>
      </c>
      <c r="F214" s="1070"/>
    </row>
    <row r="215" spans="1:6" ht="14.25" thickBot="1">
      <c r="A215" s="835" t="s">
        <v>528</v>
      </c>
      <c r="B215" s="829" t="s">
        <v>945</v>
      </c>
      <c r="C215" s="1058">
        <v>0.15</v>
      </c>
      <c r="D215" s="1058">
        <v>0.15</v>
      </c>
      <c r="E215" s="1058">
        <v>0.15</v>
      </c>
      <c r="F215" s="1059">
        <v>0.15</v>
      </c>
    </row>
    <row r="216" spans="1:6" ht="14.25" thickBot="1">
      <c r="A216" s="835" t="s">
        <v>528</v>
      </c>
      <c r="B216" s="829" t="s">
        <v>297</v>
      </c>
      <c r="C216" s="1058">
        <v>0.14699999999999999</v>
      </c>
      <c r="D216" s="1058">
        <v>0.14699999999999999</v>
      </c>
      <c r="E216" s="1058">
        <v>0.15</v>
      </c>
      <c r="F216" s="1059">
        <v>0.14000000000000001</v>
      </c>
    </row>
    <row r="217" spans="1:6" ht="14.25" thickBot="1">
      <c r="A217" s="835" t="s">
        <v>528</v>
      </c>
      <c r="B217" s="829" t="s">
        <v>307</v>
      </c>
      <c r="C217" s="1058">
        <v>0.15</v>
      </c>
      <c r="D217" s="1058">
        <v>0.15</v>
      </c>
      <c r="E217" s="1058">
        <v>0.15</v>
      </c>
      <c r="F217" s="1059">
        <v>0.15</v>
      </c>
    </row>
    <row r="218" spans="1:6" ht="14.25" thickBot="1">
      <c r="A218" s="835" t="s">
        <v>528</v>
      </c>
      <c r="B218" s="829" t="s">
        <v>946</v>
      </c>
      <c r="C218" s="1058">
        <v>0.15</v>
      </c>
      <c r="D218" s="1058">
        <v>0.15</v>
      </c>
      <c r="E218" s="1058">
        <v>0.15</v>
      </c>
      <c r="F218" s="1059">
        <v>0.15</v>
      </c>
    </row>
    <row r="219" spans="1:6" ht="14.25" thickBot="1">
      <c r="A219" s="835" t="s">
        <v>528</v>
      </c>
      <c r="B219" s="829" t="s">
        <v>328</v>
      </c>
      <c r="C219" s="1058">
        <v>0.15</v>
      </c>
      <c r="D219" s="1058">
        <v>0.15</v>
      </c>
      <c r="E219" s="1058">
        <v>0.15</v>
      </c>
      <c r="F219" s="1059">
        <v>0.14799999999999999</v>
      </c>
    </row>
    <row r="220" spans="1:6" ht="14.25" thickBot="1">
      <c r="A220" s="835" t="s">
        <v>528</v>
      </c>
      <c r="B220" s="829" t="s">
        <v>947</v>
      </c>
      <c r="C220" s="1058">
        <v>0.15</v>
      </c>
      <c r="D220" s="1058">
        <v>0.15</v>
      </c>
      <c r="E220" s="1058">
        <v>0.15</v>
      </c>
      <c r="F220" s="1059">
        <v>0.15</v>
      </c>
    </row>
    <row r="221" spans="1:6" ht="14.25" thickBot="1">
      <c r="A221" s="835" t="s">
        <v>528</v>
      </c>
      <c r="B221" s="829" t="s">
        <v>349</v>
      </c>
      <c r="C221" s="1058"/>
      <c r="D221" s="1071"/>
      <c r="E221" s="1071"/>
      <c r="F221" s="1059">
        <v>0.14799999999999999</v>
      </c>
    </row>
    <row r="222" spans="1:6" ht="14.25" thickBot="1">
      <c r="A222" s="835" t="s">
        <v>528</v>
      </c>
      <c r="B222" s="829" t="s">
        <v>359</v>
      </c>
      <c r="C222" s="1058"/>
      <c r="D222" s="1071"/>
      <c r="E222" s="1071"/>
      <c r="F222" s="1059">
        <v>0.1</v>
      </c>
    </row>
    <row r="223" spans="1:6" ht="14.25" thickBot="1">
      <c r="A223" s="835" t="s">
        <v>528</v>
      </c>
      <c r="B223" s="829" t="s">
        <v>369</v>
      </c>
      <c r="C223" s="1058"/>
      <c r="D223" s="1071"/>
      <c r="E223" s="1071"/>
      <c r="F223" s="1059">
        <v>0.15</v>
      </c>
    </row>
    <row r="224" spans="1:6" ht="14.25" thickBot="1">
      <c r="A224" s="835" t="s">
        <v>528</v>
      </c>
      <c r="B224" s="829" t="s">
        <v>379</v>
      </c>
      <c r="C224" s="1058"/>
      <c r="D224" s="1071"/>
      <c r="E224" s="1071"/>
      <c r="F224" s="1059">
        <v>0.15</v>
      </c>
    </row>
    <row r="225" spans="1:6" ht="14.25" thickBot="1">
      <c r="A225" s="835" t="s">
        <v>528</v>
      </c>
      <c r="B225" s="829" t="s">
        <v>948</v>
      </c>
      <c r="C225" s="1058">
        <v>0.15</v>
      </c>
      <c r="D225" s="1058">
        <v>0.15</v>
      </c>
      <c r="E225" s="1058">
        <v>0.15</v>
      </c>
      <c r="F225" s="1059">
        <v>0.15</v>
      </c>
    </row>
    <row r="226" spans="1:6" ht="14.25" thickBot="1">
      <c r="A226" s="835" t="s">
        <v>528</v>
      </c>
      <c r="B226" s="829" t="s">
        <v>397</v>
      </c>
      <c r="C226" s="1058">
        <v>0.15</v>
      </c>
      <c r="D226" s="1058">
        <v>0.15</v>
      </c>
      <c r="E226" s="1058">
        <v>0.15</v>
      </c>
      <c r="F226" s="1059">
        <v>0.14799999999999999</v>
      </c>
    </row>
    <row r="227" spans="1:6" ht="14.25" thickBot="1">
      <c r="A227" s="835" t="s">
        <v>528</v>
      </c>
      <c r="B227" s="829" t="s">
        <v>949</v>
      </c>
      <c r="C227" s="1058">
        <v>0.15</v>
      </c>
      <c r="D227" s="1058">
        <v>0.15</v>
      </c>
      <c r="E227" s="1058">
        <v>0.15</v>
      </c>
      <c r="F227" s="1059">
        <v>0.15</v>
      </c>
    </row>
    <row r="228" spans="1:6" ht="14.25" thickBot="1">
      <c r="A228" s="835" t="s">
        <v>528</v>
      </c>
      <c r="B228" s="829" t="s">
        <v>412</v>
      </c>
      <c r="C228" s="1058">
        <v>0.15</v>
      </c>
      <c r="D228" s="1058">
        <v>0.15</v>
      </c>
      <c r="E228" s="1058">
        <v>0.15</v>
      </c>
      <c r="F228" s="1059">
        <v>0.15</v>
      </c>
    </row>
    <row r="229" spans="1:6" ht="14.25" thickBot="1">
      <c r="A229" s="835" t="s">
        <v>528</v>
      </c>
      <c r="B229" s="829" t="s">
        <v>419</v>
      </c>
      <c r="C229" s="1058">
        <v>0.15</v>
      </c>
      <c r="D229" s="1058">
        <v>0.15</v>
      </c>
      <c r="E229" s="1058">
        <v>0.15</v>
      </c>
      <c r="F229" s="1070"/>
    </row>
    <row r="230" spans="1:6" ht="14.25" thickBot="1">
      <c r="A230" s="835" t="s">
        <v>528</v>
      </c>
      <c r="B230" s="829" t="s">
        <v>426</v>
      </c>
      <c r="C230" s="1058">
        <v>0.14499999999999999</v>
      </c>
      <c r="D230" s="1058">
        <v>0.14499999999999999</v>
      </c>
      <c r="E230" s="1058">
        <v>0.14399999999999999</v>
      </c>
      <c r="F230" s="1070"/>
    </row>
    <row r="231" spans="1:6" ht="14.25" thickBot="1">
      <c r="A231" s="835" t="s">
        <v>528</v>
      </c>
      <c r="B231" s="829" t="s">
        <v>950</v>
      </c>
      <c r="C231" s="1058">
        <v>0.128</v>
      </c>
      <c r="D231" s="1058">
        <v>0.125</v>
      </c>
      <c r="E231" s="1058">
        <v>0.13200000000000001</v>
      </c>
      <c r="F231" s="1070"/>
    </row>
    <row r="232" spans="1:6" ht="14.25" thickBot="1">
      <c r="A232" s="835" t="s">
        <v>528</v>
      </c>
      <c r="B232" s="829" t="s">
        <v>951</v>
      </c>
      <c r="C232" s="1058">
        <v>0.14499999999999999</v>
      </c>
      <c r="D232" s="1058">
        <v>0.14399999999999999</v>
      </c>
      <c r="E232" s="1058">
        <v>0.14599999999999999</v>
      </c>
      <c r="F232" s="1059">
        <v>0.13800000000000001</v>
      </c>
    </row>
    <row r="233" spans="1:6" ht="14.25" thickBot="1">
      <c r="A233" s="835" t="s">
        <v>528</v>
      </c>
      <c r="B233" s="829" t="s">
        <v>952</v>
      </c>
      <c r="C233" s="1058">
        <v>0.14499999999999999</v>
      </c>
      <c r="D233" s="1058">
        <v>0.14299999999999999</v>
      </c>
      <c r="E233" s="1058">
        <v>0.14199999999999999</v>
      </c>
      <c r="F233" s="1070"/>
    </row>
    <row r="234" spans="1:6" ht="14.25" thickBot="1">
      <c r="A234" s="835" t="s">
        <v>528</v>
      </c>
      <c r="B234" s="829" t="s">
        <v>953</v>
      </c>
      <c r="C234" s="1058">
        <v>0.14000000000000001</v>
      </c>
      <c r="D234" s="1058">
        <v>0.14000000000000001</v>
      </c>
      <c r="E234" s="1058">
        <v>0.14399999999999999</v>
      </c>
      <c r="F234" s="1070"/>
    </row>
    <row r="235" spans="1:6" ht="14.25" thickBot="1">
      <c r="A235" s="835" t="s">
        <v>528</v>
      </c>
      <c r="B235" s="829" t="s">
        <v>954</v>
      </c>
      <c r="C235" s="1058">
        <v>0.14099999999999999</v>
      </c>
      <c r="D235" s="1058">
        <v>0.14199999999999999</v>
      </c>
      <c r="E235" s="1058">
        <v>0.14499999999999999</v>
      </c>
      <c r="F235" s="1059">
        <v>0.15</v>
      </c>
    </row>
    <row r="236" spans="1:6" ht="14.25" thickBot="1">
      <c r="A236" s="835" t="s">
        <v>528</v>
      </c>
      <c r="B236" s="829" t="s">
        <v>461</v>
      </c>
      <c r="C236" s="1071"/>
      <c r="D236" s="1071"/>
      <c r="E236" s="1071"/>
      <c r="F236" s="1059">
        <v>0.14299999999999999</v>
      </c>
    </row>
    <row r="237" spans="1:6" ht="24.75" thickBot="1">
      <c r="A237" s="835" t="s">
        <v>528</v>
      </c>
      <c r="B237" s="829" t="s">
        <v>955</v>
      </c>
      <c r="C237" s="1071"/>
      <c r="D237" s="1071"/>
      <c r="E237" s="1071"/>
      <c r="F237" s="1059">
        <v>0.05</v>
      </c>
    </row>
    <row r="238" spans="1:6" ht="24.75" thickBot="1">
      <c r="A238" s="835" t="s">
        <v>528</v>
      </c>
      <c r="B238" s="829" t="s">
        <v>956</v>
      </c>
      <c r="C238" s="1071"/>
      <c r="D238" s="1071"/>
      <c r="E238" s="1071"/>
      <c r="F238" s="1059">
        <v>0.05</v>
      </c>
    </row>
    <row r="239" spans="1:6" ht="24.75" thickBot="1">
      <c r="A239" s="835" t="s">
        <v>528</v>
      </c>
      <c r="B239" s="829" t="s">
        <v>957</v>
      </c>
      <c r="C239" s="1071"/>
      <c r="D239" s="1071"/>
      <c r="E239" s="1071"/>
      <c r="F239" s="1059">
        <v>0.05</v>
      </c>
    </row>
    <row r="240" spans="1:6" ht="24.75" thickBot="1">
      <c r="A240" s="835" t="s">
        <v>528</v>
      </c>
      <c r="B240" s="829" t="s">
        <v>958</v>
      </c>
      <c r="C240" s="1071"/>
      <c r="D240" s="1071"/>
      <c r="E240" s="1071"/>
      <c r="F240" s="1059">
        <v>0.05</v>
      </c>
    </row>
    <row r="241" spans="1:6" ht="24.75" thickBot="1">
      <c r="A241" s="835" t="s">
        <v>528</v>
      </c>
      <c r="B241" s="829" t="s">
        <v>959</v>
      </c>
      <c r="C241" s="1071"/>
      <c r="D241" s="1071"/>
      <c r="E241" s="1071"/>
      <c r="F241" s="1059">
        <v>0.05</v>
      </c>
    </row>
    <row r="242" spans="1:6" ht="24.75" thickBot="1">
      <c r="A242" s="835" t="s">
        <v>528</v>
      </c>
      <c r="B242" s="829" t="s">
        <v>960</v>
      </c>
      <c r="C242" s="1071"/>
      <c r="D242" s="1071"/>
      <c r="E242" s="1071"/>
      <c r="F242" s="1059">
        <v>0.05</v>
      </c>
    </row>
    <row r="243" spans="1:6" ht="24.75" thickBot="1">
      <c r="A243" s="835" t="s">
        <v>528</v>
      </c>
      <c r="B243" s="829" t="s">
        <v>961</v>
      </c>
      <c r="C243" s="1071"/>
      <c r="D243" s="1071"/>
      <c r="E243" s="1071"/>
      <c r="F243" s="1059">
        <v>0.05</v>
      </c>
    </row>
    <row r="244" spans="1:6" ht="24.75" thickBot="1">
      <c r="A244" s="845" t="s">
        <v>528</v>
      </c>
      <c r="B244" s="841" t="s">
        <v>962</v>
      </c>
      <c r="C244" s="1068"/>
      <c r="D244" s="1068"/>
      <c r="E244" s="1068"/>
      <c r="F244" s="1061">
        <v>0.05</v>
      </c>
    </row>
    <row r="245" spans="1:6" ht="14.25" thickBot="1">
      <c r="A245" s="835" t="s">
        <v>530</v>
      </c>
      <c r="B245" s="836" t="s">
        <v>963</v>
      </c>
      <c r="C245" s="1056">
        <v>0.15</v>
      </c>
      <c r="D245" s="1056">
        <v>0.15</v>
      </c>
      <c r="E245" s="1056">
        <v>0.15</v>
      </c>
      <c r="F245" s="1057">
        <v>0.14299999999999999</v>
      </c>
    </row>
    <row r="246" spans="1:6" ht="14.25" thickBot="1">
      <c r="A246" s="835" t="s">
        <v>530</v>
      </c>
      <c r="B246" s="829" t="s">
        <v>195</v>
      </c>
      <c r="C246" s="1058">
        <v>0.15</v>
      </c>
      <c r="D246" s="1058">
        <v>0.15</v>
      </c>
      <c r="E246" s="1058">
        <v>0.15</v>
      </c>
      <c r="F246" s="1059">
        <v>0.114</v>
      </c>
    </row>
    <row r="247" spans="1:6" ht="14.25" thickBot="1">
      <c r="A247" s="835" t="s">
        <v>530</v>
      </c>
      <c r="B247" s="829" t="s">
        <v>964</v>
      </c>
      <c r="C247" s="1058">
        <v>0.15</v>
      </c>
      <c r="D247" s="1058">
        <v>0.15</v>
      </c>
      <c r="E247" s="1058">
        <v>0.15</v>
      </c>
      <c r="F247" s="1059">
        <v>0.15</v>
      </c>
    </row>
    <row r="248" spans="1:6" ht="14.25" thickBot="1">
      <c r="A248" s="835" t="s">
        <v>530</v>
      </c>
      <c r="B248" s="829" t="s">
        <v>965</v>
      </c>
      <c r="C248" s="1058">
        <v>0.15</v>
      </c>
      <c r="D248" s="1058">
        <v>0.15</v>
      </c>
      <c r="E248" s="1058">
        <v>0.15</v>
      </c>
      <c r="F248" s="1059">
        <v>0.14000000000000001</v>
      </c>
    </row>
    <row r="249" spans="1:6" ht="14.25" thickBot="1">
      <c r="A249" s="835" t="s">
        <v>530</v>
      </c>
      <c r="B249" s="829" t="s">
        <v>966</v>
      </c>
      <c r="C249" s="1058">
        <v>0.15</v>
      </c>
      <c r="D249" s="1058">
        <v>0.14899999999999999</v>
      </c>
      <c r="E249" s="1058">
        <v>0.15</v>
      </c>
      <c r="F249" s="1059">
        <v>0.1</v>
      </c>
    </row>
    <row r="250" spans="1:6" ht="14.25" thickBot="1">
      <c r="A250" s="835" t="s">
        <v>530</v>
      </c>
      <c r="B250" s="829" t="s">
        <v>967</v>
      </c>
      <c r="C250" s="1058">
        <v>0.15</v>
      </c>
      <c r="D250" s="1058">
        <v>0.15</v>
      </c>
      <c r="E250" s="1058">
        <v>0.15</v>
      </c>
      <c r="F250" s="1059">
        <v>0.14399999999999999</v>
      </c>
    </row>
    <row r="251" spans="1:6" ht="14.25" thickBot="1">
      <c r="A251" s="835" t="s">
        <v>530</v>
      </c>
      <c r="B251" s="829" t="s">
        <v>255</v>
      </c>
      <c r="C251" s="1058">
        <v>0.15</v>
      </c>
      <c r="D251" s="1058">
        <v>0.15</v>
      </c>
      <c r="E251" s="1058">
        <v>0.15</v>
      </c>
      <c r="F251" s="1059">
        <v>0.14299999999999999</v>
      </c>
    </row>
    <row r="252" spans="1:6" ht="14.25" thickBot="1">
      <c r="A252" s="835" t="s">
        <v>530</v>
      </c>
      <c r="B252" s="829" t="s">
        <v>266</v>
      </c>
      <c r="C252" s="1058">
        <v>0.15</v>
      </c>
      <c r="D252" s="1058">
        <v>0.15</v>
      </c>
      <c r="E252" s="1058">
        <v>0.15</v>
      </c>
      <c r="F252" s="1059">
        <v>0.1</v>
      </c>
    </row>
    <row r="253" spans="1:6" ht="14.25" thickBot="1">
      <c r="A253" s="835" t="s">
        <v>530</v>
      </c>
      <c r="B253" s="829" t="s">
        <v>278</v>
      </c>
      <c r="C253" s="1058">
        <v>0.15</v>
      </c>
      <c r="D253" s="1058">
        <v>0.15</v>
      </c>
      <c r="E253" s="1058">
        <v>0.15</v>
      </c>
      <c r="F253" s="1059">
        <v>0.1</v>
      </c>
    </row>
    <row r="254" spans="1:6" ht="14.25" thickBot="1">
      <c r="A254" s="835" t="s">
        <v>530</v>
      </c>
      <c r="B254" s="829" t="s">
        <v>288</v>
      </c>
      <c r="C254" s="1071"/>
      <c r="D254" s="1071"/>
      <c r="E254" s="1071"/>
      <c r="F254" s="1059">
        <v>0.15</v>
      </c>
    </row>
    <row r="255" spans="1:6" ht="14.25" thickBot="1">
      <c r="A255" s="835" t="s">
        <v>530</v>
      </c>
      <c r="B255" s="829" t="s">
        <v>298</v>
      </c>
      <c r="C255" s="1071"/>
      <c r="D255" s="1071"/>
      <c r="E255" s="1071"/>
      <c r="F255" s="1059">
        <v>0.14299999999999999</v>
      </c>
    </row>
    <row r="256" spans="1:6" ht="14.25" thickBot="1">
      <c r="A256" s="835" t="s">
        <v>530</v>
      </c>
      <c r="B256" s="829" t="s">
        <v>968</v>
      </c>
      <c r="C256" s="1058">
        <v>0.14599999999999999</v>
      </c>
      <c r="D256" s="1058">
        <v>0.14699999999999999</v>
      </c>
      <c r="E256" s="1058">
        <v>0.15</v>
      </c>
      <c r="F256" s="1059">
        <v>0.13200000000000001</v>
      </c>
    </row>
    <row r="257" spans="1:6" ht="14.25" thickBot="1">
      <c r="A257" s="835" t="s">
        <v>530</v>
      </c>
      <c r="B257" s="829" t="s">
        <v>318</v>
      </c>
      <c r="C257" s="1058">
        <v>0.15</v>
      </c>
      <c r="D257" s="1058">
        <v>0.15</v>
      </c>
      <c r="E257" s="1058">
        <v>0.15</v>
      </c>
      <c r="F257" s="1059">
        <v>0.13900000000000001</v>
      </c>
    </row>
    <row r="258" spans="1:6" ht="14.25" thickBot="1">
      <c r="A258" s="835" t="s">
        <v>530</v>
      </c>
      <c r="B258" s="829" t="s">
        <v>329</v>
      </c>
      <c r="C258" s="1058">
        <v>0.15</v>
      </c>
      <c r="D258" s="1058">
        <v>0.15</v>
      </c>
      <c r="E258" s="1058">
        <v>0.15</v>
      </c>
      <c r="F258" s="1059">
        <v>0.13</v>
      </c>
    </row>
    <row r="259" spans="1:6" ht="14.25" thickBot="1">
      <c r="A259" s="835" t="s">
        <v>530</v>
      </c>
      <c r="B259" s="829" t="s">
        <v>969</v>
      </c>
      <c r="C259" s="1058">
        <v>0.14799999999999999</v>
      </c>
      <c r="D259" s="1058">
        <v>0.14899999999999999</v>
      </c>
      <c r="E259" s="1058">
        <v>0.15</v>
      </c>
      <c r="F259" s="1059">
        <v>0.13700000000000001</v>
      </c>
    </row>
    <row r="260" spans="1:6" ht="14.25" thickBot="1">
      <c r="A260" s="835" t="s">
        <v>530</v>
      </c>
      <c r="B260" s="829" t="s">
        <v>350</v>
      </c>
      <c r="C260" s="1058">
        <v>0.15</v>
      </c>
      <c r="D260" s="1058">
        <v>0.15</v>
      </c>
      <c r="E260" s="1058">
        <v>0.15</v>
      </c>
      <c r="F260" s="1059">
        <v>0.14199999999999999</v>
      </c>
    </row>
    <row r="261" spans="1:6" ht="14.25" thickBot="1">
      <c r="A261" s="835" t="s">
        <v>530</v>
      </c>
      <c r="B261" s="829" t="s">
        <v>360</v>
      </c>
      <c r="C261" s="1058">
        <v>0.15</v>
      </c>
      <c r="D261" s="1058">
        <v>0.15</v>
      </c>
      <c r="E261" s="1058">
        <v>0.14899999999999999</v>
      </c>
      <c r="F261" s="1059">
        <v>0.14799999999999999</v>
      </c>
    </row>
    <row r="262" spans="1:6" ht="14.25" thickBot="1">
      <c r="A262" s="835" t="s">
        <v>530</v>
      </c>
      <c r="B262" s="829" t="s">
        <v>370</v>
      </c>
      <c r="C262" s="1058">
        <v>0.15</v>
      </c>
      <c r="D262" s="1058">
        <v>0.15</v>
      </c>
      <c r="E262" s="1058">
        <v>0.15</v>
      </c>
      <c r="F262" s="1070"/>
    </row>
    <row r="263" spans="1:6" ht="14.25" thickBot="1">
      <c r="A263" s="835" t="s">
        <v>530</v>
      </c>
      <c r="B263" s="829" t="s">
        <v>970</v>
      </c>
      <c r="C263" s="1058">
        <v>0.14899999999999999</v>
      </c>
      <c r="D263" s="1058">
        <v>0.14899999999999999</v>
      </c>
      <c r="E263" s="1058">
        <v>0.15</v>
      </c>
      <c r="F263" s="1059">
        <v>0.13</v>
      </c>
    </row>
    <row r="264" spans="1:6" ht="14.25" thickBot="1">
      <c r="A264" s="835" t="s">
        <v>530</v>
      </c>
      <c r="B264" s="829" t="s">
        <v>389</v>
      </c>
      <c r="C264" s="1058">
        <v>0.14799999999999999</v>
      </c>
      <c r="D264" s="1058">
        <v>0.14699999999999999</v>
      </c>
      <c r="E264" s="1058">
        <v>0.15</v>
      </c>
      <c r="F264" s="1059">
        <v>7.8E-2</v>
      </c>
    </row>
    <row r="265" spans="1:6" ht="14.25" thickBot="1">
      <c r="A265" s="835" t="s">
        <v>530</v>
      </c>
      <c r="B265" s="829" t="s">
        <v>398</v>
      </c>
      <c r="C265" s="1058">
        <v>0.15</v>
      </c>
      <c r="D265" s="1058">
        <v>0.15</v>
      </c>
      <c r="E265" s="1058">
        <v>0.15</v>
      </c>
      <c r="F265" s="1059">
        <v>7.3999999999999996E-2</v>
      </c>
    </row>
    <row r="266" spans="1:6" ht="14.25" thickBot="1">
      <c r="A266" s="835" t="s">
        <v>530</v>
      </c>
      <c r="B266" s="829" t="s">
        <v>406</v>
      </c>
      <c r="C266" s="1058">
        <v>0.14699999999999999</v>
      </c>
      <c r="D266" s="1058">
        <v>0.14699999999999999</v>
      </c>
      <c r="E266" s="1058">
        <v>0.15</v>
      </c>
      <c r="F266" s="1059">
        <v>0.14299999999999999</v>
      </c>
    </row>
    <row r="267" spans="1:6" ht="14.25" thickBot="1">
      <c r="A267" s="835" t="s">
        <v>530</v>
      </c>
      <c r="B267" s="829" t="s">
        <v>413</v>
      </c>
      <c r="C267" s="1058">
        <v>0.14199999999999999</v>
      </c>
      <c r="D267" s="1058">
        <v>0.14299999999999999</v>
      </c>
      <c r="E267" s="1058">
        <v>0.15</v>
      </c>
      <c r="F267" s="1070"/>
    </row>
    <row r="268" spans="1:6" ht="14.25" thickBot="1">
      <c r="A268" s="835" t="s">
        <v>530</v>
      </c>
      <c r="B268" s="829" t="s">
        <v>971</v>
      </c>
      <c r="C268" s="1058">
        <v>0.15</v>
      </c>
      <c r="D268" s="1058">
        <v>0.15</v>
      </c>
      <c r="E268" s="1058">
        <v>0.15</v>
      </c>
      <c r="F268" s="1059">
        <v>0.13</v>
      </c>
    </row>
    <row r="269" spans="1:6" ht="14.25" thickBot="1">
      <c r="A269" s="835" t="s">
        <v>530</v>
      </c>
      <c r="B269" s="829" t="s">
        <v>427</v>
      </c>
      <c r="C269" s="1058">
        <v>0.15</v>
      </c>
      <c r="D269" s="1058">
        <v>0.15</v>
      </c>
      <c r="E269" s="1058">
        <v>0.15</v>
      </c>
      <c r="F269" s="1059">
        <v>0.14299999999999999</v>
      </c>
    </row>
    <row r="270" spans="1:6" ht="14.25" thickBot="1">
      <c r="A270" s="835" t="s">
        <v>530</v>
      </c>
      <c r="B270" s="829" t="s">
        <v>434</v>
      </c>
      <c r="C270" s="1058">
        <v>0.14499999999999999</v>
      </c>
      <c r="D270" s="1058">
        <v>0.14499999999999999</v>
      </c>
      <c r="E270" s="1058">
        <v>0.15</v>
      </c>
      <c r="F270" s="1059">
        <v>0.14699999999999999</v>
      </c>
    </row>
    <row r="271" spans="1:6" ht="14.25" thickBot="1">
      <c r="A271" s="835" t="s">
        <v>530</v>
      </c>
      <c r="B271" s="829" t="s">
        <v>441</v>
      </c>
      <c r="C271" s="1058">
        <v>0.15</v>
      </c>
      <c r="D271" s="1058">
        <v>0.15</v>
      </c>
      <c r="E271" s="1058">
        <v>0.15</v>
      </c>
      <c r="F271" s="1059">
        <v>0.13800000000000001</v>
      </c>
    </row>
    <row r="272" spans="1:6" ht="14.25" thickBot="1">
      <c r="A272" s="835" t="s">
        <v>530</v>
      </c>
      <c r="B272" s="829" t="s">
        <v>448</v>
      </c>
      <c r="C272" s="1071"/>
      <c r="D272" s="1071"/>
      <c r="E272" s="1071"/>
      <c r="F272" s="1059">
        <v>0.14000000000000001</v>
      </c>
    </row>
    <row r="273" spans="1:6" ht="14.25" thickBot="1">
      <c r="A273" s="835" t="s">
        <v>530</v>
      </c>
      <c r="B273" s="829" t="s">
        <v>972</v>
      </c>
      <c r="C273" s="1058">
        <v>0.14199999999999999</v>
      </c>
      <c r="D273" s="1058">
        <v>0.14299999999999999</v>
      </c>
      <c r="E273" s="1058">
        <v>0.15</v>
      </c>
      <c r="F273" s="1059">
        <v>0.1</v>
      </c>
    </row>
    <row r="274" spans="1:6" ht="14.25" thickBot="1">
      <c r="A274" s="835" t="s">
        <v>530</v>
      </c>
      <c r="B274" s="829" t="s">
        <v>973</v>
      </c>
      <c r="C274" s="1058">
        <v>0.14799999999999999</v>
      </c>
      <c r="D274" s="1058">
        <v>0.14799999999999999</v>
      </c>
      <c r="E274" s="1058">
        <v>0.15</v>
      </c>
      <c r="F274" s="1059">
        <v>6.7000000000000004E-2</v>
      </c>
    </row>
    <row r="275" spans="1:6" ht="14.25" thickBot="1">
      <c r="A275" s="835" t="s">
        <v>530</v>
      </c>
      <c r="B275" s="829" t="s">
        <v>974</v>
      </c>
      <c r="C275" s="1058">
        <v>0.15</v>
      </c>
      <c r="D275" s="1058">
        <v>0.15</v>
      </c>
      <c r="E275" s="1058">
        <v>0.15</v>
      </c>
      <c r="F275" s="1059">
        <v>0.15</v>
      </c>
    </row>
    <row r="276" spans="1:6" ht="14.25" thickBot="1">
      <c r="A276" s="835" t="s">
        <v>530</v>
      </c>
      <c r="B276" s="829" t="s">
        <v>975</v>
      </c>
      <c r="C276" s="1058">
        <v>0.14499999999999999</v>
      </c>
      <c r="D276" s="1058">
        <v>0.14299999999999999</v>
      </c>
      <c r="E276" s="1058">
        <v>0.15</v>
      </c>
      <c r="F276" s="1059">
        <v>5.8999999999999997E-2</v>
      </c>
    </row>
    <row r="277" spans="1:6" ht="14.25" thickBot="1">
      <c r="A277" s="835" t="s">
        <v>530</v>
      </c>
      <c r="B277" s="829" t="s">
        <v>976</v>
      </c>
      <c r="C277" s="1058">
        <v>0.15</v>
      </c>
      <c r="D277" s="1058">
        <v>0.15</v>
      </c>
      <c r="E277" s="1058">
        <v>0.15</v>
      </c>
      <c r="F277" s="1059">
        <v>0.121</v>
      </c>
    </row>
    <row r="278" spans="1:6" ht="14.25" thickBot="1">
      <c r="A278" s="835" t="s">
        <v>530</v>
      </c>
      <c r="B278" s="829" t="s">
        <v>977</v>
      </c>
      <c r="C278" s="1058">
        <v>0.15</v>
      </c>
      <c r="D278" s="1058">
        <v>0.15</v>
      </c>
      <c r="E278" s="1058">
        <v>0.15</v>
      </c>
      <c r="F278" s="1059">
        <v>0.13800000000000001</v>
      </c>
    </row>
    <row r="279" spans="1:6" ht="24.75" thickBot="1">
      <c r="A279" s="835" t="s">
        <v>530</v>
      </c>
      <c r="B279" s="829" t="s">
        <v>978</v>
      </c>
      <c r="C279" s="1071"/>
      <c r="D279" s="1071"/>
      <c r="E279" s="1071"/>
      <c r="F279" s="1059">
        <v>0.05</v>
      </c>
    </row>
    <row r="280" spans="1:6" ht="24.75" thickBot="1">
      <c r="A280" s="835" t="s">
        <v>530</v>
      </c>
      <c r="B280" s="829" t="s">
        <v>979</v>
      </c>
      <c r="C280" s="1071"/>
      <c r="D280" s="1071"/>
      <c r="E280" s="1071"/>
      <c r="F280" s="1059">
        <v>0.05</v>
      </c>
    </row>
    <row r="281" spans="1:6" ht="24.75" thickBot="1">
      <c r="A281" s="835" t="s">
        <v>530</v>
      </c>
      <c r="B281" s="829" t="s">
        <v>980</v>
      </c>
      <c r="C281" s="1071"/>
      <c r="D281" s="1071"/>
      <c r="E281" s="1071"/>
      <c r="F281" s="1059">
        <v>0.05</v>
      </c>
    </row>
    <row r="282" spans="1:6" ht="24.75" thickBot="1">
      <c r="A282" s="835" t="s">
        <v>530</v>
      </c>
      <c r="B282" s="829" t="s">
        <v>981</v>
      </c>
      <c r="C282" s="1071"/>
      <c r="D282" s="1071"/>
      <c r="E282" s="1071"/>
      <c r="F282" s="1059">
        <v>0.05</v>
      </c>
    </row>
    <row r="283" spans="1:6" ht="24.75" thickBot="1">
      <c r="A283" s="835" t="s">
        <v>530</v>
      </c>
      <c r="B283" s="829" t="s">
        <v>982</v>
      </c>
      <c r="C283" s="1071"/>
      <c r="D283" s="1071"/>
      <c r="E283" s="1071"/>
      <c r="F283" s="1059">
        <v>0.05</v>
      </c>
    </row>
    <row r="284" spans="1:6" ht="24.75" thickBot="1">
      <c r="A284" s="835" t="s">
        <v>530</v>
      </c>
      <c r="B284" s="829" t="s">
        <v>983</v>
      </c>
      <c r="C284" s="1071"/>
      <c r="D284" s="1071"/>
      <c r="E284" s="1071"/>
      <c r="F284" s="1059">
        <v>0.05</v>
      </c>
    </row>
    <row r="285" spans="1:6" ht="24.75" thickBot="1">
      <c r="A285" s="835" t="s">
        <v>530</v>
      </c>
      <c r="B285" s="829" t="s">
        <v>984</v>
      </c>
      <c r="C285" s="1071"/>
      <c r="D285" s="1071"/>
      <c r="E285" s="1071"/>
      <c r="F285" s="1059">
        <v>0.05</v>
      </c>
    </row>
    <row r="286" spans="1:6" ht="24.75" thickBot="1">
      <c r="A286" s="835" t="s">
        <v>530</v>
      </c>
      <c r="B286" s="829" t="s">
        <v>985</v>
      </c>
      <c r="C286" s="1071"/>
      <c r="D286" s="1071"/>
      <c r="E286" s="1071"/>
      <c r="F286" s="1059">
        <v>0.05</v>
      </c>
    </row>
    <row r="287" spans="1:6" ht="24.75" thickBot="1">
      <c r="A287" s="835" t="s">
        <v>530</v>
      </c>
      <c r="B287" s="829" t="s">
        <v>986</v>
      </c>
      <c r="C287" s="1071"/>
      <c r="D287" s="1071"/>
      <c r="E287" s="1071"/>
      <c r="F287" s="1059">
        <v>0.05</v>
      </c>
    </row>
    <row r="288" spans="1:6" ht="24.75" thickBot="1">
      <c r="A288" s="835" t="s">
        <v>530</v>
      </c>
      <c r="B288" s="829" t="s">
        <v>987</v>
      </c>
      <c r="C288" s="1071"/>
      <c r="D288" s="1071"/>
      <c r="E288" s="1071"/>
      <c r="F288" s="1059">
        <v>0.05</v>
      </c>
    </row>
    <row r="289" spans="1:6" ht="24.75" thickBot="1">
      <c r="A289" s="845" t="s">
        <v>530</v>
      </c>
      <c r="B289" s="841" t="s">
        <v>988</v>
      </c>
      <c r="C289" s="1068"/>
      <c r="D289" s="1068"/>
      <c r="E289" s="1068"/>
      <c r="F289" s="1061">
        <v>0.05</v>
      </c>
    </row>
    <row r="290" spans="1:6" ht="14.25" thickBot="1">
      <c r="A290" s="835" t="s">
        <v>534</v>
      </c>
      <c r="B290" s="836" t="s">
        <v>989</v>
      </c>
      <c r="C290" s="1056">
        <v>0.15</v>
      </c>
      <c r="D290" s="1056">
        <v>0.15</v>
      </c>
      <c r="E290" s="1056">
        <v>0.15</v>
      </c>
      <c r="F290" s="1073"/>
    </row>
    <row r="291" spans="1:6" ht="14.25" thickBot="1">
      <c r="A291" s="835" t="s">
        <v>534</v>
      </c>
      <c r="B291" s="829" t="s">
        <v>196</v>
      </c>
      <c r="C291" s="1058">
        <v>0.15</v>
      </c>
      <c r="D291" s="1058">
        <v>0.15</v>
      </c>
      <c r="E291" s="1058">
        <v>0.15</v>
      </c>
      <c r="F291" s="1070"/>
    </row>
    <row r="292" spans="1:6" ht="14.25" thickBot="1">
      <c r="A292" s="835" t="s">
        <v>534</v>
      </c>
      <c r="B292" s="829" t="s">
        <v>990</v>
      </c>
      <c r="C292" s="1058">
        <v>0.15</v>
      </c>
      <c r="D292" s="1058">
        <v>0.15</v>
      </c>
      <c r="E292" s="1058">
        <v>0.15</v>
      </c>
      <c r="F292" s="1059">
        <v>0.14699999999999999</v>
      </c>
    </row>
    <row r="293" spans="1:6" ht="14.25" thickBot="1">
      <c r="A293" s="835" t="s">
        <v>534</v>
      </c>
      <c r="B293" s="829" t="s">
        <v>991</v>
      </c>
      <c r="C293" s="1071"/>
      <c r="D293" s="1071"/>
      <c r="E293" s="1071"/>
      <c r="F293" s="1059">
        <v>0.1</v>
      </c>
    </row>
    <row r="294" spans="1:6" ht="14.25" thickBot="1">
      <c r="A294" s="835" t="s">
        <v>534</v>
      </c>
      <c r="B294" s="829" t="s">
        <v>992</v>
      </c>
      <c r="C294" s="1058">
        <v>0.15</v>
      </c>
      <c r="D294" s="1058">
        <v>0.15</v>
      </c>
      <c r="E294" s="1058">
        <v>0.15</v>
      </c>
      <c r="F294" s="1059">
        <v>0.15</v>
      </c>
    </row>
    <row r="295" spans="1:6" ht="14.25" thickBot="1">
      <c r="A295" s="835" t="s">
        <v>534</v>
      </c>
      <c r="B295" s="829" t="s">
        <v>234</v>
      </c>
      <c r="C295" s="1058">
        <v>0.15</v>
      </c>
      <c r="D295" s="1058">
        <v>0.15</v>
      </c>
      <c r="E295" s="1058">
        <v>0.15</v>
      </c>
      <c r="F295" s="1059">
        <v>0.15</v>
      </c>
    </row>
    <row r="296" spans="1:6" ht="14.25" thickBot="1">
      <c r="A296" s="835" t="s">
        <v>534</v>
      </c>
      <c r="B296" s="829" t="s">
        <v>993</v>
      </c>
      <c r="C296" s="1058">
        <v>0.15</v>
      </c>
      <c r="D296" s="1058">
        <v>0.15</v>
      </c>
      <c r="E296" s="1058">
        <v>0.15</v>
      </c>
      <c r="F296" s="1059">
        <v>0.15</v>
      </c>
    </row>
    <row r="297" spans="1:6" ht="14.25" thickBot="1">
      <c r="A297" s="835" t="s">
        <v>534</v>
      </c>
      <c r="B297" s="829" t="s">
        <v>994</v>
      </c>
      <c r="C297" s="1058">
        <v>0.14799999999999999</v>
      </c>
      <c r="D297" s="1058">
        <v>0.14899999999999999</v>
      </c>
      <c r="E297" s="1058">
        <v>0.15</v>
      </c>
      <c r="F297" s="1059">
        <v>0.13700000000000001</v>
      </c>
    </row>
    <row r="298" spans="1:6" ht="14.25" thickBot="1">
      <c r="A298" s="835" t="s">
        <v>534</v>
      </c>
      <c r="B298" s="829" t="s">
        <v>267</v>
      </c>
      <c r="C298" s="1058">
        <v>0.13400000000000001</v>
      </c>
      <c r="D298" s="1058">
        <v>0.13400000000000001</v>
      </c>
      <c r="E298" s="1058">
        <v>0.14499999999999999</v>
      </c>
      <c r="F298" s="1059">
        <v>0.14799999999999999</v>
      </c>
    </row>
    <row r="299" spans="1:6" ht="14.25" thickBot="1">
      <c r="A299" s="835" t="s">
        <v>534</v>
      </c>
      <c r="B299" s="829" t="s">
        <v>279</v>
      </c>
      <c r="C299" s="1058">
        <v>0.15</v>
      </c>
      <c r="D299" s="1058">
        <v>0.15</v>
      </c>
      <c r="E299" s="1058">
        <v>0.15</v>
      </c>
      <c r="F299" s="1070"/>
    </row>
    <row r="300" spans="1:6" ht="14.25" thickBot="1">
      <c r="A300" s="835" t="s">
        <v>534</v>
      </c>
      <c r="B300" s="829" t="s">
        <v>995</v>
      </c>
      <c r="C300" s="1058">
        <v>0.15</v>
      </c>
      <c r="D300" s="1058">
        <v>0.15</v>
      </c>
      <c r="E300" s="1058">
        <v>0.15</v>
      </c>
      <c r="F300" s="1059">
        <v>0.15</v>
      </c>
    </row>
    <row r="301" spans="1:6" ht="14.25" thickBot="1">
      <c r="A301" s="835" t="s">
        <v>534</v>
      </c>
      <c r="B301" s="829" t="s">
        <v>299</v>
      </c>
      <c r="C301" s="1058">
        <v>0.15</v>
      </c>
      <c r="D301" s="1058">
        <v>0.15</v>
      </c>
      <c r="E301" s="1058">
        <v>0.15</v>
      </c>
      <c r="F301" s="1070"/>
    </row>
    <row r="302" spans="1:6" ht="14.25" thickBot="1">
      <c r="A302" s="835" t="s">
        <v>534</v>
      </c>
      <c r="B302" s="829" t="s">
        <v>996</v>
      </c>
      <c r="C302" s="1058">
        <v>0.15</v>
      </c>
      <c r="D302" s="1058">
        <v>0.15</v>
      </c>
      <c r="E302" s="1058">
        <v>0.15</v>
      </c>
      <c r="F302" s="1059">
        <v>0.15</v>
      </c>
    </row>
    <row r="303" spans="1:6" ht="14.25" thickBot="1">
      <c r="A303" s="835" t="s">
        <v>534</v>
      </c>
      <c r="B303" s="829" t="s">
        <v>319</v>
      </c>
      <c r="C303" s="1058">
        <v>0.15</v>
      </c>
      <c r="D303" s="1058">
        <v>0.15</v>
      </c>
      <c r="E303" s="1058">
        <v>0.15</v>
      </c>
      <c r="F303" s="1059">
        <v>0.15</v>
      </c>
    </row>
    <row r="304" spans="1:6" ht="14.25" thickBot="1">
      <c r="A304" s="835" t="s">
        <v>534</v>
      </c>
      <c r="B304" s="829" t="s">
        <v>330</v>
      </c>
      <c r="C304" s="1058">
        <v>0.15</v>
      </c>
      <c r="D304" s="1058">
        <v>0.15</v>
      </c>
      <c r="E304" s="1058">
        <v>0.15</v>
      </c>
      <c r="F304" s="1070"/>
    </row>
    <row r="305" spans="1:6" ht="14.25" thickBot="1">
      <c r="A305" s="835" t="s">
        <v>534</v>
      </c>
      <c r="B305" s="829" t="s">
        <v>997</v>
      </c>
      <c r="C305" s="1058">
        <v>0.15</v>
      </c>
      <c r="D305" s="1058">
        <v>0.15</v>
      </c>
      <c r="E305" s="1058">
        <v>0.15</v>
      </c>
      <c r="F305" s="1059">
        <v>0.14000000000000001</v>
      </c>
    </row>
    <row r="306" spans="1:6" ht="14.25" thickBot="1">
      <c r="A306" s="835" t="s">
        <v>534</v>
      </c>
      <c r="B306" s="829" t="s">
        <v>351</v>
      </c>
      <c r="C306" s="1058">
        <v>0.15</v>
      </c>
      <c r="D306" s="1058">
        <v>0.15</v>
      </c>
      <c r="E306" s="1058">
        <v>0.15</v>
      </c>
      <c r="F306" s="1070"/>
    </row>
    <row r="307" spans="1:6" ht="14.25" thickBot="1">
      <c r="A307" s="835" t="s">
        <v>534</v>
      </c>
      <c r="B307" s="829" t="s">
        <v>998</v>
      </c>
      <c r="C307" s="1058">
        <v>0.15</v>
      </c>
      <c r="D307" s="1058">
        <v>0.15</v>
      </c>
      <c r="E307" s="1058">
        <v>0.15</v>
      </c>
      <c r="F307" s="1059">
        <v>0.14299999999999999</v>
      </c>
    </row>
    <row r="308" spans="1:6" ht="14.25" thickBot="1">
      <c r="A308" s="835" t="s">
        <v>534</v>
      </c>
      <c r="B308" s="829" t="s">
        <v>371</v>
      </c>
      <c r="C308" s="1058">
        <v>0.15</v>
      </c>
      <c r="D308" s="1058">
        <v>0.15</v>
      </c>
      <c r="E308" s="1058">
        <v>0.15</v>
      </c>
      <c r="F308" s="1059">
        <v>0.15</v>
      </c>
    </row>
    <row r="309" spans="1:6" ht="14.25" thickBot="1">
      <c r="A309" s="835" t="s">
        <v>534</v>
      </c>
      <c r="B309" s="829" t="s">
        <v>381</v>
      </c>
      <c r="C309" s="1058">
        <v>0.15</v>
      </c>
      <c r="D309" s="1058">
        <v>0.15</v>
      </c>
      <c r="E309" s="1058">
        <v>0.15</v>
      </c>
      <c r="F309" s="1070"/>
    </row>
    <row r="310" spans="1:6" ht="14.25" thickBot="1">
      <c r="A310" s="835" t="s">
        <v>534</v>
      </c>
      <c r="B310" s="829" t="s">
        <v>999</v>
      </c>
      <c r="C310" s="1058">
        <v>0.15</v>
      </c>
      <c r="D310" s="1058">
        <v>0.15</v>
      </c>
      <c r="E310" s="1058">
        <v>0.15</v>
      </c>
      <c r="F310" s="1059">
        <v>0.13700000000000001</v>
      </c>
    </row>
    <row r="311" spans="1:6" ht="14.25" thickBot="1">
      <c r="A311" s="835" t="s">
        <v>534</v>
      </c>
      <c r="B311" s="829" t="s">
        <v>1000</v>
      </c>
      <c r="C311" s="1058">
        <v>0.15</v>
      </c>
      <c r="D311" s="1058">
        <v>0.15</v>
      </c>
      <c r="E311" s="1058">
        <v>0.15</v>
      </c>
      <c r="F311" s="1059">
        <v>0.15</v>
      </c>
    </row>
    <row r="312" spans="1:6" ht="14.25" thickBot="1">
      <c r="A312" s="835" t="s">
        <v>534</v>
      </c>
      <c r="B312" s="829" t="s">
        <v>407</v>
      </c>
      <c r="C312" s="1058">
        <v>0.15</v>
      </c>
      <c r="D312" s="1058">
        <v>0.15</v>
      </c>
      <c r="E312" s="1058">
        <v>0.15</v>
      </c>
      <c r="F312" s="1059">
        <v>0.1</v>
      </c>
    </row>
    <row r="313" spans="1:6" ht="14.25" thickBot="1">
      <c r="A313" s="835" t="s">
        <v>534</v>
      </c>
      <c r="B313" s="829" t="s">
        <v>1001</v>
      </c>
      <c r="C313" s="1058">
        <v>0.15</v>
      </c>
      <c r="D313" s="1058">
        <v>0.15</v>
      </c>
      <c r="E313" s="1058">
        <v>0.15</v>
      </c>
      <c r="F313" s="1059">
        <v>0.15</v>
      </c>
    </row>
    <row r="314" spans="1:6" ht="24.75" thickBot="1">
      <c r="A314" s="835" t="s">
        <v>534</v>
      </c>
      <c r="B314" s="829" t="s">
        <v>1002</v>
      </c>
      <c r="C314" s="1071"/>
      <c r="D314" s="1071"/>
      <c r="E314" s="1071"/>
      <c r="F314" s="1059">
        <v>0.05</v>
      </c>
    </row>
    <row r="315" spans="1:6" ht="24.75" thickBot="1">
      <c r="A315" s="835" t="s">
        <v>534</v>
      </c>
      <c r="B315" s="829" t="s">
        <v>1003</v>
      </c>
      <c r="C315" s="1071"/>
      <c r="D315" s="1071"/>
      <c r="E315" s="1071"/>
      <c r="F315" s="1059">
        <v>0.05</v>
      </c>
    </row>
    <row r="316" spans="1:6" ht="24.75" thickBot="1">
      <c r="A316" s="845" t="s">
        <v>534</v>
      </c>
      <c r="B316" s="841" t="s">
        <v>1004</v>
      </c>
      <c r="C316" s="1068"/>
      <c r="D316" s="1068"/>
      <c r="E316" s="1068"/>
      <c r="F316" s="1061">
        <v>0.05</v>
      </c>
    </row>
    <row r="317" spans="1:6" ht="14.25" thickBot="1">
      <c r="A317" s="835" t="s">
        <v>1005</v>
      </c>
      <c r="B317" s="836" t="s">
        <v>1006</v>
      </c>
      <c r="C317" s="1056">
        <v>0.15</v>
      </c>
      <c r="D317" s="1056">
        <v>0.15</v>
      </c>
      <c r="E317" s="1056">
        <v>0.15</v>
      </c>
      <c r="F317" s="1057">
        <v>0.15</v>
      </c>
    </row>
    <row r="318" spans="1:6" ht="14.25" thickBot="1">
      <c r="A318" s="835" t="s">
        <v>1005</v>
      </c>
      <c r="B318" s="829" t="s">
        <v>1007</v>
      </c>
      <c r="C318" s="1058">
        <v>0.107</v>
      </c>
      <c r="D318" s="1058">
        <v>0.11</v>
      </c>
      <c r="E318" s="1058">
        <v>0.112</v>
      </c>
      <c r="F318" s="1070"/>
    </row>
    <row r="319" spans="1:6" ht="14.25" thickBot="1">
      <c r="A319" s="835" t="s">
        <v>1005</v>
      </c>
      <c r="B319" s="829" t="s">
        <v>1008</v>
      </c>
      <c r="C319" s="1058">
        <v>0.15</v>
      </c>
      <c r="D319" s="1058">
        <v>0.15</v>
      </c>
      <c r="E319" s="1058">
        <v>0.15</v>
      </c>
      <c r="F319" s="1059">
        <v>0.15</v>
      </c>
    </row>
    <row r="320" spans="1:6" ht="14.25" thickBot="1">
      <c r="A320" s="835" t="s">
        <v>1005</v>
      </c>
      <c r="B320" s="829" t="s">
        <v>223</v>
      </c>
      <c r="C320" s="1058">
        <v>0.15</v>
      </c>
      <c r="D320" s="1058">
        <v>0.15</v>
      </c>
      <c r="E320" s="1058">
        <v>0.15</v>
      </c>
      <c r="F320" s="1070"/>
    </row>
    <row r="321" spans="1:6" ht="14.25" thickBot="1">
      <c r="A321" s="835" t="s">
        <v>1005</v>
      </c>
      <c r="B321" s="829" t="s">
        <v>1009</v>
      </c>
      <c r="C321" s="1058">
        <v>0.15</v>
      </c>
      <c r="D321" s="1058">
        <v>0.15</v>
      </c>
      <c r="E321" s="1058">
        <v>0.15</v>
      </c>
      <c r="F321" s="1070"/>
    </row>
    <row r="322" spans="1:6" ht="14.25" thickBot="1">
      <c r="A322" s="835" t="s">
        <v>1005</v>
      </c>
      <c r="B322" s="829" t="s">
        <v>1010</v>
      </c>
      <c r="C322" s="1058">
        <v>0.15</v>
      </c>
      <c r="D322" s="1058">
        <v>0.15</v>
      </c>
      <c r="E322" s="1058">
        <v>0.15</v>
      </c>
      <c r="F322" s="1059">
        <v>0.15</v>
      </c>
    </row>
    <row r="323" spans="1:6" ht="14.25" thickBot="1">
      <c r="A323" s="835" t="s">
        <v>1005</v>
      </c>
      <c r="B323" s="829" t="s">
        <v>1011</v>
      </c>
      <c r="C323" s="1058">
        <v>0.15</v>
      </c>
      <c r="D323" s="1058">
        <v>0.15</v>
      </c>
      <c r="E323" s="1058">
        <v>0.15</v>
      </c>
      <c r="F323" s="1070"/>
    </row>
    <row r="324" spans="1:6" ht="14.25" thickBot="1">
      <c r="A324" s="835" t="s">
        <v>1005</v>
      </c>
      <c r="B324" s="829" t="s">
        <v>1012</v>
      </c>
      <c r="C324" s="1058">
        <v>0.15</v>
      </c>
      <c r="D324" s="1058">
        <v>0.15</v>
      </c>
      <c r="E324" s="1058">
        <v>0.15</v>
      </c>
      <c r="F324" s="1070"/>
    </row>
    <row r="325" spans="1:6" ht="14.25" thickBot="1">
      <c r="A325" s="835" t="s">
        <v>1005</v>
      </c>
      <c r="B325" s="829" t="s">
        <v>1013</v>
      </c>
      <c r="C325" s="1058">
        <v>0.15</v>
      </c>
      <c r="D325" s="1058">
        <v>0.15</v>
      </c>
      <c r="E325" s="1058">
        <v>0.15</v>
      </c>
      <c r="F325" s="1059">
        <v>0.14699999999999999</v>
      </c>
    </row>
    <row r="326" spans="1:6" ht="14.25" thickBot="1">
      <c r="A326" s="835" t="s">
        <v>1005</v>
      </c>
      <c r="B326" s="829" t="s">
        <v>290</v>
      </c>
      <c r="C326" s="1058">
        <v>0.15</v>
      </c>
      <c r="D326" s="1058">
        <v>0.15</v>
      </c>
      <c r="E326" s="1058">
        <v>0.15</v>
      </c>
      <c r="F326" s="1070"/>
    </row>
    <row r="327" spans="1:6" ht="14.25" thickBot="1">
      <c r="A327" s="835" t="s">
        <v>1005</v>
      </c>
      <c r="B327" s="829" t="s">
        <v>1014</v>
      </c>
      <c r="C327" s="1058">
        <v>0.15</v>
      </c>
      <c r="D327" s="1058">
        <v>0.15</v>
      </c>
      <c r="E327" s="1058">
        <v>0.15</v>
      </c>
      <c r="F327" s="1059">
        <v>0.15</v>
      </c>
    </row>
    <row r="328" spans="1:6" ht="14.25" thickBot="1">
      <c r="A328" s="835" t="s">
        <v>1005</v>
      </c>
      <c r="B328" s="829" t="s">
        <v>310</v>
      </c>
      <c r="C328" s="1058">
        <v>0.15</v>
      </c>
      <c r="D328" s="1058">
        <v>0.15</v>
      </c>
      <c r="E328" s="1058">
        <v>0.15</v>
      </c>
      <c r="F328" s="1059">
        <v>0.14099999999999999</v>
      </c>
    </row>
    <row r="329" spans="1:6" ht="14.25" thickBot="1">
      <c r="A329" s="835" t="s">
        <v>1005</v>
      </c>
      <c r="B329" s="829" t="s">
        <v>320</v>
      </c>
      <c r="C329" s="1058">
        <v>0.15</v>
      </c>
      <c r="D329" s="1058">
        <v>0.15</v>
      </c>
      <c r="E329" s="1058">
        <v>0.15</v>
      </c>
      <c r="F329" s="1059">
        <v>0.15</v>
      </c>
    </row>
    <row r="330" spans="1:6" ht="14.25" thickBot="1">
      <c r="A330" s="835" t="s">
        <v>1005</v>
      </c>
      <c r="B330" s="829" t="s">
        <v>331</v>
      </c>
      <c r="C330" s="1058">
        <v>0.15</v>
      </c>
      <c r="D330" s="1058">
        <v>0.15</v>
      </c>
      <c r="E330" s="1058">
        <v>0.15</v>
      </c>
      <c r="F330" s="1070"/>
    </row>
    <row r="331" spans="1:6" ht="14.25" thickBot="1">
      <c r="A331" s="835" t="s">
        <v>1005</v>
      </c>
      <c r="B331" s="829" t="s">
        <v>1015</v>
      </c>
      <c r="C331" s="1058">
        <v>0.15</v>
      </c>
      <c r="D331" s="1058">
        <v>0.15</v>
      </c>
      <c r="E331" s="1058">
        <v>0.15</v>
      </c>
      <c r="F331" s="1059">
        <v>0.15</v>
      </c>
    </row>
    <row r="332" spans="1:6" ht="14.25" thickBot="1">
      <c r="A332" s="835" t="s">
        <v>1005</v>
      </c>
      <c r="B332" s="829" t="s">
        <v>352</v>
      </c>
      <c r="C332" s="1058">
        <v>0.15</v>
      </c>
      <c r="D332" s="1058">
        <v>0.15</v>
      </c>
      <c r="E332" s="1058">
        <v>0.15</v>
      </c>
      <c r="F332" s="1059">
        <v>0.15</v>
      </c>
    </row>
    <row r="333" spans="1:6" ht="14.25" thickBot="1">
      <c r="A333" s="835" t="s">
        <v>1005</v>
      </c>
      <c r="B333" s="829" t="s">
        <v>1016</v>
      </c>
      <c r="C333" s="1058">
        <v>0.15</v>
      </c>
      <c r="D333" s="1058">
        <v>0.15</v>
      </c>
      <c r="E333" s="1058">
        <v>0.15</v>
      </c>
      <c r="F333" s="1059">
        <v>0.14099999999999999</v>
      </c>
    </row>
    <row r="334" spans="1:6" ht="14.25" thickBot="1">
      <c r="A334" s="835" t="s">
        <v>1005</v>
      </c>
      <c r="B334" s="829" t="s">
        <v>372</v>
      </c>
      <c r="C334" s="1058">
        <v>0.15</v>
      </c>
      <c r="D334" s="1058">
        <v>0.15</v>
      </c>
      <c r="E334" s="1058">
        <v>0.15</v>
      </c>
      <c r="F334" s="1059">
        <v>0.15</v>
      </c>
    </row>
    <row r="335" spans="1:6" ht="14.25" thickBot="1">
      <c r="A335" s="835" t="s">
        <v>1005</v>
      </c>
      <c r="B335" s="829" t="s">
        <v>382</v>
      </c>
      <c r="C335" s="1058">
        <v>0.15</v>
      </c>
      <c r="D335" s="1058">
        <v>0.15</v>
      </c>
      <c r="E335" s="1058">
        <v>0.15</v>
      </c>
      <c r="F335" s="1070"/>
    </row>
    <row r="336" spans="1:6" ht="14.25" thickBot="1">
      <c r="A336" s="835" t="s">
        <v>1005</v>
      </c>
      <c r="B336" s="829" t="s">
        <v>1017</v>
      </c>
      <c r="C336" s="1058">
        <v>0.15</v>
      </c>
      <c r="D336" s="1058">
        <v>0.15</v>
      </c>
      <c r="E336" s="1058">
        <v>0.15</v>
      </c>
      <c r="F336" s="1059">
        <v>0.11799999999999999</v>
      </c>
    </row>
    <row r="337" spans="1:6" ht="14.25" thickBot="1">
      <c r="A337" s="845" t="s">
        <v>1005</v>
      </c>
      <c r="B337" s="841" t="s">
        <v>400</v>
      </c>
      <c r="C337" s="1068"/>
      <c r="D337" s="1068"/>
      <c r="E337" s="1068"/>
      <c r="F337" s="1061">
        <v>0.14299999999999999</v>
      </c>
    </row>
    <row r="338" spans="1:6" ht="14.25" thickBot="1">
      <c r="A338" s="835" t="s">
        <v>1018</v>
      </c>
      <c r="B338" s="836" t="s">
        <v>1019</v>
      </c>
      <c r="C338" s="1056">
        <v>0.15</v>
      </c>
      <c r="D338" s="1056">
        <v>0.15</v>
      </c>
      <c r="E338" s="1056">
        <v>0.15</v>
      </c>
      <c r="F338" s="1073"/>
    </row>
    <row r="339" spans="1:6" ht="14.25" thickBot="1">
      <c r="A339" s="835" t="s">
        <v>1018</v>
      </c>
      <c r="B339" s="829" t="s">
        <v>1020</v>
      </c>
      <c r="C339" s="1058">
        <v>0.15</v>
      </c>
      <c r="D339" s="1058">
        <v>0.15</v>
      </c>
      <c r="E339" s="1058">
        <v>0.15</v>
      </c>
      <c r="F339" s="1070"/>
    </row>
    <row r="340" spans="1:6" ht="14.25" thickBot="1">
      <c r="A340" s="835" t="s">
        <v>1018</v>
      </c>
      <c r="B340" s="829" t="s">
        <v>1021</v>
      </c>
      <c r="C340" s="1058">
        <v>0.15</v>
      </c>
      <c r="D340" s="1058">
        <v>0.15</v>
      </c>
      <c r="E340" s="1058">
        <v>0.15</v>
      </c>
      <c r="F340" s="1070"/>
    </row>
    <row r="341" spans="1:6" ht="14.25" thickBot="1">
      <c r="A341" s="835" t="s">
        <v>1018</v>
      </c>
      <c r="B341" s="829" t="s">
        <v>1022</v>
      </c>
      <c r="C341" s="1058">
        <v>0.15</v>
      </c>
      <c r="D341" s="1058">
        <v>0.15</v>
      </c>
      <c r="E341" s="1058">
        <v>0.15</v>
      </c>
      <c r="F341" s="1059">
        <v>0.15</v>
      </c>
    </row>
    <row r="342" spans="1:6" ht="14.25" thickBot="1">
      <c r="A342" s="835" t="s">
        <v>1018</v>
      </c>
      <c r="B342" s="829" t="s">
        <v>1023</v>
      </c>
      <c r="C342" s="1058">
        <v>0.15</v>
      </c>
      <c r="D342" s="1058">
        <v>0.15</v>
      </c>
      <c r="E342" s="1058">
        <v>0.15</v>
      </c>
      <c r="F342" s="1059">
        <v>0.15</v>
      </c>
    </row>
    <row r="343" spans="1:6" ht="14.25" thickBot="1">
      <c r="A343" s="835" t="s">
        <v>1018</v>
      </c>
      <c r="B343" s="829" t="s">
        <v>1024</v>
      </c>
      <c r="C343" s="1058">
        <v>0.15</v>
      </c>
      <c r="D343" s="1058">
        <v>0.15</v>
      </c>
      <c r="E343" s="1058">
        <v>0.15</v>
      </c>
      <c r="F343" s="1059">
        <v>0.15</v>
      </c>
    </row>
    <row r="344" spans="1:6" ht="14.25" thickBot="1">
      <c r="A344" s="845" t="s">
        <v>1018</v>
      </c>
      <c r="B344" s="841" t="s">
        <v>1025</v>
      </c>
      <c r="C344" s="1060">
        <v>0.15</v>
      </c>
      <c r="D344" s="1060">
        <v>0.15</v>
      </c>
      <c r="E344" s="1060">
        <v>0.15</v>
      </c>
      <c r="F344" s="1061">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1" customWidth="1"/>
    <col min="2" max="2" width="13.1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125" style="1637" customWidth="1"/>
    <col min="9" max="9" width="9" style="1637"/>
    <col min="10" max="10" width="9.375" style="1637" bestFit="1" customWidth="1"/>
    <col min="11" max="11" width="4" style="1631" customWidth="1"/>
    <col min="12" max="12" width="5.125" style="1637" customWidth="1"/>
    <col min="13" max="13" width="13.625" style="1637" customWidth="1"/>
    <col min="14" max="256" width="9" style="1637"/>
    <col min="257" max="257" width="4.875" style="1628" customWidth="1"/>
    <col min="258" max="258" width="13.1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625" style="1628" customWidth="1"/>
    <col min="270" max="512" width="9" style="1628"/>
    <col min="513" max="513" width="4.875" style="1628" customWidth="1"/>
    <col min="514" max="514" width="13.1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625" style="1628" customWidth="1"/>
    <col min="526" max="768" width="9" style="1628"/>
    <col min="769" max="769" width="4.875" style="1628" customWidth="1"/>
    <col min="770" max="770" width="13.1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625" style="1628" customWidth="1"/>
    <col min="782" max="1024" width="9" style="1628"/>
    <col min="1025" max="1025" width="4.875" style="1628" customWidth="1"/>
    <col min="1026" max="1026" width="13.1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625" style="1628" customWidth="1"/>
    <col min="1038" max="1280" width="9" style="1628"/>
    <col min="1281" max="1281" width="4.875" style="1628" customWidth="1"/>
    <col min="1282" max="1282" width="13.1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625" style="1628" customWidth="1"/>
    <col min="1294" max="1536" width="9" style="1628"/>
    <col min="1537" max="1537" width="4.875" style="1628" customWidth="1"/>
    <col min="1538" max="1538" width="13.1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625" style="1628" customWidth="1"/>
    <col min="1550" max="1792" width="9" style="1628"/>
    <col min="1793" max="1793" width="4.875" style="1628" customWidth="1"/>
    <col min="1794" max="1794" width="13.1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625" style="1628" customWidth="1"/>
    <col min="1806" max="2048" width="9" style="1628"/>
    <col min="2049" max="2049" width="4.875" style="1628" customWidth="1"/>
    <col min="2050" max="2050" width="13.1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625" style="1628" customWidth="1"/>
    <col min="2062" max="2304" width="9" style="1628"/>
    <col min="2305" max="2305" width="4.875" style="1628" customWidth="1"/>
    <col min="2306" max="2306" width="13.1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625" style="1628" customWidth="1"/>
    <col min="2318" max="2560" width="9" style="1628"/>
    <col min="2561" max="2561" width="4.875" style="1628" customWidth="1"/>
    <col min="2562" max="2562" width="13.1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625" style="1628" customWidth="1"/>
    <col min="2574" max="2816" width="9" style="1628"/>
    <col min="2817" max="2817" width="4.875" style="1628" customWidth="1"/>
    <col min="2818" max="2818" width="13.1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625" style="1628" customWidth="1"/>
    <col min="2830" max="3072" width="9" style="1628"/>
    <col min="3073" max="3073" width="4.875" style="1628" customWidth="1"/>
    <col min="3074" max="3074" width="13.1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625" style="1628" customWidth="1"/>
    <col min="3086" max="3328" width="9" style="1628"/>
    <col min="3329" max="3329" width="4.875" style="1628" customWidth="1"/>
    <col min="3330" max="3330" width="13.1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625" style="1628" customWidth="1"/>
    <col min="3342" max="3584" width="9" style="1628"/>
    <col min="3585" max="3585" width="4.875" style="1628" customWidth="1"/>
    <col min="3586" max="3586" width="13.1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625" style="1628" customWidth="1"/>
    <col min="3598" max="3840" width="9" style="1628"/>
    <col min="3841" max="3841" width="4.875" style="1628" customWidth="1"/>
    <col min="3842" max="3842" width="13.1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625" style="1628" customWidth="1"/>
    <col min="3854" max="4096" width="9" style="1628"/>
    <col min="4097" max="4097" width="4.875" style="1628" customWidth="1"/>
    <col min="4098" max="4098" width="13.1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625" style="1628" customWidth="1"/>
    <col min="4110" max="4352" width="9" style="1628"/>
    <col min="4353" max="4353" width="4.875" style="1628" customWidth="1"/>
    <col min="4354" max="4354" width="13.1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625" style="1628" customWidth="1"/>
    <col min="4366" max="4608" width="9" style="1628"/>
    <col min="4609" max="4609" width="4.875" style="1628" customWidth="1"/>
    <col min="4610" max="4610" width="13.1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625" style="1628" customWidth="1"/>
    <col min="4622" max="4864" width="9" style="1628"/>
    <col min="4865" max="4865" width="4.875" style="1628" customWidth="1"/>
    <col min="4866" max="4866" width="13.1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625" style="1628" customWidth="1"/>
    <col min="4878" max="5120" width="9" style="1628"/>
    <col min="5121" max="5121" width="4.875" style="1628" customWidth="1"/>
    <col min="5122" max="5122" width="13.1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625" style="1628" customWidth="1"/>
    <col min="5134" max="5376" width="9" style="1628"/>
    <col min="5377" max="5377" width="4.875" style="1628" customWidth="1"/>
    <col min="5378" max="5378" width="13.1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625" style="1628" customWidth="1"/>
    <col min="5390" max="5632" width="9" style="1628"/>
    <col min="5633" max="5633" width="4.875" style="1628" customWidth="1"/>
    <col min="5634" max="5634" width="13.1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625" style="1628" customWidth="1"/>
    <col min="5646" max="5888" width="9" style="1628"/>
    <col min="5889" max="5889" width="4.875" style="1628" customWidth="1"/>
    <col min="5890" max="5890" width="13.1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625" style="1628" customWidth="1"/>
    <col min="5902" max="6144" width="9" style="1628"/>
    <col min="6145" max="6145" width="4.875" style="1628" customWidth="1"/>
    <col min="6146" max="6146" width="13.1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625" style="1628" customWidth="1"/>
    <col min="6158" max="6400" width="9" style="1628"/>
    <col min="6401" max="6401" width="4.875" style="1628" customWidth="1"/>
    <col min="6402" max="6402" width="13.1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625" style="1628" customWidth="1"/>
    <col min="6414" max="6656" width="9" style="1628"/>
    <col min="6657" max="6657" width="4.875" style="1628" customWidth="1"/>
    <col min="6658" max="6658" width="13.1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625" style="1628" customWidth="1"/>
    <col min="6670" max="6912" width="9" style="1628"/>
    <col min="6913" max="6913" width="4.875" style="1628" customWidth="1"/>
    <col min="6914" max="6914" width="13.1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625" style="1628" customWidth="1"/>
    <col min="6926" max="7168" width="9" style="1628"/>
    <col min="7169" max="7169" width="4.875" style="1628" customWidth="1"/>
    <col min="7170" max="7170" width="13.1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625" style="1628" customWidth="1"/>
    <col min="7182" max="7424" width="9" style="1628"/>
    <col min="7425" max="7425" width="4.875" style="1628" customWidth="1"/>
    <col min="7426" max="7426" width="13.1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625" style="1628" customWidth="1"/>
    <col min="7438" max="7680" width="9" style="1628"/>
    <col min="7681" max="7681" width="4.875" style="1628" customWidth="1"/>
    <col min="7682" max="7682" width="13.1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625" style="1628" customWidth="1"/>
    <col min="7694" max="7936" width="9" style="1628"/>
    <col min="7937" max="7937" width="4.875" style="1628" customWidth="1"/>
    <col min="7938" max="7938" width="13.1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625" style="1628" customWidth="1"/>
    <col min="7950" max="8192" width="9" style="1628"/>
    <col min="8193" max="8193" width="4.875" style="1628" customWidth="1"/>
    <col min="8194" max="8194" width="13.1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625" style="1628" customWidth="1"/>
    <col min="8206" max="8448" width="9" style="1628"/>
    <col min="8449" max="8449" width="4.875" style="1628" customWidth="1"/>
    <col min="8450" max="8450" width="13.1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625" style="1628" customWidth="1"/>
    <col min="8462" max="8704" width="9" style="1628"/>
    <col min="8705" max="8705" width="4.875" style="1628" customWidth="1"/>
    <col min="8706" max="8706" width="13.1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625" style="1628" customWidth="1"/>
    <col min="8718" max="8960" width="9" style="1628"/>
    <col min="8961" max="8961" width="4.875" style="1628" customWidth="1"/>
    <col min="8962" max="8962" width="13.1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625" style="1628" customWidth="1"/>
    <col min="8974" max="9216" width="9" style="1628"/>
    <col min="9217" max="9217" width="4.875" style="1628" customWidth="1"/>
    <col min="9218" max="9218" width="13.1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625" style="1628" customWidth="1"/>
    <col min="9230" max="9472" width="9" style="1628"/>
    <col min="9473" max="9473" width="4.875" style="1628" customWidth="1"/>
    <col min="9474" max="9474" width="13.1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625" style="1628" customWidth="1"/>
    <col min="9486" max="9728" width="9" style="1628"/>
    <col min="9729" max="9729" width="4.875" style="1628" customWidth="1"/>
    <col min="9730" max="9730" width="13.1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625" style="1628" customWidth="1"/>
    <col min="9742" max="9984" width="9" style="1628"/>
    <col min="9985" max="9985" width="4.875" style="1628" customWidth="1"/>
    <col min="9986" max="9986" width="13.1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625" style="1628" customWidth="1"/>
    <col min="9998" max="10240" width="9" style="1628"/>
    <col min="10241" max="10241" width="4.875" style="1628" customWidth="1"/>
    <col min="10242" max="10242" width="13.1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625" style="1628" customWidth="1"/>
    <col min="10254" max="10496" width="9" style="1628"/>
    <col min="10497" max="10497" width="4.875" style="1628" customWidth="1"/>
    <col min="10498" max="10498" width="13.1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625" style="1628" customWidth="1"/>
    <col min="10510" max="10752" width="9" style="1628"/>
    <col min="10753" max="10753" width="4.875" style="1628" customWidth="1"/>
    <col min="10754" max="10754" width="13.1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625" style="1628" customWidth="1"/>
    <col min="10766" max="11008" width="9" style="1628"/>
    <col min="11009" max="11009" width="4.875" style="1628" customWidth="1"/>
    <col min="11010" max="11010" width="13.1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625" style="1628" customWidth="1"/>
    <col min="11022" max="11264" width="9" style="1628"/>
    <col min="11265" max="11265" width="4.875" style="1628" customWidth="1"/>
    <col min="11266" max="11266" width="13.1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625" style="1628" customWidth="1"/>
    <col min="11278" max="11520" width="9" style="1628"/>
    <col min="11521" max="11521" width="4.875" style="1628" customWidth="1"/>
    <col min="11522" max="11522" width="13.1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625" style="1628" customWidth="1"/>
    <col min="11534" max="11776" width="9" style="1628"/>
    <col min="11777" max="11777" width="4.875" style="1628" customWidth="1"/>
    <col min="11778" max="11778" width="13.1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625" style="1628" customWidth="1"/>
    <col min="11790" max="12032" width="9" style="1628"/>
    <col min="12033" max="12033" width="4.875" style="1628" customWidth="1"/>
    <col min="12034" max="12034" width="13.1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625" style="1628" customWidth="1"/>
    <col min="12046" max="12288" width="9" style="1628"/>
    <col min="12289" max="12289" width="4.875" style="1628" customWidth="1"/>
    <col min="12290" max="12290" width="13.1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625" style="1628" customWidth="1"/>
    <col min="12302" max="12544" width="9" style="1628"/>
    <col min="12545" max="12545" width="4.875" style="1628" customWidth="1"/>
    <col min="12546" max="12546" width="13.1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625" style="1628" customWidth="1"/>
    <col min="12558" max="12800" width="9" style="1628"/>
    <col min="12801" max="12801" width="4.875" style="1628" customWidth="1"/>
    <col min="12802" max="12802" width="13.1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625" style="1628" customWidth="1"/>
    <col min="12814" max="13056" width="9" style="1628"/>
    <col min="13057" max="13057" width="4.875" style="1628" customWidth="1"/>
    <col min="13058" max="13058" width="13.1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625" style="1628" customWidth="1"/>
    <col min="13070" max="13312" width="9" style="1628"/>
    <col min="13313" max="13313" width="4.875" style="1628" customWidth="1"/>
    <col min="13314" max="13314" width="13.1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625" style="1628" customWidth="1"/>
    <col min="13326" max="13568" width="9" style="1628"/>
    <col min="13569" max="13569" width="4.875" style="1628" customWidth="1"/>
    <col min="13570" max="13570" width="13.1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625" style="1628" customWidth="1"/>
    <col min="13582" max="13824" width="9" style="1628"/>
    <col min="13825" max="13825" width="4.875" style="1628" customWidth="1"/>
    <col min="13826" max="13826" width="13.1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625" style="1628" customWidth="1"/>
    <col min="13838" max="14080" width="9" style="1628"/>
    <col min="14081" max="14081" width="4.875" style="1628" customWidth="1"/>
    <col min="14082" max="14082" width="13.1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625" style="1628" customWidth="1"/>
    <col min="14094" max="14336" width="9" style="1628"/>
    <col min="14337" max="14337" width="4.875" style="1628" customWidth="1"/>
    <col min="14338" max="14338" width="13.1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625" style="1628" customWidth="1"/>
    <col min="14350" max="14592" width="9" style="1628"/>
    <col min="14593" max="14593" width="4.875" style="1628" customWidth="1"/>
    <col min="14594" max="14594" width="13.1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625" style="1628" customWidth="1"/>
    <col min="14606" max="14848" width="9" style="1628"/>
    <col min="14849" max="14849" width="4.875" style="1628" customWidth="1"/>
    <col min="14850" max="14850" width="13.1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625" style="1628" customWidth="1"/>
    <col min="14862" max="15104" width="9" style="1628"/>
    <col min="15105" max="15105" width="4.875" style="1628" customWidth="1"/>
    <col min="15106" max="15106" width="13.1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625" style="1628" customWidth="1"/>
    <col min="15118" max="15360" width="9" style="1628"/>
    <col min="15361" max="15361" width="4.875" style="1628" customWidth="1"/>
    <col min="15362" max="15362" width="13.1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625" style="1628" customWidth="1"/>
    <col min="15374" max="15616" width="9" style="1628"/>
    <col min="15617" max="15617" width="4.875" style="1628" customWidth="1"/>
    <col min="15618" max="15618" width="13.1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625" style="1628" customWidth="1"/>
    <col min="15630" max="15872" width="9" style="1628"/>
    <col min="15873" max="15873" width="4.875" style="1628" customWidth="1"/>
    <col min="15874" max="15874" width="13.1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625" style="1628" customWidth="1"/>
    <col min="15886" max="16128" width="9" style="1628"/>
    <col min="16129" max="16129" width="4.875" style="1628" customWidth="1"/>
    <col min="16130" max="16130" width="13.1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625" style="1628" customWidth="1"/>
    <col min="16142" max="16384" width="9" style="1628"/>
  </cols>
  <sheetData>
    <row r="1" spans="1:257" s="1692" customFormat="1" ht="14.25" thickBot="1">
      <c r="A1" s="1686"/>
      <c r="B1" s="1693" t="s">
        <v>1296</v>
      </c>
      <c r="C1" s="1687">
        <f>项目基本情况!D3</f>
        <v>43782</v>
      </c>
      <c r="D1" s="1693" t="s">
        <v>1297</v>
      </c>
      <c r="E1" s="1688">
        <f>'数据-取费表'!B22</f>
        <v>4</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6</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7" customWidth="1"/>
    <col min="2" max="9" width="12.125" style="1937" customWidth="1"/>
    <col min="10" max="16384" width="9" style="1937"/>
  </cols>
  <sheetData>
    <row r="1" spans="1:9" ht="18.75" thickBot="1">
      <c r="A1" s="3063" t="str">
        <f>IF(项目基本情况!B9="房地产市场价值","估价结果一览表","结果表-2")</f>
        <v>结果表-2</v>
      </c>
      <c r="B1" s="3063"/>
      <c r="C1" s="3063"/>
      <c r="D1" s="3063"/>
      <c r="E1" s="3063"/>
      <c r="F1" s="3063"/>
      <c r="G1" s="3063"/>
      <c r="H1" s="3063"/>
      <c r="I1" s="3063"/>
    </row>
    <row r="2" spans="1:9" ht="30" customHeight="1" thickTop="1">
      <c r="A2" s="3064" t="s">
        <v>1636</v>
      </c>
      <c r="B2" s="3064" t="s">
        <v>1637</v>
      </c>
      <c r="C2" s="3064" t="s">
        <v>1638</v>
      </c>
      <c r="D2" s="3064" t="str">
        <f>结果表!D116</f>
        <v>出让国有建设用地使用权价值</v>
      </c>
      <c r="E2" s="3064"/>
      <c r="F2" s="3064" t="str">
        <f>结果表!F116</f>
        <v>在建建筑物价值</v>
      </c>
      <c r="G2" s="3064"/>
      <c r="H2" s="3064" t="str">
        <f>IF(项目基本情况!B9="房地产市场价值","房地产市场价值","房地产价值")</f>
        <v>房地产价值</v>
      </c>
      <c r="I2" s="3064"/>
    </row>
    <row r="3" spans="1:9" ht="15">
      <c r="A3" s="3058"/>
      <c r="B3" s="3058"/>
      <c r="C3" s="3058"/>
      <c r="D3" s="1038" t="s">
        <v>1633</v>
      </c>
      <c r="E3" s="1038" t="s">
        <v>1639</v>
      </c>
      <c r="F3" s="1038" t="s">
        <v>1633</v>
      </c>
      <c r="G3" s="1038" t="s">
        <v>1634</v>
      </c>
      <c r="H3" s="1038" t="s">
        <v>1633</v>
      </c>
      <c r="I3" s="1038" t="s">
        <v>1634</v>
      </c>
    </row>
    <row r="4" spans="1:9" ht="60">
      <c r="A4" s="1965" t="str">
        <f>项目基本情况!S2</f>
        <v>浙江省杭州市萧山区浦阳镇桃北新村“融创森与海”居住项目A、C、D地块出让国有建设用地使用权</v>
      </c>
      <c r="B4" s="1038">
        <f>项目基本情况!C17</f>
        <v>900384.25897299999</v>
      </c>
      <c r="C4" s="1038">
        <f>项目基本情况!C18</f>
        <v>358537</v>
      </c>
      <c r="D4" s="1038">
        <f ca="1">结果表!D118</f>
        <v>378244</v>
      </c>
      <c r="E4" s="1038">
        <f ca="1">结果表!E118</f>
        <v>4201</v>
      </c>
      <c r="F4" s="1038">
        <f ca="1">结果表!F118</f>
        <v>0</v>
      </c>
      <c r="G4" s="1038">
        <f ca="1">结果表!G118</f>
        <v>0</v>
      </c>
      <c r="H4" s="1038">
        <f ca="1">结果表!H118</f>
        <v>378244</v>
      </c>
      <c r="I4" s="1038">
        <f ca="1">结果表!I118</f>
        <v>4201</v>
      </c>
    </row>
    <row r="5" spans="1:9" ht="30" customHeight="1">
      <c r="A5" s="3058" t="s">
        <v>1635</v>
      </c>
      <c r="B5" s="3058"/>
      <c r="C5" s="3058"/>
      <c r="D5" s="3059" t="str">
        <f ca="1">结果表!D119</f>
        <v>叁拾柒亿捌仟贰佰肆拾肆万元整</v>
      </c>
      <c r="E5" s="3059"/>
      <c r="F5" s="3059" t="str">
        <f ca="1">结果表!F119</f>
        <v>零元整</v>
      </c>
      <c r="G5" s="3059"/>
      <c r="H5" s="3059" t="str">
        <f ca="1">结果表!H119</f>
        <v>叁拾柒亿捌仟贰佰肆拾肆万元整</v>
      </c>
      <c r="I5" s="3059"/>
    </row>
    <row r="6" spans="1:9" ht="15.75">
      <c r="A6" s="3057" t="str">
        <f>结果表!A120</f>
        <v>估价师知悉的法定优先受偿款</v>
      </c>
      <c r="B6" s="3057"/>
      <c r="C6" s="3057"/>
      <c r="D6" s="3057">
        <f ca="1">结果表!D120</f>
        <v>2697</v>
      </c>
      <c r="E6" s="3057"/>
      <c r="F6" s="3057"/>
      <c r="G6" s="3057"/>
      <c r="H6" s="3057"/>
      <c r="I6" s="3057"/>
    </row>
    <row r="7" spans="1:9" ht="15">
      <c r="A7" s="3058" t="s">
        <v>1635</v>
      </c>
      <c r="B7" s="3058"/>
      <c r="C7" s="3058"/>
      <c r="D7" s="3060" t="str">
        <f ca="1">结果表!D121</f>
        <v>贰仟陆佰玖拾柒万元整</v>
      </c>
      <c r="E7" s="3061"/>
      <c r="F7" s="3061"/>
      <c r="G7" s="3061"/>
      <c r="H7" s="3061"/>
      <c r="I7" s="3062"/>
    </row>
    <row r="8" spans="1:9" ht="15.75">
      <c r="A8" s="3057" t="str">
        <f>结果表!A122</f>
        <v>房地产抵押价值</v>
      </c>
      <c r="B8" s="3057"/>
      <c r="C8" s="3057"/>
      <c r="D8" s="3057">
        <f ca="1">结果表!D122</f>
        <v>375547</v>
      </c>
      <c r="E8" s="3057"/>
      <c r="F8" s="3057"/>
      <c r="G8" s="3057"/>
      <c r="H8" s="3057"/>
      <c r="I8" s="3057"/>
    </row>
    <row r="9" spans="1:9" ht="15">
      <c r="A9" s="3058" t="s">
        <v>1635</v>
      </c>
      <c r="B9" s="3058"/>
      <c r="C9" s="3058"/>
      <c r="D9" s="3059" t="str">
        <f ca="1">结果表!D123</f>
        <v>叁拾柒亿伍仟伍佰肆拾柒万元整</v>
      </c>
      <c r="E9" s="3059"/>
      <c r="F9" s="3059"/>
      <c r="G9" s="3059"/>
      <c r="H9" s="3059"/>
      <c r="I9" s="3059"/>
    </row>
    <row r="10" spans="1:9" ht="15.75">
      <c r="A10" s="3057" t="str">
        <f>结果表!A124</f>
        <v/>
      </c>
      <c r="B10" s="3057"/>
      <c r="C10" s="3057"/>
      <c r="D10" s="3057" t="str">
        <f>结果表!D124</f>
        <v>——</v>
      </c>
      <c r="E10" s="3057"/>
      <c r="F10" s="3057"/>
      <c r="G10" s="3057"/>
      <c r="H10" s="3057"/>
      <c r="I10" s="3057"/>
    </row>
    <row r="11" spans="1:9" ht="15">
      <c r="A11" s="3058" t="s">
        <v>1635</v>
      </c>
      <c r="B11" s="3058"/>
      <c r="C11" s="3058"/>
      <c r="D11" s="3059" t="e">
        <f>结果表!D125</f>
        <v>#VALUE!</v>
      </c>
      <c r="E11" s="3059"/>
      <c r="F11" s="3059"/>
      <c r="G11" s="3059"/>
      <c r="H11" s="3059"/>
      <c r="I11" s="3059"/>
    </row>
    <row r="12" spans="1:9" ht="15.75">
      <c r="A12" s="3057" t="str">
        <f>结果表!A126</f>
        <v>抵押净值</v>
      </c>
      <c r="B12" s="3057"/>
      <c r="C12" s="3057"/>
      <c r="D12" s="3057">
        <f ca="1">结果表!D126</f>
        <v>352713</v>
      </c>
      <c r="E12" s="3057"/>
      <c r="F12" s="3057"/>
      <c r="G12" s="3057"/>
      <c r="H12" s="3057"/>
      <c r="I12" s="3057"/>
    </row>
    <row r="13" spans="1:9" ht="15.75" thickBot="1">
      <c r="A13" s="3054" t="s">
        <v>1635</v>
      </c>
      <c r="B13" s="3054"/>
      <c r="C13" s="3054"/>
      <c r="D13" s="3055" t="str">
        <f ca="1">结果表!D127</f>
        <v>叁拾伍亿贰仟柒佰壹拾叁万元整</v>
      </c>
      <c r="E13" s="3055"/>
      <c r="F13" s="3055"/>
      <c r="G13" s="3055"/>
      <c r="H13" s="3055"/>
      <c r="I13" s="3055"/>
    </row>
    <row r="14" spans="1:9" ht="15" thickTop="1">
      <c r="A14" s="3056" t="s">
        <v>1640</v>
      </c>
      <c r="B14" s="3056"/>
      <c r="C14" s="3056"/>
      <c r="D14" s="3056"/>
      <c r="E14" s="3056"/>
      <c r="F14" s="3056"/>
      <c r="G14" s="3056"/>
      <c r="H14" s="3056"/>
      <c r="I14" s="3056"/>
    </row>
    <row r="16" spans="1:9" ht="18.75">
      <c r="A16" s="1966" t="s">
        <v>1623</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5" t="s">
        <v>1368</v>
      </c>
      <c r="E1" s="1769" t="s">
        <v>1372</v>
      </c>
      <c r="F1" s="1770" t="s">
        <v>1376</v>
      </c>
    </row>
    <row r="2" spans="1:13" ht="20.25">
      <c r="A2" s="1776" t="s">
        <v>1369</v>
      </c>
    </row>
    <row r="3" spans="1:13" ht="16.5">
      <c r="A3" s="1777" t="s">
        <v>1370</v>
      </c>
    </row>
    <row r="4" spans="1:13" ht="14.25">
      <c r="A4" s="1767" t="s">
        <v>1371</v>
      </c>
      <c r="B4" s="1772" t="s">
        <v>1373</v>
      </c>
      <c r="C4" s="1773"/>
      <c r="D4" s="1774"/>
      <c r="E4" s="1772" t="s">
        <v>27</v>
      </c>
      <c r="F4" s="1773"/>
      <c r="G4" s="1774"/>
      <c r="H4" s="1772" t="s">
        <v>1374</v>
      </c>
      <c r="I4" s="1773"/>
      <c r="J4" s="1774"/>
      <c r="K4" s="1772" t="s">
        <v>6</v>
      </c>
      <c r="L4" s="1773"/>
      <c r="M4" s="1774"/>
    </row>
    <row r="5" spans="1:13" ht="14.25">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7" customWidth="1"/>
    <col min="2" max="3" width="22.375" style="1937" customWidth="1"/>
    <col min="4" max="4" width="23" style="1937" customWidth="1"/>
    <col min="5" max="16384" width="9" style="1937"/>
  </cols>
  <sheetData>
    <row r="1" spans="1:4" ht="18.75">
      <c r="A1" s="3071" t="s">
        <v>1657</v>
      </c>
      <c r="B1" s="3071"/>
      <c r="C1" s="3071"/>
      <c r="D1" s="3071"/>
    </row>
    <row r="2" spans="1:4" ht="18">
      <c r="A2" s="3072" t="s">
        <v>1641</v>
      </c>
      <c r="B2" s="3072"/>
      <c r="C2" s="3072"/>
      <c r="D2" s="3072"/>
    </row>
    <row r="3" spans="1:4" ht="18.75">
      <c r="A3" s="1969" t="s">
        <v>1642</v>
      </c>
      <c r="B3" s="1969" t="s">
        <v>1643</v>
      </c>
      <c r="C3" s="1969" t="s">
        <v>1644</v>
      </c>
      <c r="D3" s="1969" t="s">
        <v>1645</v>
      </c>
    </row>
    <row r="4" spans="1:4" ht="56.25" customHeight="1">
      <c r="A4" s="1970" t="str">
        <f>项目基本情况!B4</f>
        <v>郑燚</v>
      </c>
      <c r="B4" s="1971">
        <f ca="1">项目基本情况!C4</f>
        <v>0</v>
      </c>
      <c r="C4" s="1972"/>
      <c r="D4" s="1973" t="s">
        <v>1646</v>
      </c>
    </row>
    <row r="5" spans="1:4" ht="56.25" customHeight="1">
      <c r="A5" s="1970" t="str">
        <f>项目基本情况!D4</f>
        <v>王鹏</v>
      </c>
      <c r="B5" s="1971">
        <f ca="1">项目基本情况!E4</f>
        <v>1120050019</v>
      </c>
      <c r="C5" s="1974"/>
      <c r="D5" s="1973" t="s">
        <v>1646</v>
      </c>
    </row>
    <row r="6" spans="1:4" ht="18">
      <c r="A6" s="3072" t="s">
        <v>1647</v>
      </c>
      <c r="B6" s="3072"/>
      <c r="C6" s="3072"/>
      <c r="D6" s="3072"/>
    </row>
    <row r="7" spans="1:4" ht="18.75">
      <c r="A7" s="1969" t="s">
        <v>1642</v>
      </c>
      <c r="B7" s="1971" t="s">
        <v>1648</v>
      </c>
      <c r="C7" s="1969" t="s">
        <v>1644</v>
      </c>
      <c r="D7" s="1969" t="s">
        <v>1645</v>
      </c>
    </row>
    <row r="8" spans="1:4" ht="56.25" customHeight="1">
      <c r="A8" s="1975" t="s">
        <v>866</v>
      </c>
      <c r="B8" s="1975" t="s">
        <v>1</v>
      </c>
      <c r="C8" s="1972"/>
      <c r="D8" s="1973" t="s">
        <v>1646</v>
      </c>
    </row>
    <row r="9" spans="1:4">
      <c r="A9" s="724"/>
      <c r="B9" s="724"/>
      <c r="C9" s="724"/>
      <c r="D9" s="724"/>
    </row>
    <row r="10" spans="1:4" ht="18.75">
      <c r="A10" s="1976" t="s">
        <v>1649</v>
      </c>
      <c r="B10" s="724"/>
      <c r="C10" s="724"/>
      <c r="D10" s="724"/>
    </row>
    <row r="11" spans="1:4" ht="30" customHeight="1">
      <c r="A11" s="3073" t="s">
        <v>1650</v>
      </c>
      <c r="B11" s="3065"/>
      <c r="C11" s="3065"/>
      <c r="D11" s="3065"/>
    </row>
    <row r="12" spans="1:4" ht="15.75">
      <c r="A12" s="30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0"/>
      <c r="C12" s="3070"/>
      <c r="D12" s="3070"/>
    </row>
    <row r="13" spans="1:4" ht="30" customHeight="1">
      <c r="A13" s="30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0"/>
      <c r="C13" s="3070"/>
      <c r="D13" s="3070"/>
    </row>
    <row r="14" spans="1:4" ht="15.75" customHeight="1">
      <c r="A14" s="3065" t="str">
        <f>IF(项目基本情况!B8="抵押","4.本次评估估价师所知悉的法定优先受偿款情况说明如下：","——")</f>
        <v>4.本次评估估价师所知悉的法定优先受偿款情况说明如下：</v>
      </c>
      <c r="B14" s="3070"/>
      <c r="C14" s="3070"/>
      <c r="D14" s="3070"/>
    </row>
    <row r="15" spans="1:4" ht="42" customHeight="1">
      <c r="A15" s="306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5"/>
      <c r="C15" s="3065"/>
      <c r="D15" s="3065"/>
    </row>
    <row r="16" spans="1:4" ht="30" customHeight="1">
      <c r="A16" s="3067" t="s">
        <v>1651</v>
      </c>
      <c r="B16" s="3067"/>
      <c r="C16" s="3067"/>
      <c r="D16" s="3067"/>
    </row>
    <row r="17" spans="1:4" ht="144" customHeight="1">
      <c r="A17" s="3067" t="s">
        <v>1652</v>
      </c>
      <c r="B17" s="3067"/>
      <c r="C17" s="3067"/>
      <c r="D17" s="3067"/>
    </row>
    <row r="18" spans="1:4" ht="15.75" customHeight="1">
      <c r="A18" s="3065" t="str">
        <f ca="1">IF(项目基本情况!B8="抵押",结果表!K120,"——")</f>
        <v>故，本次评估估价师知悉的法定优先受偿款为人民币2697万元整。</v>
      </c>
      <c r="B18" s="3065"/>
      <c r="C18" s="3065"/>
      <c r="D18" s="3065"/>
    </row>
    <row r="19" spans="1:4" ht="46.5" customHeight="1">
      <c r="A19" s="30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5"/>
      <c r="C19" s="3065"/>
      <c r="D19" s="3065"/>
    </row>
    <row r="20" spans="1:4" ht="57.75" customHeight="1">
      <c r="A20" s="30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5"/>
      <c r="C20" s="3065"/>
      <c r="D20" s="3065"/>
    </row>
    <row r="21" spans="1:4" ht="57.75" customHeight="1">
      <c r="A21" s="30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8"/>
      <c r="C21" s="3068"/>
      <c r="D21" s="3068"/>
    </row>
    <row r="22" spans="1:4" ht="18.75" customHeight="1">
      <c r="A22" s="3069" t="s">
        <v>1653</v>
      </c>
      <c r="B22" s="3069"/>
      <c r="C22" s="3069"/>
      <c r="D22" s="3069"/>
    </row>
    <row r="23" spans="1:4">
      <c r="A23" s="1977"/>
      <c r="B23" s="1949"/>
      <c r="C23" s="1949"/>
      <c r="D23" s="1949"/>
    </row>
    <row r="24" spans="1:4">
      <c r="A24" s="1977"/>
      <c r="B24" s="1949"/>
      <c r="C24" s="1949"/>
      <c r="D24" s="1949"/>
    </row>
    <row r="25" spans="1:4" ht="18.75">
      <c r="A25" s="1978" t="s">
        <v>1654</v>
      </c>
    </row>
    <row r="26" spans="1:4" ht="18">
      <c r="A26" s="1947"/>
    </row>
    <row r="27" spans="1:4" ht="18.75">
      <c r="A27" s="1947" t="s">
        <v>1655</v>
      </c>
    </row>
    <row r="30" spans="1:4" ht="18.75">
      <c r="D30" s="1978" t="s">
        <v>1656</v>
      </c>
    </row>
    <row r="31" spans="1:4" ht="13.5" customHeight="1">
      <c r="C31" s="3066">
        <v>42551</v>
      </c>
      <c r="D31" s="30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5" customWidth="1"/>
    <col min="3" max="10" width="12.5" style="1935" customWidth="1"/>
    <col min="11" max="16384" width="9" style="1935"/>
  </cols>
  <sheetData>
    <row r="1" spans="1:10" ht="18.75">
      <c r="A1" s="1968" t="s">
        <v>867</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18" sqref="A18:C18"/>
      <selection pane="bottomLeft" activeCell="A18" sqref="A18:C18"/>
    </sheetView>
  </sheetViews>
  <sheetFormatPr defaultColWidth="14.5" defaultRowHeight="14.25"/>
  <cols>
    <col min="1" max="1" width="14.5" style="1985" customWidth="1"/>
    <col min="2" max="16384" width="14.5" style="1967"/>
  </cols>
  <sheetData>
    <row r="1" spans="1:7" s="1982" customFormat="1" ht="18.75">
      <c r="A1" s="1981" t="s">
        <v>1658</v>
      </c>
    </row>
    <row r="3" spans="1:7">
      <c r="A3" s="1983" t="s">
        <v>82</v>
      </c>
      <c r="B3" s="1967" t="s">
        <v>1659</v>
      </c>
      <c r="G3" s="1984"/>
    </row>
    <row r="4" spans="1:7">
      <c r="G4" s="1984"/>
    </row>
    <row r="5" spans="1:7">
      <c r="A5" s="1986" t="s">
        <v>73</v>
      </c>
      <c r="B5" s="1967" t="s">
        <v>1660</v>
      </c>
      <c r="G5" s="1984"/>
    </row>
    <row r="6" spans="1:7">
      <c r="G6" s="1984"/>
    </row>
    <row r="7" spans="1:7">
      <c r="A7" s="1987" t="s">
        <v>135</v>
      </c>
      <c r="B7" s="1967" t="s">
        <v>1661</v>
      </c>
      <c r="G7" s="1984"/>
    </row>
    <row r="8" spans="1:7">
      <c r="G8" s="1984"/>
    </row>
    <row r="9" spans="1:7">
      <c r="A9" s="1988" t="s">
        <v>74</v>
      </c>
      <c r="B9" s="1967" t="s">
        <v>1662</v>
      </c>
    </row>
    <row r="11" spans="1:7">
      <c r="A11" s="1989" t="s">
        <v>75</v>
      </c>
      <c r="B11" s="1990" t="s">
        <v>72</v>
      </c>
    </row>
    <row r="13" spans="1:7">
      <c r="A13" s="1991" t="s">
        <v>1663</v>
      </c>
    </row>
    <row r="15" spans="1:7" ht="13.5">
      <c r="A15" s="3079" t="s">
        <v>1664</v>
      </c>
      <c r="B15" s="3074" t="s">
        <v>136</v>
      </c>
      <c r="C15" s="3075"/>
    </row>
    <row r="16" spans="1:7" ht="13.5">
      <c r="A16" s="3080"/>
      <c r="B16" s="3074" t="s">
        <v>69</v>
      </c>
      <c r="C16" s="3075"/>
    </row>
    <row r="17" spans="1:3" ht="13.5">
      <c r="A17" s="3080"/>
      <c r="B17" s="3077" t="s">
        <v>1665</v>
      </c>
      <c r="C17" s="1992" t="s">
        <v>1664</v>
      </c>
    </row>
    <row r="18" spans="1:3" ht="13.5">
      <c r="A18" s="3080"/>
      <c r="B18" s="3077"/>
      <c r="C18" s="1992" t="s">
        <v>1666</v>
      </c>
    </row>
    <row r="19" spans="1:3" ht="13.5">
      <c r="A19" s="3080"/>
      <c r="B19" s="3077"/>
      <c r="C19" s="1992" t="s">
        <v>1667</v>
      </c>
    </row>
    <row r="20" spans="1:3" ht="13.5">
      <c r="A20" s="3081"/>
      <c r="B20" s="3076" t="s">
        <v>1668</v>
      </c>
      <c r="C20" s="3075"/>
    </row>
    <row r="21" spans="1:3" ht="13.5">
      <c r="A21" s="1993" t="s">
        <v>1669</v>
      </c>
      <c r="B21" s="1994"/>
      <c r="C21" s="1995"/>
    </row>
    <row r="22" spans="1:3" ht="13.5">
      <c r="A22" s="3078" t="s">
        <v>1670</v>
      </c>
      <c r="B22" s="3076" t="s">
        <v>1671</v>
      </c>
      <c r="C22" s="3075"/>
    </row>
    <row r="23" spans="1:3" ht="13.5">
      <c r="A23" s="3078"/>
      <c r="B23" s="3076" t="s">
        <v>1672</v>
      </c>
      <c r="C23" s="3075"/>
    </row>
    <row r="24" spans="1:3" ht="13.5">
      <c r="A24" s="3078"/>
      <c r="B24" s="3076" t="s">
        <v>1673</v>
      </c>
      <c r="C24" s="3075"/>
    </row>
    <row r="25" spans="1:3" ht="13.5">
      <c r="A25" s="3078"/>
      <c r="B25" s="3077" t="s">
        <v>1674</v>
      </c>
      <c r="C25" s="1992" t="s">
        <v>1675</v>
      </c>
    </row>
    <row r="26" spans="1:3" ht="13.5">
      <c r="A26" s="3078"/>
      <c r="B26" s="3077"/>
      <c r="C26" s="1992" t="s">
        <v>1676</v>
      </c>
    </row>
    <row r="27" spans="1:3" ht="13.5">
      <c r="A27" s="3078"/>
      <c r="B27" s="3077"/>
      <c r="C27" s="1992" t="s">
        <v>1677</v>
      </c>
    </row>
    <row r="28" spans="1:3" ht="13.5">
      <c r="A28" s="3078"/>
      <c r="B28" s="3077"/>
      <c r="C28" s="1992" t="s">
        <v>1678</v>
      </c>
    </row>
    <row r="29" spans="1:3" ht="13.5">
      <c r="A29" s="3078"/>
      <c r="B29" s="3077"/>
      <c r="C29" s="1992" t="s">
        <v>1679</v>
      </c>
    </row>
    <row r="30" spans="1:3" ht="13.5">
      <c r="A30" s="3078"/>
      <c r="B30" s="3077"/>
      <c r="C30" s="1992" t="s">
        <v>1680</v>
      </c>
    </row>
    <row r="31" spans="1:3" ht="13.5">
      <c r="A31" s="3078"/>
      <c r="B31" s="3077"/>
      <c r="C31" s="1992" t="s">
        <v>1681</v>
      </c>
    </row>
    <row r="32" spans="1:3" ht="13.5">
      <c r="A32" s="3078"/>
      <c r="B32" s="3077"/>
      <c r="C32" s="1992" t="s">
        <v>1682</v>
      </c>
    </row>
    <row r="33" spans="1:3" ht="13.5">
      <c r="A33" s="3078"/>
      <c r="B33" s="3077"/>
      <c r="C33" s="1992" t="s">
        <v>1683</v>
      </c>
    </row>
    <row r="34" spans="1:3">
      <c r="A34" s="1996" t="s">
        <v>76</v>
      </c>
    </row>
    <row r="37" spans="1:3">
      <c r="A37" s="1996" t="s">
        <v>1684</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09"/>
    <col min="3" max="3" width="32.125" style="1009" customWidth="1"/>
    <col min="4" max="5" width="22.625" style="1009"/>
    <col min="6" max="6" width="25.625" style="1009" customWidth="1"/>
    <col min="7" max="16384" width="22.625" style="1009"/>
  </cols>
  <sheetData>
    <row r="2" spans="1:6" ht="24" customHeight="1">
      <c r="A2" s="1011" t="s">
        <v>825</v>
      </c>
      <c r="B2" s="1012">
        <f ca="1">TODAY()</f>
        <v>43916</v>
      </c>
      <c r="C2" s="1013" t="s">
        <v>826</v>
      </c>
      <c r="D2" s="1013"/>
    </row>
    <row r="3" spans="1:6" ht="24" customHeight="1">
      <c r="A3" s="1014" t="s">
        <v>827</v>
      </c>
      <c r="B3" s="1015" t="s">
        <v>828</v>
      </c>
      <c r="C3" s="2337" t="s">
        <v>829</v>
      </c>
      <c r="D3" s="2340" t="s">
        <v>830</v>
      </c>
      <c r="E3" s="1016" t="s">
        <v>831</v>
      </c>
      <c r="F3" s="1015" t="s">
        <v>829</v>
      </c>
    </row>
    <row r="4" spans="1:6" ht="24" customHeight="1">
      <c r="A4" s="1695" t="s">
        <v>832</v>
      </c>
      <c r="B4" s="1016" t="str">
        <f ca="1">IF(C4&lt;B2,"已过期",1119970066)</f>
        <v>已过期</v>
      </c>
      <c r="C4" s="2338">
        <v>43849</v>
      </c>
      <c r="D4" s="2341" t="s">
        <v>832</v>
      </c>
      <c r="E4" s="1016">
        <f ca="1">IF(F4&lt;B2,"已过期",96010014)</f>
        <v>96010014</v>
      </c>
      <c r="F4" s="1024">
        <v>47118</v>
      </c>
    </row>
    <row r="5" spans="1:6" ht="24" customHeight="1">
      <c r="A5" s="1695" t="s">
        <v>833</v>
      </c>
      <c r="B5" s="1016" t="str">
        <f ca="1">IF(C5&lt;B2,"已过期",1119970074)</f>
        <v>已过期</v>
      </c>
      <c r="C5" s="2338">
        <v>43849</v>
      </c>
      <c r="D5" s="2341" t="s">
        <v>833</v>
      </c>
      <c r="E5" s="1016">
        <f ca="1">IF(F5&lt;B2,"已过期",2002110027)</f>
        <v>2002110027</v>
      </c>
      <c r="F5" s="1024">
        <v>46752</v>
      </c>
    </row>
    <row r="6" spans="1:6" ht="24" customHeight="1">
      <c r="A6" s="1695" t="s">
        <v>834</v>
      </c>
      <c r="B6" s="1016" t="str">
        <f ca="1">IF(C6&lt;B2,"已过期",1119970111)</f>
        <v>已过期</v>
      </c>
      <c r="C6" s="2338">
        <v>43849</v>
      </c>
      <c r="D6" s="2341" t="s">
        <v>834</v>
      </c>
      <c r="E6" s="1016">
        <f ca="1">IF(F6&lt;B2,"已过期",94010078)</f>
        <v>94010078</v>
      </c>
      <c r="F6" s="1024">
        <v>46387</v>
      </c>
    </row>
    <row r="7" spans="1:6" ht="24" customHeight="1">
      <c r="A7" s="1695" t="s">
        <v>835</v>
      </c>
      <c r="B7" s="1016">
        <f ca="1">IF(C7&lt;B2,"已过期",1120050019)</f>
        <v>1120050019</v>
      </c>
      <c r="C7" s="2338">
        <v>44395</v>
      </c>
      <c r="D7" s="2341" t="s">
        <v>835</v>
      </c>
      <c r="E7" s="1016">
        <f ca="1">IF(F7&lt;B2,"已过期",2002110030)</f>
        <v>2002110030</v>
      </c>
      <c r="F7" s="1024">
        <v>46387</v>
      </c>
    </row>
    <row r="8" spans="1:6" ht="24" customHeight="1">
      <c r="A8" s="1695" t="s">
        <v>836</v>
      </c>
      <c r="B8" s="1016" t="str">
        <f ca="1">IF(C8&lt;B2,"已过期",1120000080)</f>
        <v>已过期</v>
      </c>
      <c r="C8" s="2338">
        <v>43849</v>
      </c>
      <c r="D8" s="2341" t="s">
        <v>836</v>
      </c>
      <c r="E8" s="1016">
        <f ca="1">IF(F8&lt;B2,"已过期",2000110082)</f>
        <v>2000110082</v>
      </c>
      <c r="F8" s="1024">
        <v>46387</v>
      </c>
    </row>
    <row r="9" spans="1:6" ht="24" customHeight="1">
      <c r="A9" s="1695" t="s">
        <v>837</v>
      </c>
      <c r="B9" s="1016" t="str">
        <f ca="1">IF(C9&lt;B2,"已过期",1419970001)</f>
        <v>已过期</v>
      </c>
      <c r="C9" s="2338">
        <v>43867</v>
      </c>
      <c r="D9" s="2341" t="s">
        <v>837</v>
      </c>
      <c r="E9" s="1016">
        <f ca="1">IF(F9&lt;B2,"已过期",2002110125)</f>
        <v>2002110125</v>
      </c>
      <c r="F9" s="1024">
        <v>47118</v>
      </c>
    </row>
    <row r="10" spans="1:6" ht="24" customHeight="1">
      <c r="A10" s="1695" t="s">
        <v>838</v>
      </c>
      <c r="B10" s="1016">
        <f ca="1">IF(C10&lt;B2,"已过期",1120060040)</f>
        <v>1120060040</v>
      </c>
      <c r="C10" s="2338">
        <v>44554</v>
      </c>
      <c r="D10" s="2341" t="s">
        <v>838</v>
      </c>
      <c r="E10" s="1016">
        <f ca="1">IF(F10&lt;B2,"已过期",2004110096)</f>
        <v>2004110096</v>
      </c>
      <c r="F10" s="1024">
        <v>47118</v>
      </c>
    </row>
    <row r="11" spans="1:6" ht="24" customHeight="1">
      <c r="A11" s="1695" t="s">
        <v>839</v>
      </c>
      <c r="B11" s="1016">
        <f ca="1">IF(C11&lt;B2,"已过期",1120100036)</f>
        <v>1120100036</v>
      </c>
      <c r="C11" s="2338">
        <v>44675</v>
      </c>
      <c r="D11" s="2341" t="s">
        <v>839</v>
      </c>
      <c r="E11" s="1016">
        <f ca="1">IF(F11&lt;B2,"已过期",2010110070)</f>
        <v>2010110070</v>
      </c>
      <c r="F11" s="1024">
        <v>47907</v>
      </c>
    </row>
    <row r="12" spans="1:6" ht="24" customHeight="1">
      <c r="A12" s="1695"/>
      <c r="B12" s="1016"/>
      <c r="C12" s="2918"/>
      <c r="D12" s="1695"/>
      <c r="E12" s="1016"/>
      <c r="F12" s="1024"/>
    </row>
    <row r="13" spans="1:6" ht="24" customHeight="1">
      <c r="A13" s="1695" t="s">
        <v>840</v>
      </c>
      <c r="B13" s="1016" t="str">
        <f ca="1">IF(C13&lt;B2,"已过期",1120070131)</f>
        <v>已过期</v>
      </c>
      <c r="C13" s="2338">
        <v>43814</v>
      </c>
      <c r="D13" s="2341" t="s">
        <v>840</v>
      </c>
      <c r="E13" s="1016">
        <f ca="1">IF(F13&lt;B2,"已过期",2014110011)</f>
        <v>2014110011</v>
      </c>
      <c r="F13" s="1024">
        <v>49302</v>
      </c>
    </row>
    <row r="14" spans="1:6" ht="24" customHeight="1">
      <c r="A14" s="1695" t="s">
        <v>3035</v>
      </c>
      <c r="B14" s="1016" t="str">
        <f ca="1">IF(C14&lt;B2,"已过期",1120040230)</f>
        <v>已过期</v>
      </c>
      <c r="C14" s="2338">
        <v>43835</v>
      </c>
      <c r="D14" s="2341" t="s">
        <v>3035</v>
      </c>
      <c r="E14" s="1016">
        <f ca="1">IF(F14&lt;B2,"已过期",98030020)</f>
        <v>98030020</v>
      </c>
      <c r="F14" s="1024">
        <v>47118</v>
      </c>
    </row>
    <row r="15" spans="1:6" ht="24" customHeight="1">
      <c r="A15" s="1696" t="s">
        <v>3036</v>
      </c>
      <c r="B15" s="1016" t="str">
        <f ca="1">IF(C15&lt;B2,"已过期",1120070085)</f>
        <v>已过期</v>
      </c>
      <c r="C15" s="2338">
        <v>43814</v>
      </c>
      <c r="D15" s="2342" t="s">
        <v>3036</v>
      </c>
      <c r="E15" s="1016">
        <f ca="1">IF(F15&lt;B2,"已过期",2004110128)</f>
        <v>2004110128</v>
      </c>
      <c r="F15" s="1017">
        <v>47118</v>
      </c>
    </row>
    <row r="16" spans="1:6" ht="24" customHeight="1">
      <c r="A16" s="1695" t="s">
        <v>3037</v>
      </c>
      <c r="B16" s="1016">
        <f ca="1">IF(C16&lt;B2,"已过期",1120140022)</f>
        <v>1120140022</v>
      </c>
      <c r="C16" s="2918">
        <v>44029</v>
      </c>
      <c r="D16" s="2341" t="s">
        <v>3037</v>
      </c>
      <c r="E16" s="1016">
        <f ca="1">IF(F16&lt;B2,"已过期",2008110059)</f>
        <v>2008110059</v>
      </c>
      <c r="F16" s="1024">
        <v>47177</v>
      </c>
    </row>
    <row r="17" spans="1:7" ht="24" customHeight="1">
      <c r="A17" s="1695"/>
      <c r="B17" s="1016"/>
      <c r="C17" s="2338"/>
      <c r="D17" s="2341" t="s">
        <v>3038</v>
      </c>
      <c r="E17" s="1016">
        <f ca="1">IF(F17&lt;B2,"已过期",2014110076)</f>
        <v>2014110076</v>
      </c>
      <c r="F17" s="1024">
        <v>49302</v>
      </c>
    </row>
    <row r="18" spans="1:7" ht="24" customHeight="1">
      <c r="A18" s="1695" t="s">
        <v>3046</v>
      </c>
      <c r="B18" s="1016">
        <v>1120190079</v>
      </c>
      <c r="C18" s="2918">
        <v>44826</v>
      </c>
      <c r="D18" s="2341"/>
      <c r="E18" s="1016"/>
      <c r="F18" s="1024"/>
    </row>
    <row r="19" spans="1:7" ht="24" customHeight="1">
      <c r="A19" s="1695"/>
      <c r="B19" s="1016"/>
      <c r="C19" s="2338"/>
      <c r="D19" s="2341"/>
      <c r="E19" s="1016"/>
      <c r="F19" s="1016"/>
    </row>
    <row r="20" spans="1:7" ht="24" customHeight="1">
      <c r="A20" s="1695"/>
      <c r="B20" s="1016"/>
      <c r="C20" s="2338"/>
      <c r="D20" s="2341"/>
      <c r="E20" s="1016"/>
      <c r="F20" s="1016"/>
    </row>
    <row r="21" spans="1:7" ht="24" customHeight="1">
      <c r="A21" s="1695"/>
      <c r="B21" s="1016"/>
      <c r="C21" s="2338"/>
      <c r="D21" s="2341" t="s">
        <v>841</v>
      </c>
      <c r="E21" s="1016">
        <f ca="1">IF(F21&lt;B2,"已过期",2011110090)</f>
        <v>2011110090</v>
      </c>
      <c r="F21" s="1024">
        <v>48302</v>
      </c>
    </row>
    <row r="22" spans="1:7" ht="24" customHeight="1">
      <c r="A22" s="1695" t="s">
        <v>842</v>
      </c>
      <c r="B22" s="1016">
        <f ca="1">IF(C22&lt;B2,"已过期",1120020033)</f>
        <v>1120020033</v>
      </c>
      <c r="C22" s="2918">
        <v>44339</v>
      </c>
      <c r="D22" s="2341" t="s">
        <v>842</v>
      </c>
      <c r="E22" s="1016">
        <f ca="1">IF(F22&lt;B2,"已过期",2000110137)</f>
        <v>2000110137</v>
      </c>
      <c r="F22" s="1024">
        <v>46387</v>
      </c>
    </row>
    <row r="23" spans="1:7" ht="24" customHeight="1">
      <c r="A23" s="1695"/>
      <c r="B23" s="1016"/>
      <c r="C23" s="2338"/>
      <c r="D23" s="2341"/>
      <c r="E23" s="1016"/>
      <c r="F23" s="1016"/>
    </row>
    <row r="24" spans="1:7" s="1018" customFormat="1" ht="24" customHeight="1">
      <c r="A24" s="1696" t="s">
        <v>1329</v>
      </c>
      <c r="B24" s="1696" t="s">
        <v>1329</v>
      </c>
      <c r="C24" s="2339" t="s">
        <v>1329</v>
      </c>
      <c r="D24" s="2342" t="s">
        <v>1329</v>
      </c>
      <c r="E24" s="1696" t="s">
        <v>1329</v>
      </c>
      <c r="F24" s="1696" t="s">
        <v>1329</v>
      </c>
    </row>
    <row r="25" spans="1:7" ht="24" customHeight="1">
      <c r="A25" s="3082" t="s">
        <v>843</v>
      </c>
      <c r="B25" s="3082"/>
      <c r="C25" s="3082"/>
      <c r="D25" s="3082"/>
      <c r="E25" s="3082"/>
      <c r="F25" s="3082"/>
      <c r="G25" s="3082"/>
    </row>
    <row r="26" spans="1:7" s="1019" customFormat="1" ht="24" customHeight="1">
      <c r="A26" s="3083" t="s">
        <v>844</v>
      </c>
      <c r="B26" s="3083"/>
      <c r="C26" s="3084"/>
      <c r="D26" s="3085" t="s">
        <v>845</v>
      </c>
      <c r="E26" s="3083"/>
      <c r="F26" s="3083"/>
    </row>
    <row r="27" spans="1:7" s="1021" customFormat="1" ht="24" customHeight="1">
      <c r="A27" s="1020" t="s">
        <v>846</v>
      </c>
      <c r="B27" s="1015" t="s">
        <v>847</v>
      </c>
      <c r="C27" s="2337" t="s">
        <v>848</v>
      </c>
      <c r="D27" s="2344" t="s">
        <v>846</v>
      </c>
      <c r="E27" s="1015" t="s">
        <v>847</v>
      </c>
      <c r="F27" s="1015" t="s">
        <v>848</v>
      </c>
    </row>
    <row r="28" spans="1:7" s="1021" customFormat="1" ht="24" customHeight="1">
      <c r="A28" s="1022" t="s">
        <v>849</v>
      </c>
      <c r="B28" s="1023" t="s">
        <v>850</v>
      </c>
      <c r="C28" s="1024">
        <v>44820</v>
      </c>
      <c r="D28" s="2345" t="s">
        <v>851</v>
      </c>
      <c r="E28" s="1022" t="s">
        <v>852</v>
      </c>
      <c r="F28" s="1052">
        <v>44377</v>
      </c>
    </row>
    <row r="29" spans="1:7" s="1021" customFormat="1" ht="24" customHeight="1">
      <c r="A29" s="1022"/>
      <c r="B29" s="1022"/>
      <c r="C29" s="2343"/>
      <c r="D29" s="2345" t="s">
        <v>853</v>
      </c>
      <c r="E29" s="1196" t="s">
        <v>3047</v>
      </c>
      <c r="F29" s="1197">
        <v>44012</v>
      </c>
    </row>
    <row r="30" spans="1:7" ht="24" customHeight="1">
      <c r="C30" s="1025"/>
      <c r="D30" s="1025"/>
    </row>
  </sheetData>
  <sheetProtection sheet="1" objects="1" scenarios="1"/>
  <mergeCells count="3">
    <mergeCell ref="A25:G25"/>
    <mergeCell ref="A26:C26"/>
    <mergeCell ref="D26:F26"/>
  </mergeCells>
  <phoneticPr fontId="87" type="noConversion"/>
  <conditionalFormatting sqref="F4">
    <cfRule type="cellIs" dxfId="230" priority="97" stopIfTrue="1" operator="lessThan">
      <formula>$B$2</formula>
    </cfRule>
  </conditionalFormatting>
  <conditionalFormatting sqref="C5">
    <cfRule type="expression" dxfId="229" priority="92">
      <formula>AND($C5-TODAY()&lt;30,TODAY()&lt;$C5)</formula>
    </cfRule>
  </conditionalFormatting>
  <conditionalFormatting sqref="C5 F5">
    <cfRule type="cellIs" dxfId="228" priority="93" stopIfTrue="1" operator="lessThan">
      <formula>$B$2</formula>
    </cfRule>
  </conditionalFormatting>
  <conditionalFormatting sqref="F6 F8 F10">
    <cfRule type="cellIs" dxfId="227" priority="91" stopIfTrue="1" operator="lessThan">
      <formula>$B$2</formula>
    </cfRule>
  </conditionalFormatting>
  <conditionalFormatting sqref="C4:C11 C13 C23 C17 C19:C21">
    <cfRule type="expression" dxfId="226" priority="89">
      <formula>AND($C4-TODAY()&lt;30,TODAY()&lt;$C4)</formula>
    </cfRule>
  </conditionalFormatting>
  <conditionalFormatting sqref="F7 F9 F11 C4:C11 C13 C23 C17 C19:C21">
    <cfRule type="cellIs" dxfId="225" priority="90" stopIfTrue="1" operator="lessThan">
      <formula>$B$2</formula>
    </cfRule>
  </conditionalFormatting>
  <conditionalFormatting sqref="C20">
    <cfRule type="expression" dxfId="224" priority="77">
      <formula>AND($C20-TODAY()&lt;30,TODAY()&lt;$C20)</formula>
    </cfRule>
  </conditionalFormatting>
  <conditionalFormatting sqref="C20">
    <cfRule type="cellIs" dxfId="223" priority="78" stopIfTrue="1" operator="lessThan">
      <formula>$B$2</formula>
    </cfRule>
  </conditionalFormatting>
  <conditionalFormatting sqref="C17">
    <cfRule type="expression" dxfId="222" priority="71">
      <formula>AND($C17-TODAY()&lt;30,TODAY()&lt;$C17)</formula>
    </cfRule>
  </conditionalFormatting>
  <conditionalFormatting sqref="C17">
    <cfRule type="cellIs" dxfId="221" priority="72" stopIfTrue="1" operator="lessThan">
      <formula>$B$2</formula>
    </cfRule>
  </conditionalFormatting>
  <conditionalFormatting sqref="C19">
    <cfRule type="expression" dxfId="220" priority="69">
      <formula>AND($C19-TODAY()&lt;30,TODAY()&lt;$C19)</formula>
    </cfRule>
  </conditionalFormatting>
  <conditionalFormatting sqref="C19">
    <cfRule type="cellIs" dxfId="219" priority="70" stopIfTrue="1" operator="lessThan">
      <formula>$B$2</formula>
    </cfRule>
  </conditionalFormatting>
  <conditionalFormatting sqref="C21">
    <cfRule type="expression" dxfId="218" priority="67">
      <formula>AND($C21-TODAY()&lt;30,TODAY()&lt;$C21)</formula>
    </cfRule>
  </conditionalFormatting>
  <conditionalFormatting sqref="C21">
    <cfRule type="cellIs" dxfId="217" priority="68" stopIfTrue="1" operator="lessThan">
      <formula>$B$2</formula>
    </cfRule>
  </conditionalFormatting>
  <conditionalFormatting sqref="C23">
    <cfRule type="expression" dxfId="216" priority="65">
      <formula>AND($C23-TODAY()&lt;30,TODAY()&lt;$C23)</formula>
    </cfRule>
  </conditionalFormatting>
  <conditionalFormatting sqref="C23">
    <cfRule type="cellIs" dxfId="215" priority="66" stopIfTrue="1" operator="lessThan">
      <formula>$B$2</formula>
    </cfRule>
  </conditionalFormatting>
  <conditionalFormatting sqref="F18">
    <cfRule type="cellIs" dxfId="214" priority="62" stopIfTrue="1" operator="lessThan">
      <formula>$B$2</formula>
    </cfRule>
  </conditionalFormatting>
  <conditionalFormatting sqref="F22">
    <cfRule type="cellIs" dxfId="213" priority="61" stopIfTrue="1" operator="lessThan">
      <formula>$B$2</formula>
    </cfRule>
  </conditionalFormatting>
  <conditionalFormatting sqref="F21">
    <cfRule type="cellIs" dxfId="212" priority="60" stopIfTrue="1" operator="lessThan">
      <formula>$B$2</formula>
    </cfRule>
  </conditionalFormatting>
  <conditionalFormatting sqref="B4:B11 E4:E11 B17 E18:E23 B13 E13 B19:B23">
    <cfRule type="cellIs" dxfId="211" priority="58" stopIfTrue="1" operator="equal">
      <formula>"已过期"</formula>
    </cfRule>
  </conditionalFormatting>
  <conditionalFormatting sqref="A24:F24">
    <cfRule type="cellIs" dxfId="210" priority="54" stopIfTrue="1" operator="equal">
      <formula>"已过期"</formula>
    </cfRule>
  </conditionalFormatting>
  <conditionalFormatting sqref="F28">
    <cfRule type="expression" dxfId="209" priority="52">
      <formula>AND($E28-TODAY()&lt;30,TODAY()&lt;$E28)</formula>
    </cfRule>
  </conditionalFormatting>
  <conditionalFormatting sqref="F28">
    <cfRule type="cellIs" dxfId="208" priority="53" stopIfTrue="1" operator="lessThan">
      <formula>$B$2</formula>
    </cfRule>
  </conditionalFormatting>
  <conditionalFormatting sqref="F29">
    <cfRule type="expression" dxfId="207" priority="48" stopIfTrue="1">
      <formula>AND($E29-TODAY()&lt;30,TODAY()&lt;$E29)</formula>
    </cfRule>
  </conditionalFormatting>
  <conditionalFormatting sqref="F29">
    <cfRule type="cellIs" dxfId="206" priority="49" stopIfTrue="1" operator="lessThan">
      <formula>$B$2</formula>
    </cfRule>
  </conditionalFormatting>
  <conditionalFormatting sqref="F13">
    <cfRule type="cellIs" dxfId="205" priority="41" stopIfTrue="1" operator="lessThan">
      <formula>$B$2</formula>
    </cfRule>
  </conditionalFormatting>
  <conditionalFormatting sqref="C12">
    <cfRule type="expression" dxfId="204" priority="39">
      <formula>AND($C12-TODAY()&lt;30,TODAY()&lt;$C12)</formula>
    </cfRule>
  </conditionalFormatting>
  <conditionalFormatting sqref="C12">
    <cfRule type="cellIs" dxfId="203" priority="40" stopIfTrue="1" operator="lessThan">
      <formula>$B$2</formula>
    </cfRule>
  </conditionalFormatting>
  <conditionalFormatting sqref="C12">
    <cfRule type="expression" dxfId="202" priority="37">
      <formula>AND($C12-TODAY()&lt;30,TODAY()&lt;$C12)</formula>
    </cfRule>
  </conditionalFormatting>
  <conditionalFormatting sqref="C12">
    <cfRule type="cellIs" dxfId="201" priority="38" stopIfTrue="1" operator="lessThan">
      <formula>$B$2</formula>
    </cfRule>
  </conditionalFormatting>
  <conditionalFormatting sqref="B12">
    <cfRule type="cellIs" dxfId="200" priority="36" stopIfTrue="1" operator="equal">
      <formula>"已过期"</formula>
    </cfRule>
  </conditionalFormatting>
  <conditionalFormatting sqref="E12">
    <cfRule type="cellIs" dxfId="199" priority="35" stopIfTrue="1" operator="equal">
      <formula>"已过期"</formula>
    </cfRule>
  </conditionalFormatting>
  <conditionalFormatting sqref="F12">
    <cfRule type="cellIs" dxfId="198" priority="34" stopIfTrue="1" operator="lessThan">
      <formula>$B$2</formula>
    </cfRule>
  </conditionalFormatting>
  <conditionalFormatting sqref="C22">
    <cfRule type="expression" dxfId="197" priority="32">
      <formula>AND($C22-TODAY()&lt;30,TODAY()&lt;$C22)</formula>
    </cfRule>
  </conditionalFormatting>
  <conditionalFormatting sqref="C22">
    <cfRule type="cellIs" dxfId="196" priority="33" stopIfTrue="1" operator="lessThan">
      <formula>$B$2</formula>
    </cfRule>
  </conditionalFormatting>
  <conditionalFormatting sqref="C22">
    <cfRule type="expression" dxfId="195" priority="30">
      <formula>AND($C22-TODAY()&lt;30,TODAY()&lt;$C22)</formula>
    </cfRule>
  </conditionalFormatting>
  <conditionalFormatting sqref="C22">
    <cfRule type="cellIs" dxfId="194" priority="31" stopIfTrue="1" operator="lessThan">
      <formula>$B$2</formula>
    </cfRule>
  </conditionalFormatting>
  <conditionalFormatting sqref="C16">
    <cfRule type="expression" dxfId="193" priority="28">
      <formula>AND($C16-TODAY()&lt;30,TODAY()&lt;$C16)</formula>
    </cfRule>
  </conditionalFormatting>
  <conditionalFormatting sqref="C16">
    <cfRule type="cellIs" dxfId="192" priority="29" stopIfTrue="1" operator="lessThan">
      <formula>$B$2</formula>
    </cfRule>
  </conditionalFormatting>
  <conditionalFormatting sqref="C16">
    <cfRule type="expression" dxfId="191" priority="26">
      <formula>AND($C16-TODAY()&lt;30,TODAY()&lt;$C16)</formula>
    </cfRule>
  </conditionalFormatting>
  <conditionalFormatting sqref="C16">
    <cfRule type="cellIs" dxfId="190" priority="27" stopIfTrue="1" operator="lessThan">
      <formula>$B$2</formula>
    </cfRule>
  </conditionalFormatting>
  <conditionalFormatting sqref="B16">
    <cfRule type="cellIs" dxfId="189" priority="25" stopIfTrue="1" operator="equal">
      <formula>"已过期"</formula>
    </cfRule>
  </conditionalFormatting>
  <conditionalFormatting sqref="C14:C15">
    <cfRule type="expression" dxfId="188" priority="23">
      <formula>AND($C14-TODAY()&lt;30,TODAY()&lt;$C14)</formula>
    </cfRule>
  </conditionalFormatting>
  <conditionalFormatting sqref="C14:C15">
    <cfRule type="cellIs" dxfId="187" priority="24" stopIfTrue="1" operator="lessThan">
      <formula>$B$2</formula>
    </cfRule>
  </conditionalFormatting>
  <conditionalFormatting sqref="C14">
    <cfRule type="expression" dxfId="186" priority="21">
      <formula>AND($C14-TODAY()&lt;30,TODAY()&lt;$C14)</formula>
    </cfRule>
  </conditionalFormatting>
  <conditionalFormatting sqref="C14">
    <cfRule type="cellIs" dxfId="185" priority="22" stopIfTrue="1" operator="lessThan">
      <formula>$B$2</formula>
    </cfRule>
  </conditionalFormatting>
  <conditionalFormatting sqref="C15">
    <cfRule type="expression" dxfId="184" priority="19">
      <formula>AND($C15-TODAY()&lt;30,TODAY()&lt;$C15)</formula>
    </cfRule>
  </conditionalFormatting>
  <conditionalFormatting sqref="C15">
    <cfRule type="cellIs" dxfId="183" priority="20" stopIfTrue="1" operator="lessThan">
      <formula>$B$2</formula>
    </cfRule>
  </conditionalFormatting>
  <conditionalFormatting sqref="B14">
    <cfRule type="cellIs" dxfId="182" priority="18" stopIfTrue="1" operator="equal">
      <formula>"已过期"</formula>
    </cfRule>
  </conditionalFormatting>
  <conditionalFormatting sqref="B15">
    <cfRule type="cellIs" dxfId="181" priority="17" stopIfTrue="1" operator="equal">
      <formula>"已过期"</formula>
    </cfRule>
  </conditionalFormatting>
  <conditionalFormatting sqref="A15">
    <cfRule type="cellIs" dxfId="180" priority="16" stopIfTrue="1" operator="equal">
      <formula>"已过期"</formula>
    </cfRule>
  </conditionalFormatting>
  <conditionalFormatting sqref="C15">
    <cfRule type="expression" dxfId="179" priority="15">
      <formula>AND($C15-TODAY()&lt;30,TODAY()&lt;$C15)</formula>
    </cfRule>
  </conditionalFormatting>
  <conditionalFormatting sqref="F16">
    <cfRule type="cellIs" dxfId="178" priority="14" stopIfTrue="1" operator="lessThan">
      <formula>$B$2</formula>
    </cfRule>
  </conditionalFormatting>
  <conditionalFormatting sqref="E16 E14">
    <cfRule type="cellIs" dxfId="177" priority="13" stopIfTrue="1" operator="equal">
      <formula>"已过期"</formula>
    </cfRule>
  </conditionalFormatting>
  <conditionalFormatting sqref="E15">
    <cfRule type="cellIs" dxfId="176" priority="12" stopIfTrue="1" operator="equal">
      <formula>"已过期"</formula>
    </cfRule>
  </conditionalFormatting>
  <conditionalFormatting sqref="D15">
    <cfRule type="cellIs" dxfId="175" priority="11" stopIfTrue="1" operator="equal">
      <formula>"已过期"</formula>
    </cfRule>
  </conditionalFormatting>
  <conditionalFormatting sqref="F17">
    <cfRule type="cellIs" dxfId="174" priority="10" stopIfTrue="1" operator="lessThan">
      <formula>$B$2</formula>
    </cfRule>
  </conditionalFormatting>
  <conditionalFormatting sqref="E17">
    <cfRule type="cellIs" dxfId="173" priority="9" stopIfTrue="1" operator="equal">
      <formula>"已过期"</formula>
    </cfRule>
  </conditionalFormatting>
  <conditionalFormatting sqref="F14">
    <cfRule type="cellIs" dxfId="172" priority="8" stopIfTrue="1" operator="lessThan">
      <formula>$B$2</formula>
    </cfRule>
  </conditionalFormatting>
  <conditionalFormatting sqref="C18">
    <cfRule type="expression" dxfId="171" priority="6">
      <formula>AND($C18-TODAY()&lt;30,TODAY()&lt;$C18)</formula>
    </cfRule>
  </conditionalFormatting>
  <conditionalFormatting sqref="C18">
    <cfRule type="cellIs" dxfId="170" priority="7" stopIfTrue="1" operator="lessThan">
      <formula>$B$2</formula>
    </cfRule>
  </conditionalFormatting>
  <conditionalFormatting sqref="C18">
    <cfRule type="expression" dxfId="169" priority="4">
      <formula>AND($C18-TODAY()&lt;30,TODAY()&lt;$C18)</formula>
    </cfRule>
  </conditionalFormatting>
  <conditionalFormatting sqref="C18">
    <cfRule type="cellIs" dxfId="168" priority="5" stopIfTrue="1" operator="lessThan">
      <formula>$B$2</formula>
    </cfRule>
  </conditionalFormatting>
  <conditionalFormatting sqref="B18">
    <cfRule type="cellIs" dxfId="167" priority="3" stopIfTrue="1" operator="equal">
      <formula>"已过期"</formula>
    </cfRule>
  </conditionalFormatting>
  <conditionalFormatting sqref="C28">
    <cfRule type="expression" dxfId="166" priority="1">
      <formula>AND($C28-TODAY()&lt;30,TODAY()&lt;$C28)</formula>
    </cfRule>
  </conditionalFormatting>
  <conditionalFormatting sqref="C28">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抵押物汇总</vt:lpstr>
      <vt:lpstr>综合指标表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案例位置</vt:lpstr>
      <vt:lpstr>假设开发法</vt:lpstr>
      <vt:lpstr>比较法-住宅（联排）</vt:lpstr>
      <vt:lpstr>比较法-住宅（高层）</vt:lpstr>
      <vt:lpstr>收益法（商业）</vt:lpstr>
      <vt:lpstr>收益法（地下车库）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'比较法-住宅（联排）'!住宅朝向</vt:lpstr>
      <vt:lpstr>住宅朝向</vt:lpstr>
      <vt:lpstr>'比较法-住宅（联排）'!住宅房型</vt:lpstr>
      <vt:lpstr>住宅房型</vt:lpstr>
      <vt:lpstr>'比较法-住宅（联排）'!住宅公共部分装修</vt:lpstr>
      <vt:lpstr>住宅公共部分装修</vt:lpstr>
      <vt:lpstr>'比较法-住宅（联排）'!住宅基础设施水平</vt:lpstr>
      <vt:lpstr>住宅基础设施水平</vt:lpstr>
      <vt:lpstr>'比较法-住宅（联排）'!住宅建筑结构</vt:lpstr>
      <vt:lpstr>住宅建筑结构</vt:lpstr>
      <vt:lpstr>'比较法-住宅（联排）'!住宅建筑类型</vt:lpstr>
      <vt:lpstr>住宅建筑类型</vt:lpstr>
      <vt:lpstr>'比较法-住宅（联排）'!住宅建筑品质</vt:lpstr>
      <vt:lpstr>住宅建筑品质</vt:lpstr>
      <vt:lpstr>'比较法-住宅（联排）'!住宅交易情况</vt:lpstr>
      <vt:lpstr>住宅交易情况</vt:lpstr>
      <vt:lpstr>'比较法-住宅（联排）'!住宅楼层</vt:lpstr>
      <vt:lpstr>住宅楼层</vt:lpstr>
      <vt:lpstr>'比较法-住宅（联排）'!住宅内部装修</vt:lpstr>
      <vt:lpstr>住宅内部装修</vt:lpstr>
      <vt:lpstr>'比较法-住宅（联排）'!住宅物业管理</vt:lpstr>
      <vt:lpstr>住宅物业管理</vt:lpstr>
      <vt:lpstr>'比较法-住宅（联排）'!住宅用途</vt:lpstr>
      <vt:lpstr>住宅用途</vt:lpstr>
      <vt:lpstr>'比较法-住宅（联排）'!住宅主力户型面积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2020-03-26T06:14:12Z</dcterms:modified>
</cp:coreProperties>
</file>