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净值1" sheetId="78" r:id="rId20"/>
    <sheet name="净值2" sheetId="79" r:id="rId21"/>
    <sheet name="成本法" sheetId="68" r:id="rId22"/>
    <sheet name="成本法 (元)" sheetId="69" state="hidden" r:id="rId23"/>
    <sheet name="假设开发法" sheetId="12" state="hidden" r:id="rId24"/>
    <sheet name="土地比较法-住宅、综合" sheetId="39" state="hidden" r:id="rId25"/>
    <sheet name="土地比较法-工业" sheetId="40" state="hidden" r:id="rId26"/>
    <sheet name="基准地价修正" sheetId="43" r:id="rId27"/>
    <sheet name="收益法"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修正" sheetId="45" state="hidden" r:id="rId38"/>
    <sheet name="容积率修正" sheetId="46"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6">基准地价修正!$A$1:$J$41,基准地价修正!$A$45:$H$88,基准地价修正!$R$1:$V$16</definedName>
    <definedName name="_xlnm.Print_Area" localSheetId="23">假设开发法!$A$1:$K$32</definedName>
    <definedName name="_xlnm.Print_Area" localSheetId="18">结果表!$A$1:$I$127</definedName>
    <definedName name="_xlnm.Print_Area" localSheetId="19">净值1!$A$1:$I$127</definedName>
    <definedName name="_xlnm.Print_Area" localSheetId="20">净值2!$A$1:$I$127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C15" i="74"/>
  <c r="N6" i="1" l="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AA5" i="71"/>
  <c r="Q5" i="71"/>
  <c r="AB5" i="71" s="1"/>
  <c r="P5" i="71"/>
  <c r="O5" i="71"/>
  <c r="Y5" i="71" s="1"/>
  <c r="Z5" i="71" s="1"/>
  <c r="N5" i="71"/>
  <c r="X5" i="71" s="1"/>
  <c r="F5" i="71"/>
  <c r="E5" i="71"/>
  <c r="B5" i="71"/>
  <c r="C5" i="71" l="1"/>
  <c r="D5" i="71" s="1"/>
  <c r="A3" i="3" l="1"/>
  <c r="C88" i="79" l="1"/>
  <c r="A120" i="79"/>
  <c r="A118" i="79"/>
  <c r="E111" i="79"/>
  <c r="A126" i="79" s="1"/>
  <c r="H109" i="79"/>
  <c r="D124" i="79" s="1"/>
  <c r="D125" i="79" s="1"/>
  <c r="E109" i="79"/>
  <c r="A124" i="79" s="1"/>
  <c r="E107" i="79"/>
  <c r="A122" i="79" s="1"/>
  <c r="H106" i="79"/>
  <c r="H105" i="79"/>
  <c r="H104" i="79"/>
  <c r="H103" i="79"/>
  <c r="D120" i="79" s="1"/>
  <c r="D101" i="79"/>
  <c r="C101" i="79"/>
  <c r="D93" i="79"/>
  <c r="E90" i="79"/>
  <c r="D89" i="79"/>
  <c r="C89" i="79"/>
  <c r="D78" i="79"/>
  <c r="H77" i="79"/>
  <c r="D77" i="79"/>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F33" i="79"/>
  <c r="D27" i="79"/>
  <c r="C25" i="79"/>
  <c r="C24" i="79"/>
  <c r="M18" i="79"/>
  <c r="B118" i="79" s="1"/>
  <c r="L18" i="79"/>
  <c r="D17" i="79"/>
  <c r="C17" i="79"/>
  <c r="C18" i="79" s="1"/>
  <c r="D18" i="79" s="1"/>
  <c r="L4" i="79"/>
  <c r="K4" i="79"/>
  <c r="A2" i="79"/>
  <c r="H1" i="79"/>
  <c r="C88" i="78"/>
  <c r="C87" i="78" s="1"/>
  <c r="A120" i="78"/>
  <c r="A118" i="78"/>
  <c r="E111" i="78"/>
  <c r="A126" i="78" s="1"/>
  <c r="E109" i="78"/>
  <c r="H109" i="78" s="1"/>
  <c r="E107" i="78"/>
  <c r="A122" i="78" s="1"/>
  <c r="H106" i="78"/>
  <c r="H103" i="78" s="1"/>
  <c r="D120" i="78" s="1"/>
  <c r="H105" i="78"/>
  <c r="H104" i="78"/>
  <c r="D101" i="78"/>
  <c r="C101" i="78"/>
  <c r="D93" i="78"/>
  <c r="E90" i="78"/>
  <c r="D89" i="78"/>
  <c r="C89" i="78"/>
  <c r="D78" i="78"/>
  <c r="H77" i="78"/>
  <c r="D77" i="78"/>
  <c r="C76" i="78"/>
  <c r="D68" i="78"/>
  <c r="F59" i="78"/>
  <c r="E59" i="78"/>
  <c r="D59" i="78"/>
  <c r="N56" i="78"/>
  <c r="M56" i="78"/>
  <c r="K56" i="78"/>
  <c r="J56" i="78"/>
  <c r="J57" i="78" s="1"/>
  <c r="J59" i="78" s="1"/>
  <c r="J61" i="78" s="1"/>
  <c r="F56" i="78"/>
  <c r="O55" i="78"/>
  <c r="N55" i="78"/>
  <c r="M55" i="78"/>
  <c r="K55" i="78"/>
  <c r="J55" i="78"/>
  <c r="I55" i="78"/>
  <c r="F55" i="78" s="1"/>
  <c r="O53" i="78" s="1"/>
  <c r="O54" i="78"/>
  <c r="N54" i="78"/>
  <c r="F54" i="78"/>
  <c r="N53" i="78"/>
  <c r="F53" i="78"/>
  <c r="F52" i="78"/>
  <c r="K49" i="78"/>
  <c r="F48" i="78"/>
  <c r="O52" i="78" s="1"/>
  <c r="E48" i="78"/>
  <c r="N52" i="78" s="1"/>
  <c r="F33" i="78"/>
  <c r="D27" i="78"/>
  <c r="C25" i="78"/>
  <c r="C24" i="78"/>
  <c r="M18" i="78"/>
  <c r="B118" i="78" s="1"/>
  <c r="L18" i="78"/>
  <c r="D17" i="78"/>
  <c r="C17" i="78"/>
  <c r="C18" i="78" s="1"/>
  <c r="D18" i="78" s="1"/>
  <c r="L4" i="78"/>
  <c r="K4" i="78"/>
  <c r="A2" i="78"/>
  <c r="H1" i="78"/>
  <c r="E29" i="77"/>
  <c r="F29" i="77"/>
  <c r="F28" i="77"/>
  <c r="F27" i="77"/>
  <c r="D28" i="77"/>
  <c r="D27" i="77"/>
  <c r="K120" i="79" l="1"/>
  <c r="D121" i="79"/>
  <c r="C87" i="79"/>
  <c r="H110" i="79"/>
  <c r="K120" i="78"/>
  <c r="D121" i="78"/>
  <c r="D124" i="78"/>
  <c r="D125" i="78" s="1"/>
  <c r="H110" i="78"/>
  <c r="A124" i="78"/>
  <c r="H16" i="74"/>
  <c r="H15" i="74"/>
  <c r="D16" i="74" l="1"/>
  <c r="G16" i="74" l="1"/>
  <c r="A32" i="74" l="1"/>
  <c r="B16" i="74" l="1"/>
  <c r="B15" i="74"/>
  <c r="AH7" i="71" l="1"/>
  <c r="AH8" i="71"/>
  <c r="AH9" i="71"/>
  <c r="AG7" i="71"/>
  <c r="AG8" i="71"/>
  <c r="AG9" i="71"/>
  <c r="AF7" i="71"/>
  <c r="AF9" i="71"/>
  <c r="AE7" i="71"/>
  <c r="AE8" i="71"/>
  <c r="AF8" i="71" s="1"/>
  <c r="AE9" i="71"/>
  <c r="AD7" i="71"/>
  <c r="AD8" i="71"/>
  <c r="AD9" i="71"/>
  <c r="Q9" i="71"/>
  <c r="P9" i="71"/>
  <c r="O9" i="71"/>
  <c r="N9" i="71"/>
  <c r="Q8" i="71"/>
  <c r="P8" i="71"/>
  <c r="O8" i="71"/>
  <c r="N8" i="71"/>
  <c r="Q7" i="71"/>
  <c r="P7" i="71"/>
  <c r="O7" i="71"/>
  <c r="N7" i="71"/>
  <c r="L4" i="77" l="1"/>
  <c r="L5" i="77" s="1"/>
  <c r="G82" i="43"/>
  <c r="G83" i="43"/>
  <c r="G84" i="43"/>
  <c r="G85" i="43"/>
  <c r="G86" i="43"/>
  <c r="G87" i="43"/>
  <c r="G88" i="43"/>
  <c r="G81" i="43"/>
  <c r="Y6" i="1"/>
  <c r="B59" i="1"/>
  <c r="B21" i="1"/>
  <c r="I16" i="3"/>
  <c r="I15" i="3"/>
  <c r="C16" i="3"/>
  <c r="C15" i="3"/>
  <c r="C14" i="3"/>
  <c r="I14" i="3"/>
  <c r="I13" i="3"/>
  <c r="G23" i="77"/>
  <c r="F23" i="77"/>
  <c r="E23" i="77"/>
  <c r="AH10" i="71" l="1"/>
  <c r="AG10" i="71"/>
  <c r="AE10" i="71"/>
  <c r="AF10" i="71" s="1"/>
  <c r="AD10" i="71"/>
  <c r="Q10" i="71"/>
  <c r="P10" i="71"/>
  <c r="O10" i="71"/>
  <c r="N10" i="71"/>
  <c r="X8" i="71" l="1"/>
  <c r="X7" i="71"/>
  <c r="X9" i="71"/>
  <c r="Y8" i="71"/>
  <c r="Z8" i="71" s="1"/>
  <c r="Y7" i="71"/>
  <c r="Z7" i="71" s="1"/>
  <c r="Y9" i="71"/>
  <c r="Z9" i="71" s="1"/>
  <c r="AB8" i="71"/>
  <c r="AB7" i="71"/>
  <c r="AB9" i="71"/>
  <c r="AA7" i="71"/>
  <c r="AA9" i="71"/>
  <c r="AA8"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8"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K84" i="43"/>
  <c r="J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I17" i="43"/>
  <c r="F35"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AZ13" i="3" s="1"/>
  <c r="E65" i="39"/>
  <c r="G30" i="6"/>
  <c r="G31" i="6" s="1"/>
  <c r="J56" i="9"/>
  <c r="J57" i="9" s="1"/>
  <c r="J59" i="9" s="1"/>
  <c r="J61" i="9" s="1"/>
  <c r="A24" i="51"/>
  <c r="B18" i="72" s="1"/>
  <c r="U29" i="34"/>
  <c r="E14" i="6"/>
  <c r="E64" i="39" s="1"/>
  <c r="E5" i="6"/>
  <c r="D9" i="11" s="1"/>
  <c r="C9" i="11" s="1"/>
  <c r="E32" i="6"/>
  <c r="L19" i="6"/>
  <c r="G1" i="68"/>
  <c r="K1" i="12"/>
  <c r="F30" i="6"/>
  <c r="E28" i="6"/>
  <c r="E30" i="6" s="1"/>
  <c r="E57" i="40"/>
  <c r="E56" i="40"/>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0"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2" i="39"/>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E63" i="39"/>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AD3" i="71"/>
  <c r="J1" i="73"/>
  <c r="C13" i="12"/>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D68" i="39"/>
  <c r="D70" i="39" s="1"/>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V17" i="71"/>
  <c r="C17" i="71"/>
  <c r="D18" i="71"/>
  <c r="D15" i="71"/>
  <c r="T17" i="71"/>
  <c r="D16" i="71"/>
  <c r="D17" i="71"/>
  <c r="U17" i="71"/>
  <c r="E8" i="76"/>
  <c r="D6" i="73"/>
  <c r="E10" i="76"/>
  <c r="M6" i="15"/>
  <c r="F3" i="73"/>
  <c r="E9" i="76"/>
  <c r="D5" i="73"/>
  <c r="M29" i="67"/>
  <c r="D2" i="36"/>
  <c r="F9" i="67"/>
  <c r="F16" i="67"/>
  <c r="L47" i="15"/>
  <c r="AO10" i="1"/>
  <c r="AO8" i="1"/>
  <c r="L48" i="15"/>
  <c r="F26" i="67"/>
  <c r="D2" i="35"/>
  <c r="F13" i="67"/>
  <c r="F8" i="15"/>
  <c r="F5" i="73"/>
  <c r="D2" i="37"/>
  <c r="B10" i="76"/>
  <c r="D3" i="73"/>
  <c r="D7" i="73"/>
  <c r="B11" i="76"/>
  <c r="AO13" i="1"/>
  <c r="F13" i="15"/>
  <c r="F38" i="15"/>
  <c r="M23" i="15"/>
  <c r="M9" i="15"/>
  <c r="M22" i="67"/>
  <c r="F37" i="67"/>
  <c r="B9" i="76"/>
  <c r="F42" i="15"/>
  <c r="M9" i="67"/>
  <c r="M26" i="15"/>
  <c r="L48" i="67"/>
  <c r="F40" i="67"/>
  <c r="D4" i="73"/>
  <c r="M8" i="15"/>
  <c r="D2" i="34"/>
  <c r="M22" i="15"/>
  <c r="F41" i="67"/>
  <c r="B7" i="76"/>
  <c r="B13" i="76"/>
  <c r="M27" i="15"/>
  <c r="M27" i="67"/>
  <c r="F38" i="67"/>
  <c r="F6" i="15"/>
  <c r="M23" i="67"/>
  <c r="E2" i="68"/>
  <c r="M28" i="15"/>
  <c r="AO11" i="1"/>
  <c r="E12" i="76"/>
  <c r="D2" i="33"/>
  <c r="B8" i="76"/>
  <c r="E13" i="76"/>
  <c r="M6" i="67"/>
  <c r="F9" i="15"/>
  <c r="F8" i="67"/>
  <c r="F26" i="15"/>
  <c r="M26" i="67"/>
  <c r="F6" i="73"/>
  <c r="F7" i="73"/>
  <c r="E2" i="69"/>
  <c r="F35" i="67"/>
  <c r="M8" i="67"/>
  <c r="F7" i="67"/>
  <c r="F43" i="67"/>
  <c r="F42" i="67"/>
  <c r="M21" i="67"/>
  <c r="AO12" i="1"/>
  <c r="J15" i="15"/>
  <c r="AO9" i="1"/>
  <c r="D2" i="21"/>
  <c r="F4" i="73"/>
  <c r="AO7" i="1"/>
  <c r="J15" i="67"/>
  <c r="F20" i="31"/>
  <c r="F36" i="67"/>
  <c r="F37" i="15"/>
  <c r="C76" i="67"/>
  <c r="M24" i="67"/>
  <c r="M28" i="67"/>
  <c r="E11" i="76"/>
  <c r="F6" i="67"/>
  <c r="L47" i="67"/>
  <c r="M24" i="15"/>
  <c r="F16" i="15"/>
  <c r="F36" i="15"/>
  <c r="F40" i="15"/>
  <c r="E7" i="76"/>
  <c r="B12" i="76"/>
  <c r="C76" i="15"/>
  <c r="M47" i="79" l="1"/>
  <c r="M47" i="78"/>
  <c r="C77" i="9"/>
  <c r="C74" i="9" s="1"/>
  <c r="C77" i="78"/>
  <c r="C74" i="78" s="1"/>
  <c r="C77" i="79"/>
  <c r="C74" i="79" s="1"/>
  <c r="E19" i="6"/>
  <c r="K6" i="1" s="1"/>
  <c r="E9" i="71"/>
  <c r="E68" i="39"/>
  <c r="F68" i="39" s="1"/>
  <c r="J51" i="15"/>
  <c r="C5" i="11"/>
  <c r="J82" i="43"/>
  <c r="J83" i="43"/>
  <c r="J87" i="43"/>
  <c r="D81" i="43"/>
  <c r="E81" i="43" s="1"/>
  <c r="B79" i="43" s="1"/>
  <c r="C24" i="43" s="1"/>
  <c r="E11" i="43"/>
  <c r="E9" i="43"/>
  <c r="E10" i="43"/>
  <c r="E8" i="43"/>
  <c r="H50" i="43"/>
  <c r="D17" i="43"/>
  <c r="H113" i="43"/>
  <c r="H83" i="43"/>
  <c r="H86" i="43"/>
  <c r="H87" i="43"/>
  <c r="H85" i="43"/>
  <c r="H84" i="43"/>
  <c r="H82" i="43"/>
  <c r="H81" i="43"/>
  <c r="H88" i="43"/>
  <c r="G17" i="43"/>
  <c r="C16" i="43" s="1"/>
  <c r="P61" i="15"/>
  <c r="D68" i="9"/>
  <c r="F28" i="15"/>
  <c r="C28" i="15" s="1"/>
  <c r="F31" i="12"/>
  <c r="C31" i="12" s="1"/>
  <c r="M18" i="67"/>
  <c r="F30" i="68"/>
  <c r="C24" i="12"/>
  <c r="F54" i="9"/>
  <c r="M18" i="15"/>
  <c r="F32" i="15"/>
  <c r="F60" i="15" s="1"/>
  <c r="F30" i="69"/>
  <c r="F32" i="67"/>
  <c r="F60" i="67" s="1"/>
  <c r="F52" i="9"/>
  <c r="F28" i="67"/>
  <c r="C28" i="67" s="1"/>
  <c r="F30" i="11"/>
  <c r="F53" i="9"/>
  <c r="C21" i="69"/>
  <c r="C36" i="69"/>
  <c r="T7" i="1"/>
  <c r="Q16" i="1"/>
  <c r="F27" i="69" s="1"/>
  <c r="F45" i="69" s="1"/>
  <c r="D19" i="12"/>
  <c r="C19" i="12" s="1"/>
  <c r="BL5" i="3"/>
  <c r="E59" i="40"/>
  <c r="G5" i="3"/>
  <c r="B3" i="3" s="1"/>
  <c r="E281" i="3" s="1"/>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122" i="3"/>
  <c r="E148" i="3"/>
  <c r="E136" i="3"/>
  <c r="E296" i="3"/>
  <c r="F27" i="6"/>
  <c r="E56" i="39"/>
  <c r="E51" i="40"/>
  <c r="E53" i="3"/>
  <c r="E319" i="3"/>
  <c r="E501" i="3"/>
  <c r="E153" i="3"/>
  <c r="E426" i="3"/>
  <c r="E328" i="3"/>
  <c r="O6" i="3"/>
  <c r="E574" i="3"/>
  <c r="E359" i="3"/>
  <c r="E285" i="3"/>
  <c r="E143" i="3"/>
  <c r="E97" i="3"/>
  <c r="E397" i="3"/>
  <c r="E314" i="3"/>
  <c r="E568" i="3"/>
  <c r="E511" i="3"/>
  <c r="I6" i="3"/>
  <c r="E16" i="3"/>
  <c r="E536" i="3"/>
  <c r="AK6" i="3"/>
  <c r="E549" i="3"/>
  <c r="E434" i="3"/>
  <c r="E453" i="3"/>
  <c r="E30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16" i="6"/>
  <c r="E66" i="39"/>
  <c r="AZ18" i="3"/>
  <c r="BA5" i="3"/>
  <c r="O14" i="1"/>
  <c r="P14" i="1" s="1"/>
  <c r="O7" i="1"/>
  <c r="P7" i="1" s="1"/>
  <c r="AZ5" i="3"/>
  <c r="AY6" i="3" s="1"/>
  <c r="C34" i="69"/>
  <c r="C35" i="69" s="1"/>
  <c r="AR7" i="1"/>
  <c r="H16" i="1"/>
  <c r="F31" i="6"/>
  <c r="K16" i="1"/>
  <c r="C36" i="11"/>
  <c r="P11" i="1"/>
  <c r="O12" i="1"/>
  <c r="P12" i="1" s="1"/>
  <c r="O8" i="1"/>
  <c r="P8" i="1" s="1"/>
  <c r="P6"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D17" i="53"/>
  <c r="B36" i="72" s="1"/>
  <c r="E70" i="39"/>
  <c r="F70" i="39"/>
  <c r="G68" i="39"/>
  <c r="G16" i="1"/>
  <c r="F10" i="39" s="1"/>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X13" i="71"/>
  <c r="AB13" i="71"/>
  <c r="Z12" i="71"/>
  <c r="Y3" i="71"/>
  <c r="Z3" i="71" s="1"/>
  <c r="D13" i="71"/>
  <c r="F13" i="71"/>
  <c r="F12" i="71" s="1"/>
  <c r="F11" i="71" s="1"/>
  <c r="F10"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F43" i="15"/>
  <c r="M29" i="15"/>
  <c r="C14" i="67"/>
  <c r="F7" i="15"/>
  <c r="C16" i="67"/>
  <c r="C17" i="67"/>
  <c r="G1" i="73"/>
  <c r="F71" i="15" l="1"/>
  <c r="F50" i="15"/>
  <c r="C6" i="15"/>
  <c r="C32" i="15" s="1"/>
  <c r="M7" i="15"/>
  <c r="J6" i="15" s="1"/>
  <c r="J18" i="15" s="1"/>
  <c r="E350" i="3"/>
  <c r="E423" i="3"/>
  <c r="E402" i="3"/>
  <c r="E578" i="3"/>
  <c r="E586" i="3"/>
  <c r="AI6" i="3"/>
  <c r="AN6" i="3"/>
  <c r="E518" i="3"/>
  <c r="E495" i="3"/>
  <c r="E385" i="3"/>
  <c r="E353" i="3"/>
  <c r="E151" i="3"/>
  <c r="E201" i="3"/>
  <c r="E229" i="3"/>
  <c r="E337" i="3"/>
  <c r="E410" i="3"/>
  <c r="E555" i="3"/>
  <c r="E388" i="3"/>
  <c r="E508" i="3"/>
  <c r="E305" i="3"/>
  <c r="E343" i="3"/>
  <c r="E530" i="3"/>
  <c r="E175" i="3"/>
  <c r="E262" i="3"/>
  <c r="E236" i="3"/>
  <c r="E269" i="3"/>
  <c r="E89"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M6" i="1"/>
  <c r="E8" i="71"/>
  <c r="E7" i="71" s="1"/>
  <c r="V9" i="71"/>
  <c r="F9" i="71"/>
  <c r="F8" i="71" s="1"/>
  <c r="F7" i="71" s="1"/>
  <c r="B9" i="71"/>
  <c r="J7" i="37"/>
  <c r="H7" i="36"/>
  <c r="U7" i="36" s="1"/>
  <c r="H7" i="34"/>
  <c r="F7" i="34"/>
  <c r="S7" i="34" s="1"/>
  <c r="C19" i="43"/>
  <c r="C47" i="69"/>
  <c r="D45" i="69" s="1"/>
  <c r="F48" i="68"/>
  <c r="C30" i="68"/>
  <c r="C48" i="68"/>
  <c r="C29" i="69"/>
  <c r="D27" i="69" s="1"/>
  <c r="C48" i="11"/>
  <c r="C30" i="11"/>
  <c r="F48" i="69"/>
  <c r="C30" i="69"/>
  <c r="C48" i="69"/>
  <c r="F27" i="68"/>
  <c r="C47" i="68" s="1"/>
  <c r="D45" i="68" s="1"/>
  <c r="E247" i="3"/>
  <c r="E396" i="3"/>
  <c r="E431" i="3"/>
  <c r="E569" i="3"/>
  <c r="E579" i="3"/>
  <c r="E516" i="3"/>
  <c r="E509" i="3"/>
  <c r="E239" i="3"/>
  <c r="AJ6" i="3"/>
  <c r="N6" i="3"/>
  <c r="E322" i="3"/>
  <c r="E282" i="3"/>
  <c r="E268" i="3"/>
  <c r="E553" i="3"/>
  <c r="E526" i="3"/>
  <c r="E366" i="3"/>
  <c r="E217" i="3"/>
  <c r="E125" i="3"/>
  <c r="E244" i="3"/>
  <c r="E196" i="3"/>
  <c r="E156"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F28" i="12"/>
  <c r="C29" i="12" s="1"/>
  <c r="D28" i="12" s="1"/>
  <c r="F27" i="11"/>
  <c r="C47" i="11" s="1"/>
  <c r="D45" i="11" s="1"/>
  <c r="E27" i="6"/>
  <c r="K24" i="6" s="1"/>
  <c r="M24" i="6" s="1"/>
  <c r="I24" i="6" s="1"/>
  <c r="S24" i="6" s="1"/>
  <c r="E3" i="6"/>
  <c r="D3" i="21" s="1"/>
  <c r="E368" i="3"/>
  <c r="E303" i="3"/>
  <c r="E301" i="3"/>
  <c r="E159" i="3"/>
  <c r="E99"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10" i="3"/>
  <c r="E241" i="3"/>
  <c r="E273" i="3"/>
  <c r="E259" i="3"/>
  <c r="E291" i="3"/>
  <c r="E292" i="3"/>
  <c r="E316" i="3"/>
  <c r="E348" i="3"/>
  <c r="E331" i="3"/>
  <c r="E363" i="3"/>
  <c r="E377" i="3"/>
  <c r="E378" i="3"/>
  <c r="E317" i="3"/>
  <c r="E349" i="3"/>
  <c r="E334" i="3"/>
  <c r="E375" i="3"/>
  <c r="E263" i="3"/>
  <c r="E191" i="3"/>
  <c r="E91" i="3"/>
  <c r="E180"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82" i="3"/>
  <c r="E245" i="3"/>
  <c r="E254" i="3"/>
  <c r="E22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43" i="3"/>
  <c r="E332" i="3"/>
  <c r="E391" i="3"/>
  <c r="E356"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6" i="3"/>
  <c r="E276" i="3"/>
  <c r="E346" i="3"/>
  <c r="E333" i="3"/>
  <c r="E384" i="3"/>
  <c r="E572" i="3"/>
  <c r="AM6" i="3"/>
  <c r="E30" i="3"/>
  <c r="E44" i="3"/>
  <c r="E109" i="3"/>
  <c r="E29" i="3"/>
  <c r="E480" i="3"/>
  <c r="E441" i="3"/>
  <c r="E484" i="3"/>
  <c r="E425" i="3"/>
  <c r="E467" i="3"/>
  <c r="E64" i="3"/>
  <c r="E46" i="3"/>
  <c r="E103" i="3"/>
  <c r="E160" i="3"/>
  <c r="E142" i="3"/>
  <c r="E200" i="3"/>
  <c r="E267" i="3"/>
  <c r="E249" i="3"/>
  <c r="E300" i="3"/>
  <c r="E371"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6" i="3"/>
  <c r="AC6" i="3"/>
  <c r="C38" i="69"/>
  <c r="P16" i="1"/>
  <c r="C11" i="12"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67" i="3"/>
  <c r="AY50" i="3"/>
  <c r="AY196" i="3"/>
  <c r="AY160" i="3"/>
  <c r="AY139" i="3"/>
  <c r="AY289" i="3"/>
  <c r="AY74" i="3"/>
  <c r="AY183" i="3"/>
  <c r="AY123" i="3"/>
  <c r="AY261" i="3"/>
  <c r="AY204" i="3"/>
  <c r="AY284" i="3"/>
  <c r="AY252" i="3"/>
  <c r="AY209" i="3"/>
  <c r="AY363" i="3"/>
  <c r="AY319" i="3"/>
  <c r="AY489" i="3"/>
  <c r="AY455" i="3"/>
  <c r="AY412" i="3"/>
  <c r="AY497"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94" i="3"/>
  <c r="AY263" i="3"/>
  <c r="AY231" i="3"/>
  <c r="AY246" i="3"/>
  <c r="AY214" i="3"/>
  <c r="AY392" i="3"/>
  <c r="AY381" i="3"/>
  <c r="AY357" i="3"/>
  <c r="AY554" i="3"/>
  <c r="BJ6" i="3"/>
  <c r="AY104" i="3"/>
  <c r="AY41" i="3"/>
  <c r="AY24" i="3"/>
  <c r="AY197" i="3"/>
  <c r="AY177" i="3"/>
  <c r="AY114" i="3"/>
  <c r="AY290"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283" i="3"/>
  <c r="AY278" i="3"/>
  <c r="AY247" i="3"/>
  <c r="AY262" i="3"/>
  <c r="AY230" i="3"/>
  <c r="AY219" i="3"/>
  <c r="AY397" i="3"/>
  <c r="AY374" i="3"/>
  <c r="AY360" i="3"/>
  <c r="BH6" i="3"/>
  <c r="AY109" i="3"/>
  <c r="AY73" i="3"/>
  <c r="AY56" i="3"/>
  <c r="AY202" i="3"/>
  <c r="AY166" i="3"/>
  <c r="AY145" i="3"/>
  <c r="AY295"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1" i="3"/>
  <c r="AY339" i="3"/>
  <c r="AY307" i="3"/>
  <c r="AY322" i="3"/>
  <c r="AY477" i="3"/>
  <c r="AY474" i="3"/>
  <c r="AY443" i="3"/>
  <c r="AY432" i="3"/>
  <c r="AY400" i="3"/>
  <c r="AY413" i="3"/>
  <c r="AY521" i="3"/>
  <c r="AY15" i="3"/>
  <c r="AY566" i="3"/>
  <c r="AY583" i="3"/>
  <c r="BT6" i="3"/>
  <c r="AY567"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9" i="43"/>
  <c r="E104" i="43"/>
  <c r="E105" i="43"/>
  <c r="M102" i="43"/>
  <c r="M106" i="43"/>
  <c r="M103" i="43"/>
  <c r="M109" i="43"/>
  <c r="M104" i="43"/>
  <c r="M105" i="43"/>
  <c r="M107" i="43"/>
  <c r="N103" i="43"/>
  <c r="N106" i="43"/>
  <c r="N107" i="43"/>
  <c r="N109" i="43"/>
  <c r="N102" i="43"/>
  <c r="N105" i="43"/>
  <c r="N104" i="43"/>
  <c r="K107" i="43"/>
  <c r="K104" i="43"/>
  <c r="K106" i="43"/>
  <c r="K109" i="43"/>
  <c r="K103" i="43"/>
  <c r="K102" i="43"/>
  <c r="K105" i="43"/>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AC10" i="40" s="1"/>
  <c r="H10" i="39"/>
  <c r="U10" i="39" s="1"/>
  <c r="F10" i="40"/>
  <c r="S10" i="40" s="1"/>
  <c r="J10" i="39"/>
  <c r="W10" i="39" s="1"/>
  <c r="H10" i="40"/>
  <c r="AB10" i="40" s="1"/>
  <c r="G70" i="39"/>
  <c r="H68" i="39"/>
  <c r="H7" i="37"/>
  <c r="AB7" i="37" s="1"/>
  <c r="T42" i="37" s="1"/>
  <c r="G42" i="37" s="1"/>
  <c r="S10" i="39"/>
  <c r="AA10" i="39"/>
  <c r="H7" i="33"/>
  <c r="J7" i="33"/>
  <c r="D65" i="40"/>
  <c r="E63" i="40"/>
  <c r="F48" i="35"/>
  <c r="S7" i="36"/>
  <c r="AA7" i="36"/>
  <c r="R36" i="36" s="1"/>
  <c r="AC7" i="37"/>
  <c r="V42" i="37" s="1"/>
  <c r="I42" i="37" s="1"/>
  <c r="W7" i="37"/>
  <c r="AB7" i="36"/>
  <c r="T36" i="36" s="1"/>
  <c r="G36" i="36" s="1"/>
  <c r="AB7" i="34"/>
  <c r="T49" i="34" s="1"/>
  <c r="G49" i="34" s="1"/>
  <c r="U7" i="34"/>
  <c r="AA7" i="34"/>
  <c r="R49" i="34" s="1"/>
  <c r="F7" i="33"/>
  <c r="E58" i="21"/>
  <c r="AC7" i="36"/>
  <c r="V36" i="36" s="1"/>
  <c r="I36" i="36" s="1"/>
  <c r="W7" i="36"/>
  <c r="F7" i="37"/>
  <c r="W7" i="34"/>
  <c r="AC7" i="34"/>
  <c r="V49" i="34" s="1"/>
  <c r="I49" i="34" s="1"/>
  <c r="D11" i="71"/>
  <c r="C10" i="71"/>
  <c r="C9" i="71" s="1"/>
  <c r="M17" i="67"/>
  <c r="M17" i="15"/>
  <c r="F59" i="15"/>
  <c r="P24" i="43"/>
  <c r="B66" i="40" s="1"/>
  <c r="P21" i="43"/>
  <c r="C49" i="67"/>
  <c r="P25" i="43"/>
  <c r="P23" i="43"/>
  <c r="B71" i="39" s="1"/>
  <c r="C49" i="15"/>
  <c r="C15" i="67"/>
  <c r="C18" i="67"/>
  <c r="C32" i="67"/>
  <c r="Q60" i="67"/>
  <c r="Q73" i="67"/>
  <c r="M28" i="43"/>
  <c r="N28" i="43"/>
  <c r="O28" i="43"/>
  <c r="P28" i="43"/>
  <c r="G20" i="43" s="1"/>
  <c r="M11" i="67"/>
  <c r="J10" i="67" s="1"/>
  <c r="J5" i="67" s="1"/>
  <c r="F11" i="15"/>
  <c r="M11" i="15"/>
  <c r="F11" i="67"/>
  <c r="F1" i="15"/>
  <c r="Q52" i="15"/>
  <c r="J18" i="67"/>
  <c r="F1" i="67"/>
  <c r="Q52" i="67"/>
  <c r="Q60" i="15"/>
  <c r="Q73" i="15"/>
  <c r="Q61" i="67"/>
  <c r="Q74" i="67"/>
  <c r="Q74" i="15"/>
  <c r="Q61" i="15"/>
  <c r="C16" i="15"/>
  <c r="AE6" i="1"/>
  <c r="J10" i="15" l="1"/>
  <c r="J5" i="15" s="1"/>
  <c r="J26" i="15" s="1"/>
  <c r="C88" i="9"/>
  <c r="C89" i="9" s="1"/>
  <c r="C87" i="9" s="1"/>
  <c r="L19" i="79"/>
  <c r="M19" i="79"/>
  <c r="C118" i="79" s="1"/>
  <c r="L19" i="78"/>
  <c r="M19" i="78"/>
  <c r="C118" i="78" s="1"/>
  <c r="C29" i="11"/>
  <c r="D27" i="11" s="1"/>
  <c r="O6" i="1"/>
  <c r="O16" i="1" s="1"/>
  <c r="M16" i="1"/>
  <c r="B8" i="71"/>
  <c r="B7" i="71" s="1"/>
  <c r="S9" i="71"/>
  <c r="T9" i="71"/>
  <c r="D9" i="71"/>
  <c r="C8" i="71"/>
  <c r="E41" i="43"/>
  <c r="C41" i="43" s="1"/>
  <c r="C20" i="43"/>
  <c r="F45" i="68"/>
  <c r="C29" i="68"/>
  <c r="D27" i="68" s="1"/>
  <c r="E6" i="3"/>
  <c r="D19" i="11"/>
  <c r="C19" i="11" s="1"/>
  <c r="K19" i="6"/>
  <c r="D3" i="33"/>
  <c r="K26" i="6"/>
  <c r="M26" i="6" s="1"/>
  <c r="I26" i="6" s="1"/>
  <c r="S26" i="6" s="1"/>
  <c r="M18" i="9"/>
  <c r="B118" i="9" s="1"/>
  <c r="B14" i="74" s="1"/>
  <c r="B1" i="74" s="1"/>
  <c r="L18" i="9"/>
  <c r="K23" i="6"/>
  <c r="M23" i="6" s="1"/>
  <c r="I23" i="6" s="1"/>
  <c r="S23" i="6" s="1"/>
  <c r="K21" i="6"/>
  <c r="M21" i="6" s="1"/>
  <c r="I21" i="6" s="1"/>
  <c r="S21" i="6" s="1"/>
  <c r="D14" i="12"/>
  <c r="C14" i="12" s="1"/>
  <c r="D3" i="34"/>
  <c r="D37" i="11"/>
  <c r="C37" i="11" s="1"/>
  <c r="D3" i="37"/>
  <c r="C17" i="4"/>
  <c r="B4" i="52" s="1"/>
  <c r="B43" i="72" s="1"/>
  <c r="K25" i="6"/>
  <c r="M25" i="6" s="1"/>
  <c r="I25" i="6" s="1"/>
  <c r="S25" i="6" s="1"/>
  <c r="E31" i="6"/>
  <c r="K22" i="6"/>
  <c r="M22" i="6" s="1"/>
  <c r="I22" i="6" s="1"/>
  <c r="S22" i="6" s="1"/>
  <c r="K20" i="6"/>
  <c r="M20" i="6" s="1"/>
  <c r="I20" i="6" s="1"/>
  <c r="S20" i="6" s="1"/>
  <c r="AA10" i="40"/>
  <c r="W10" i="40"/>
  <c r="AB10" i="39"/>
  <c r="AC10" i="39"/>
  <c r="U10" i="40"/>
  <c r="C15" i="12"/>
  <c r="C12" i="12"/>
  <c r="M19" i="9"/>
  <c r="C118" i="9" s="1"/>
  <c r="C14" i="74" s="1"/>
  <c r="B2" i="74" s="1"/>
  <c r="C32" i="74" s="1"/>
  <c r="D25" i="6"/>
  <c r="D15" i="6"/>
  <c r="D22" i="6"/>
  <c r="D21" i="6"/>
  <c r="D24" i="6"/>
  <c r="D20" i="6"/>
  <c r="D5" i="6"/>
  <c r="D12" i="6"/>
  <c r="D11" i="6"/>
  <c r="D13" i="6"/>
  <c r="D28" i="6"/>
  <c r="E61" i="40"/>
  <c r="H24" i="6"/>
  <c r="D6" i="6"/>
  <c r="D9" i="6"/>
  <c r="D10" i="6"/>
  <c r="L19" i="9"/>
  <c r="D29" i="6"/>
  <c r="H23" i="6"/>
  <c r="D19" i="6"/>
  <c r="D26" i="6"/>
  <c r="C18" i="4"/>
  <c r="D8" i="6"/>
  <c r="D23" i="6"/>
  <c r="D14" i="6"/>
  <c r="D10" i="68"/>
  <c r="D10" i="69"/>
  <c r="D10" i="11"/>
  <c r="C10" i="11" s="1"/>
  <c r="D20" i="12"/>
  <c r="C20" i="12" s="1"/>
  <c r="C7" i="74"/>
  <c r="C20" i="11"/>
  <c r="C28" i="11" s="1"/>
  <c r="C27" i="11" s="1"/>
  <c r="C115" i="43"/>
  <c r="D113" i="43" s="1"/>
  <c r="S5" i="43"/>
  <c r="S3" i="43"/>
  <c r="S2" i="43"/>
  <c r="C23" i="43"/>
  <c r="C21" i="43" s="1"/>
  <c r="S7" i="43"/>
  <c r="S6" i="43"/>
  <c r="S4"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J24" i="15" l="1"/>
  <c r="C34" i="11"/>
  <c r="N16" i="1"/>
  <c r="C34" i="68"/>
  <c r="L16" i="1"/>
  <c r="B32" i="74"/>
  <c r="D8" i="71"/>
  <c r="C7" i="71"/>
  <c r="D7" i="71" s="1"/>
  <c r="U9" i="71"/>
  <c r="T6" i="43"/>
  <c r="V6" i="43" s="1"/>
  <c r="C29" i="43"/>
  <c r="C30" i="43" s="1"/>
  <c r="E30" i="43" s="1"/>
  <c r="T3" i="43"/>
  <c r="V3" i="43" s="1"/>
  <c r="F69" i="15"/>
  <c r="J29" i="15"/>
  <c r="T4" i="43"/>
  <c r="V4" i="43" s="1"/>
  <c r="T7" i="43"/>
  <c r="V7" i="43" s="1"/>
  <c r="T2" i="43"/>
  <c r="V2" i="43" s="1"/>
  <c r="T5" i="43"/>
  <c r="V5" i="43" s="1"/>
  <c r="C33" i="43"/>
  <c r="T14" i="43"/>
  <c r="V14" i="43" s="1"/>
  <c r="T11" i="43"/>
  <c r="V11" i="43" s="1"/>
  <c r="C36" i="43"/>
  <c r="C37" i="43"/>
  <c r="T15" i="43"/>
  <c r="V15" i="43" s="1"/>
  <c r="T10" i="43"/>
  <c r="V10" i="43" s="1"/>
  <c r="T16" i="43"/>
  <c r="V16" i="43" s="1"/>
  <c r="T8" i="43"/>
  <c r="V8" i="43" s="1"/>
  <c r="T12" i="43"/>
  <c r="V12" i="43" s="1"/>
  <c r="T9" i="43"/>
  <c r="V9" i="43" s="1"/>
  <c r="C34" i="43"/>
  <c r="T13" i="43"/>
  <c r="V13" i="43" s="1"/>
  <c r="C35" i="43"/>
  <c r="C38" i="43"/>
  <c r="C39" i="43"/>
  <c r="D17" i="12"/>
  <c r="C17" i="12" s="1"/>
  <c r="K27" i="6"/>
  <c r="M19" i="6"/>
  <c r="I19" i="6" s="1"/>
  <c r="S6" i="1"/>
  <c r="H26" i="6"/>
  <c r="R26" i="6" s="1"/>
  <c r="H21" i="6"/>
  <c r="H20" i="6"/>
  <c r="R20" i="6" s="1"/>
  <c r="H25" i="6"/>
  <c r="R25" i="6" s="1"/>
  <c r="H22" i="6"/>
  <c r="R22" i="6" s="1"/>
  <c r="D16" i="6"/>
  <c r="D30" i="6"/>
  <c r="M27" i="6"/>
  <c r="C16" i="12"/>
  <c r="C10" i="68"/>
  <c r="B29" i="1" s="1"/>
  <c r="D19" i="68"/>
  <c r="R23" i="6"/>
  <c r="C4" i="52"/>
  <c r="B45" i="72" s="1"/>
  <c r="A7" i="51"/>
  <c r="B7" i="72" s="1"/>
  <c r="A10" i="51"/>
  <c r="B9" i="72" s="1"/>
  <c r="D27" i="6"/>
  <c r="R24" i="6"/>
  <c r="C10" i="69"/>
  <c r="C8" i="69" s="1"/>
  <c r="C5" i="69" s="1"/>
  <c r="C23" i="69" s="1"/>
  <c r="D19" i="69"/>
  <c r="R21" i="6"/>
  <c r="D7" i="74"/>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15"/>
  <c r="D31" i="6" l="1"/>
  <c r="I5" i="6" s="1"/>
  <c r="E6" i="70"/>
  <c r="E2" i="70" s="1"/>
  <c r="C35" i="68"/>
  <c r="C38" i="68"/>
  <c r="C38" i="11"/>
  <c r="C35" i="11"/>
  <c r="F50" i="68"/>
  <c r="F50" i="69"/>
  <c r="F50" i="11"/>
  <c r="E29" i="43"/>
  <c r="C18" i="12"/>
  <c r="C8" i="68"/>
  <c r="G38" i="43"/>
  <c r="I38" i="43" s="1"/>
  <c r="E38" i="43"/>
  <c r="E35" i="43"/>
  <c r="G35" i="43"/>
  <c r="I35" i="43" s="1"/>
  <c r="G34" i="43"/>
  <c r="I34" i="43" s="1"/>
  <c r="E34" i="43"/>
  <c r="E36" i="43"/>
  <c r="G36" i="43"/>
  <c r="I36" i="43" s="1"/>
  <c r="E39" i="43"/>
  <c r="G39" i="43"/>
  <c r="I39" i="43" s="1"/>
  <c r="E37" i="43"/>
  <c r="G37" i="43"/>
  <c r="I37" i="43" s="1"/>
  <c r="G33" i="43"/>
  <c r="I33" i="43" s="1"/>
  <c r="E33" i="43"/>
  <c r="C21" i="12"/>
  <c r="C22" i="12" s="1"/>
  <c r="C27" i="12" s="1"/>
  <c r="C25" i="12" s="1"/>
  <c r="AR6" i="1"/>
  <c r="S16" i="1"/>
  <c r="AQ6" i="1"/>
  <c r="T6" i="1"/>
  <c r="S19" i="6"/>
  <c r="S27" i="6" s="1"/>
  <c r="I27" i="6"/>
  <c r="H19" i="6"/>
  <c r="C19" i="69"/>
  <c r="C24" i="69" s="1"/>
  <c r="D37" i="69"/>
  <c r="C37" i="69" s="1"/>
  <c r="C33" i="69" s="1"/>
  <c r="C19" i="68"/>
  <c r="D37" i="68"/>
  <c r="C37"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Q49" i="67"/>
  <c r="J59" i="67"/>
  <c r="J60" i="67" s="1"/>
  <c r="C14" i="15"/>
  <c r="C33" i="11" l="1"/>
  <c r="C42" i="11" s="1"/>
  <c r="I6" i="6"/>
  <c r="C15" i="15"/>
  <c r="C18" i="15"/>
  <c r="C33" i="68"/>
  <c r="T16" i="1"/>
  <c r="C39" i="11"/>
  <c r="C26" i="43"/>
  <c r="B2" i="43" s="1"/>
  <c r="C6" i="68" s="1"/>
  <c r="C7" i="68" s="1"/>
  <c r="C5" i="68" s="1"/>
  <c r="C23" i="68" s="1"/>
  <c r="C27" i="43"/>
  <c r="C20" i="69"/>
  <c r="C28" i="69" s="1"/>
  <c r="C27" i="69" s="1"/>
  <c r="H27" i="6"/>
  <c r="R19" i="6"/>
  <c r="C24" i="68"/>
  <c r="C39" i="69"/>
  <c r="C43" i="69" s="1"/>
  <c r="C42" i="69"/>
  <c r="C30" i="12"/>
  <c r="C28" i="12" s="1"/>
  <c r="C32" i="12" s="1"/>
  <c r="B2" i="12" s="1"/>
  <c r="B3" i="12" s="1"/>
  <c r="K70" i="39"/>
  <c r="L68" i="39"/>
  <c r="I63" i="40"/>
  <c r="H65" i="40"/>
  <c r="I58" i="21"/>
  <c r="J58" i="21" s="1"/>
  <c r="K58" i="21" s="1"/>
  <c r="L58" i="21" s="1"/>
  <c r="M58" i="21" s="1"/>
  <c r="N58" i="21" s="1"/>
  <c r="O58" i="21" s="1"/>
  <c r="H7" i="21" s="1"/>
  <c r="J48" i="35"/>
  <c r="Q48" i="15"/>
  <c r="J13" i="67"/>
  <c r="J23" i="67" s="1"/>
  <c r="J22" i="67"/>
  <c r="C61" i="67"/>
  <c r="C59" i="67" s="1"/>
  <c r="C64" i="67"/>
  <c r="Q48" i="67"/>
  <c r="L46" i="67"/>
  <c r="C56" i="67"/>
  <c r="C65" i="67" s="1"/>
  <c r="C75" i="67"/>
  <c r="Q70" i="67"/>
  <c r="C37" i="67"/>
  <c r="C30" i="67" s="1"/>
  <c r="C39" i="67" s="1"/>
  <c r="E6" i="76"/>
  <c r="B6" i="76"/>
  <c r="L51" i="67"/>
  <c r="F7" i="21" l="1"/>
  <c r="S7" i="21" s="1"/>
  <c r="C91" i="78"/>
  <c r="C91" i="79"/>
  <c r="C92" i="79" s="1"/>
  <c r="C19" i="15"/>
  <c r="C20" i="15" s="1"/>
  <c r="C26" i="15" s="1"/>
  <c r="C91" i="9"/>
  <c r="C92" i="9" s="1"/>
  <c r="C39" i="68"/>
  <c r="C46" i="68" s="1"/>
  <c r="C45" i="68" s="1"/>
  <c r="C42" i="68"/>
  <c r="C46" i="11"/>
  <c r="C45" i="11" s="1"/>
  <c r="C43" i="11"/>
  <c r="C41" i="11" s="1"/>
  <c r="C49" i="11" s="1"/>
  <c r="C51" i="11" s="1"/>
  <c r="C52" i="11" s="1"/>
  <c r="B2" i="11" s="1"/>
  <c r="B3" i="11" s="1"/>
  <c r="J7" i="21"/>
  <c r="AC7" i="21" s="1"/>
  <c r="V48" i="21" s="1"/>
  <c r="I48" i="21" s="1"/>
  <c r="C20" i="68"/>
  <c r="C25" i="68" s="1"/>
  <c r="C22" i="68" s="1"/>
  <c r="E2" i="76"/>
  <c r="B2" i="76"/>
  <c r="B3" i="43"/>
  <c r="C41" i="69"/>
  <c r="R27" i="6"/>
  <c r="R6" i="1"/>
  <c r="C25" i="69"/>
  <c r="C22" i="69" s="1"/>
  <c r="C31" i="69" s="1"/>
  <c r="C46" i="69"/>
  <c r="C45" i="69" s="1"/>
  <c r="L70" i="39"/>
  <c r="M68" i="39"/>
  <c r="U7" i="21"/>
  <c r="AB7" i="21"/>
  <c r="T48" i="21" s="1"/>
  <c r="G48" i="21" s="1"/>
  <c r="J63" i="40"/>
  <c r="I65" i="40"/>
  <c r="K48" i="35"/>
  <c r="L48" i="35" s="1"/>
  <c r="M48" i="35" s="1"/>
  <c r="N48" i="35" s="1"/>
  <c r="O48" i="35" s="1"/>
  <c r="H7" i="35" s="1"/>
  <c r="W7" i="21"/>
  <c r="J16" i="67"/>
  <c r="J25" i="67" s="1"/>
  <c r="C80" i="67"/>
  <c r="C79" i="67" s="1"/>
  <c r="C58" i="67"/>
  <c r="C67" i="67" s="1"/>
  <c r="C68" i="67" s="1"/>
  <c r="Q69" i="67"/>
  <c r="Q68" i="67" s="1"/>
  <c r="C40" i="67"/>
  <c r="F35" i="15"/>
  <c r="M21" i="15"/>
  <c r="AA7" i="21" l="1"/>
  <c r="R48" i="21" s="1"/>
  <c r="C94" i="9"/>
  <c r="C94" i="79"/>
  <c r="C92" i="78"/>
  <c r="C94" i="78"/>
  <c r="C43" i="68"/>
  <c r="C41" i="68" s="1"/>
  <c r="C49" i="68" s="1"/>
  <c r="C51" i="68" s="1"/>
  <c r="F35" i="79" s="1"/>
  <c r="C35" i="79" s="1"/>
  <c r="C23" i="15"/>
  <c r="C29" i="15" s="1"/>
  <c r="J14" i="15" s="1"/>
  <c r="C56" i="11"/>
  <c r="C57" i="11" s="1"/>
  <c r="C28" i="68"/>
  <c r="C27" i="68" s="1"/>
  <c r="C31" i="68" s="1"/>
  <c r="B3" i="76"/>
  <c r="J20" i="15"/>
  <c r="F63" i="15"/>
  <c r="C62" i="15" s="1"/>
  <c r="C34" i="15"/>
  <c r="C31" i="15" s="1"/>
  <c r="R16" i="1"/>
  <c r="C49" i="69"/>
  <c r="C51" i="69" s="1"/>
  <c r="C52" i="69" s="1"/>
  <c r="B2" i="69" s="1"/>
  <c r="B3" i="69" s="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49" i="15" l="1"/>
  <c r="F118" i="79"/>
  <c r="F35" i="9"/>
  <c r="F35" i="78"/>
  <c r="C35" i="78" s="1"/>
  <c r="J19" i="15"/>
  <c r="J17" i="15" s="1"/>
  <c r="C36" i="15"/>
  <c r="C57" i="15"/>
  <c r="C64" i="15" s="1"/>
  <c r="C13" i="15"/>
  <c r="C75" i="15" s="1"/>
  <c r="C61" i="15"/>
  <c r="C59" i="15" s="1"/>
  <c r="J13" i="15"/>
  <c r="J23" i="15" s="1"/>
  <c r="J22" i="15"/>
  <c r="C52" i="68"/>
  <c r="B2" i="68" s="1"/>
  <c r="L57" i="15"/>
  <c r="L60" i="15" s="1"/>
  <c r="L46" i="15" s="1"/>
  <c r="C57" i="69"/>
  <c r="C56"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79"/>
  <c r="C19" i="9"/>
  <c r="C19" i="78"/>
  <c r="Q70" i="15" l="1"/>
  <c r="C102" i="79"/>
  <c r="C21" i="79"/>
  <c r="F119" i="79"/>
  <c r="G118" i="79"/>
  <c r="C56" i="15"/>
  <c r="C65" i="15" s="1"/>
  <c r="C58" i="15" s="1"/>
  <c r="C67" i="15" s="1"/>
  <c r="C68" i="15" s="1"/>
  <c r="C71" i="15" s="1"/>
  <c r="C102" i="78"/>
  <c r="C21" i="78"/>
  <c r="F118" i="78"/>
  <c r="J16" i="15"/>
  <c r="J25" i="15" s="1"/>
  <c r="C37" i="15"/>
  <c r="C30" i="15" s="1"/>
  <c r="C39" i="15" s="1"/>
  <c r="Q69" i="15" s="1"/>
  <c r="Q68" i="15" s="1"/>
  <c r="C102" i="9"/>
  <c r="C21" i="9"/>
  <c r="C57" i="68"/>
  <c r="C56" i="68" s="1"/>
  <c r="B3" i="68"/>
  <c r="Q57" i="15"/>
  <c r="Q66" i="15"/>
  <c r="H7" i="39"/>
  <c r="J7" i="39"/>
  <c r="AA7" i="39"/>
  <c r="R47" i="39" s="1"/>
  <c r="S7" i="39"/>
  <c r="R39" i="35"/>
  <c r="E38" i="35"/>
  <c r="M63" i="40"/>
  <c r="L65" i="40"/>
  <c r="C20" i="78"/>
  <c r="C20" i="79"/>
  <c r="L51" i="15"/>
  <c r="C20" i="9"/>
  <c r="C80" i="15" l="1"/>
  <c r="C79" i="15" s="1"/>
  <c r="C40" i="15"/>
  <c r="B2" i="15" s="1"/>
  <c r="B3" i="15" s="1"/>
  <c r="C103" i="79"/>
  <c r="C103" i="78"/>
  <c r="F119" i="78"/>
  <c r="G118" i="78"/>
  <c r="Q67" i="15"/>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D20" i="78"/>
  <c r="D19" i="9"/>
  <c r="D20" i="9"/>
  <c r="D19" i="78"/>
  <c r="AO6" i="1"/>
  <c r="D20" i="79"/>
  <c r="D19" i="79"/>
  <c r="C46" i="15" l="1"/>
  <c r="Q56" i="15"/>
  <c r="Q62" i="15" s="1"/>
  <c r="Q47" i="15"/>
  <c r="Q53" i="15" s="1"/>
  <c r="D102" i="79"/>
  <c r="D22" i="79"/>
  <c r="D21" i="79"/>
  <c r="G19" i="79"/>
  <c r="G21" i="79" s="1"/>
  <c r="D21" i="78"/>
  <c r="D22" i="78"/>
  <c r="D102" i="78"/>
  <c r="G19" i="78"/>
  <c r="F34" i="78" s="1"/>
  <c r="C34" i="78" s="1"/>
  <c r="D102" i="9"/>
  <c r="D22" i="9"/>
  <c r="D21" i="9"/>
  <c r="G19" i="9"/>
  <c r="H29" i="77" s="1"/>
  <c r="H28" i="77" s="1"/>
  <c r="B6" i="70"/>
  <c r="B2" i="70" s="1"/>
  <c r="B3" i="70" s="1"/>
  <c r="C83" i="15"/>
  <c r="C82" i="15" s="1"/>
  <c r="Q65" i="15"/>
  <c r="Q75" i="15" s="1"/>
  <c r="C43" i="15"/>
  <c r="D103" i="79"/>
  <c r="G20" i="79"/>
  <c r="D103" i="78"/>
  <c r="G20" i="78"/>
  <c r="D103" i="9"/>
  <c r="G20" i="9"/>
  <c r="E52" i="39"/>
  <c r="F52" i="39" s="1"/>
  <c r="E51" i="39"/>
  <c r="F51" i="39" s="1"/>
  <c r="G51" i="39"/>
  <c r="H51" i="39" s="1"/>
  <c r="G52" i="39"/>
  <c r="H52" i="39" s="1"/>
  <c r="I51" i="39"/>
  <c r="J51" i="39" s="1"/>
  <c r="I52" i="39"/>
  <c r="J52" i="39" s="1"/>
  <c r="C48" i="39"/>
  <c r="C47" i="39"/>
  <c r="O63" i="40"/>
  <c r="O65" i="40" s="1"/>
  <c r="N65" i="40"/>
  <c r="G21" i="9" l="1"/>
  <c r="C32" i="79"/>
  <c r="H118" i="79" s="1"/>
  <c r="C32" i="78"/>
  <c r="D34" i="78" s="1"/>
  <c r="F34" i="79"/>
  <c r="C34" i="79" s="1"/>
  <c r="D118" i="79" s="1"/>
  <c r="C32" i="9"/>
  <c r="C35" i="9" s="1"/>
  <c r="D35" i="9" s="1"/>
  <c r="F34" i="9"/>
  <c r="C34" i="9" s="1"/>
  <c r="G21" i="78"/>
  <c r="H27" i="77"/>
  <c r="D45" i="78" s="1"/>
  <c r="M48" i="78" s="1"/>
  <c r="M49" i="78" s="1"/>
  <c r="G28" i="77"/>
  <c r="D45" i="79"/>
  <c r="C93" i="79" s="1"/>
  <c r="C86" i="79" s="1"/>
  <c r="D118" i="78"/>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79" l="1"/>
  <c r="D35" i="79"/>
  <c r="H118" i="78"/>
  <c r="H119" i="78" s="1"/>
  <c r="D34" i="9"/>
  <c r="D35" i="78"/>
  <c r="D53" i="79"/>
  <c r="D48" i="79" s="1"/>
  <c r="M52" i="79" s="1"/>
  <c r="C85" i="79"/>
  <c r="G27" i="77"/>
  <c r="C64" i="79"/>
  <c r="C63" i="79" s="1"/>
  <c r="C67" i="79" s="1"/>
  <c r="C68" i="79" s="1"/>
  <c r="D54" i="79" s="1"/>
  <c r="C78" i="79"/>
  <c r="C73" i="79" s="1"/>
  <c r="M48" i="79"/>
  <c r="M49" i="79" s="1"/>
  <c r="L65" i="79" s="1"/>
  <c r="M65" i="79" s="1"/>
  <c r="D55" i="79"/>
  <c r="M53" i="79" s="1"/>
  <c r="C72" i="79"/>
  <c r="D52" i="79"/>
  <c r="L66" i="79"/>
  <c r="M66" i="79" s="1"/>
  <c r="J118" i="79"/>
  <c r="D119" i="79"/>
  <c r="E118" i="79"/>
  <c r="H101" i="79"/>
  <c r="H107" i="79" s="1"/>
  <c r="H119" i="79"/>
  <c r="I118" i="79"/>
  <c r="C104" i="79"/>
  <c r="C95" i="79"/>
  <c r="J118" i="78"/>
  <c r="D119" i="78"/>
  <c r="E118" i="78"/>
  <c r="U7" i="40"/>
  <c r="AB7" i="40"/>
  <c r="T42" i="40" s="1"/>
  <c r="G42" i="40" s="1"/>
  <c r="AA7" i="40"/>
  <c r="R42" i="40" s="1"/>
  <c r="S7" i="40"/>
  <c r="AC7" i="40"/>
  <c r="V42" i="40" s="1"/>
  <c r="I42" i="40" s="1"/>
  <c r="W7" i="40"/>
  <c r="H101" i="78" l="1"/>
  <c r="I118" i="78"/>
  <c r="H102" i="78" s="1"/>
  <c r="C104" i="78"/>
  <c r="L67" i="79"/>
  <c r="M67" i="79" s="1"/>
  <c r="L64" i="79"/>
  <c r="M64" i="79" s="1"/>
  <c r="C79" i="79"/>
  <c r="C80" i="79" s="1"/>
  <c r="E80" i="79" s="1"/>
  <c r="E81" i="79" s="1"/>
  <c r="L63" i="79"/>
  <c r="M63" i="79" s="1"/>
  <c r="L68" i="79"/>
  <c r="M68" i="79" s="1"/>
  <c r="C105" i="79"/>
  <c r="H102" i="79"/>
  <c r="H108" i="79"/>
  <c r="D122" i="79"/>
  <c r="D123" i="79" s="1"/>
  <c r="C96" i="79"/>
  <c r="E96" i="79" s="1"/>
  <c r="E97" i="79" s="1"/>
  <c r="C81" i="79"/>
  <c r="H107" i="78"/>
  <c r="I46" i="40"/>
  <c r="J46" i="40" s="1"/>
  <c r="R43" i="40"/>
  <c r="E42" i="40"/>
  <c r="G47" i="40"/>
  <c r="H47" i="40" s="1"/>
  <c r="G46" i="40"/>
  <c r="H46" i="40" s="1"/>
  <c r="C105" i="78" l="1"/>
  <c r="M69" i="79"/>
  <c r="N69" i="79" s="1"/>
  <c r="C97" i="79"/>
  <c r="D58" i="79" s="1"/>
  <c r="D56" i="79" s="1"/>
  <c r="M54" i="79" s="1"/>
  <c r="N57" i="79" s="1"/>
  <c r="P57" i="79" s="1"/>
  <c r="C93" i="78"/>
  <c r="C86" i="78" s="1"/>
  <c r="C78" i="78"/>
  <c r="C73" i="78" s="1"/>
  <c r="D52" i="78"/>
  <c r="C85" i="78"/>
  <c r="C72" i="78"/>
  <c r="C64" i="78"/>
  <c r="C63" i="78" s="1"/>
  <c r="C67" i="78" s="1"/>
  <c r="C68" i="78" s="1"/>
  <c r="D54" i="78" s="1"/>
  <c r="D55" i="78"/>
  <c r="M53" i="78" s="1"/>
  <c r="D53" i="78"/>
  <c r="D48" i="78" s="1"/>
  <c r="M52" i="78" s="1"/>
  <c r="H108" i="78"/>
  <c r="D122" i="78"/>
  <c r="D123" i="78" s="1"/>
  <c r="C42" i="40"/>
  <c r="C43" i="40"/>
  <c r="E47" i="40"/>
  <c r="F47" i="40" s="1"/>
  <c r="E46" i="40"/>
  <c r="F46" i="40" s="1"/>
  <c r="I47" i="40"/>
  <c r="J47" i="40" s="1"/>
  <c r="N59" i="79" l="1"/>
  <c r="N58" i="79"/>
  <c r="C79" i="78"/>
  <c r="C80" i="78" s="1"/>
  <c r="E80" i="78" s="1"/>
  <c r="E81" i="78" s="1"/>
  <c r="C95" i="78"/>
  <c r="L66" i="78"/>
  <c r="M66" i="78" s="1"/>
  <c r="L65" i="78"/>
  <c r="M65" i="78" s="1"/>
  <c r="L64" i="78"/>
  <c r="M64" i="78" s="1"/>
  <c r="L68" i="78"/>
  <c r="M68" i="78" s="1"/>
  <c r="L67" i="78"/>
  <c r="M67" i="78" s="1"/>
  <c r="L63" i="78"/>
  <c r="M63"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28" i="77" l="1"/>
  <c r="N61" i="79"/>
  <c r="H112" i="79" s="1"/>
  <c r="N60" i="79"/>
  <c r="H111" i="79"/>
  <c r="D126" i="79" s="1"/>
  <c r="D127" i="79" s="1"/>
  <c r="M69" i="78"/>
  <c r="N69" i="78" s="1"/>
  <c r="C81" i="78"/>
  <c r="C96" i="78"/>
  <c r="E96" i="78" s="1"/>
  <c r="E97" i="78" s="1"/>
  <c r="F118" i="9"/>
  <c r="D118" i="9"/>
  <c r="H118" i="9"/>
  <c r="J28" i="77" l="1"/>
  <c r="C97" i="78"/>
  <c r="D58" i="78" s="1"/>
  <c r="D56" i="78" s="1"/>
  <c r="M54" i="78" s="1"/>
  <c r="N57" i="78" s="1"/>
  <c r="F4" i="52"/>
  <c r="B51" i="72" s="1"/>
  <c r="D119" i="9"/>
  <c r="D5" i="52" s="1"/>
  <c r="B49" i="72" s="1"/>
  <c r="J118" i="9"/>
  <c r="D4" i="52"/>
  <c r="B47" i="72" s="1"/>
  <c r="C104" i="9"/>
  <c r="H119" i="9"/>
  <c r="H5" i="52" s="1"/>
  <c r="H4" i="52"/>
  <c r="D14" i="74"/>
  <c r="H101" i="9"/>
  <c r="I118" i="9"/>
  <c r="F119" i="9"/>
  <c r="F5" i="52" s="1"/>
  <c r="B53" i="72" s="1"/>
  <c r="G118" i="9"/>
  <c r="G4" i="52" s="1"/>
  <c r="B52" i="72" s="1"/>
  <c r="N58" i="78" l="1"/>
  <c r="P57" i="78"/>
  <c r="N59" i="78"/>
  <c r="I4" i="52"/>
  <c r="C105" i="9"/>
  <c r="E118" i="9"/>
  <c r="E4" i="52" s="1"/>
  <c r="B48" i="72" s="1"/>
  <c r="H102" i="9"/>
  <c r="D7" i="53" s="1"/>
  <c r="B21" i="72" s="1"/>
  <c r="E14" i="74"/>
  <c r="F14" i="74"/>
  <c r="M48" i="9"/>
  <c r="D5" i="53"/>
  <c r="D45" i="9"/>
  <c r="H107" i="9"/>
  <c r="I16" i="74" l="1"/>
  <c r="I27" i="77"/>
  <c r="I29" i="77" s="1"/>
  <c r="N61" i="78"/>
  <c r="H111" i="78"/>
  <c r="D126" i="78" s="1"/>
  <c r="D127" i="78" s="1"/>
  <c r="N60" i="78"/>
  <c r="D13" i="53"/>
  <c r="D122" i="9"/>
  <c r="H108" i="9"/>
  <c r="D15" i="53" s="1"/>
  <c r="B31" i="72" s="1"/>
  <c r="M49" i="9"/>
  <c r="D6" i="53"/>
  <c r="B22" i="72" s="1"/>
  <c r="B20" i="72"/>
  <c r="D53" i="9"/>
  <c r="D48" i="9" s="1"/>
  <c r="M52" i="9" s="1"/>
  <c r="C93" i="9"/>
  <c r="C86" i="9" s="1"/>
  <c r="D52" i="9"/>
  <c r="C78" i="9"/>
  <c r="C73" i="9" s="1"/>
  <c r="C72" i="9"/>
  <c r="D55" i="9"/>
  <c r="M53" i="9" s="1"/>
  <c r="C85" i="9"/>
  <c r="C64" i="9"/>
  <c r="C63" i="9" s="1"/>
  <c r="C67" i="9" s="1"/>
  <c r="J29" i="77" l="1"/>
  <c r="I14" i="74"/>
  <c r="H112" i="78"/>
  <c r="J27" i="77"/>
  <c r="C95" i="9"/>
  <c r="C96" i="9" s="1"/>
  <c r="E96" i="9" s="1"/>
  <c r="E97" i="9" s="1"/>
  <c r="C79" i="9"/>
  <c r="C80" i="9" s="1"/>
  <c r="E80" i="9" s="1"/>
  <c r="E81" i="9" s="1"/>
  <c r="D14" i="53"/>
  <c r="B32" i="72" s="1"/>
  <c r="B30" i="72"/>
  <c r="C68" i="9"/>
  <c r="D54" i="9" s="1"/>
  <c r="D59" i="9"/>
  <c r="M55" i="9" s="1"/>
  <c r="L66" i="9"/>
  <c r="M66" i="9" s="1"/>
  <c r="L64" i="9"/>
  <c r="M64" i="9" s="1"/>
  <c r="L65" i="9"/>
  <c r="M65" i="9" s="1"/>
  <c r="L67" i="9"/>
  <c r="M67" i="9" s="1"/>
  <c r="L68" i="9"/>
  <c r="M68" i="9" s="1"/>
  <c r="L63" i="9"/>
  <c r="M63" i="9" s="1"/>
  <c r="D8" i="52"/>
  <c r="D123" i="9"/>
  <c r="D9" i="52" s="1"/>
  <c r="G14" i="74"/>
  <c r="C81" i="9" l="1"/>
  <c r="M69" i="9"/>
  <c r="N69" i="9" s="1"/>
  <c r="C97" i="9"/>
  <c r="D58" i="9" s="1"/>
  <c r="D56" i="9" s="1"/>
  <c r="M54" i="9" s="1"/>
  <c r="N57" i="9" s="1"/>
  <c r="N58" i="9" l="1"/>
  <c r="P57" i="9"/>
  <c r="N59" i="9"/>
  <c r="H111" i="9" s="1"/>
  <c r="D126" i="9" l="1"/>
  <c r="D19" i="53"/>
  <c r="N60" i="9"/>
  <c r="N61" i="9"/>
  <c r="H112" i="9" s="1"/>
  <c r="D21" i="53" s="1"/>
  <c r="B39" i="72" s="1"/>
  <c r="B38" i="72" l="1"/>
  <c r="D20" i="53"/>
  <c r="B40" i="72" s="1"/>
  <c r="D12" i="52"/>
  <c r="D127" i="9"/>
  <c r="D13" i="52" s="1"/>
  <c r="E16" i="74"/>
  <c r="F16" i="74"/>
  <c r="D32" i="74" l="1"/>
  <c r="F32" i="74" l="1"/>
  <c r="H32" i="74" s="1"/>
  <c r="E32" i="74"/>
  <c r="D33" i="74"/>
  <c r="D15" i="74"/>
  <c r="E15" i="74" l="1"/>
  <c r="F15" i="74"/>
  <c r="B5" i="74"/>
  <c r="G32" i="74"/>
  <c r="F33" i="74"/>
  <c r="H33" i="74"/>
  <c r="I32" i="74"/>
  <c r="C5" i="74" l="1"/>
  <c r="D5" i="74"/>
  <c r="G15" i="74" l="1"/>
  <c r="B6" i="74" s="1"/>
  <c r="D6" i="74" l="1"/>
  <c r="C6" i="74"/>
  <c r="I15"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<sst xmlns="http://schemas.openxmlformats.org/spreadsheetml/2006/main" count="8050" uniqueCount="3170">
  <si>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</si>
  <si>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</si>
  <si>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</si>
  <si>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</si>
  <si>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</si>
  <si>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</si>
  <si>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</si>
  <si>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</si>
  <si>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</si>
  <si>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</si>
  <si>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</si>
  <si>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</si>
  <si>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</si>
  <si>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</si>
  <si>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</si>
  <si>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</si>
  <si>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</si>
  <si>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</si>
  <si>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</si>
  <si>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</si>
  <si>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</si>
  <si>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</si>
  <si>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</si>
  <si>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</si>
  <si>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</si>
  <si>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</si>
  <si>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</si>
  <si>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</si>
  <si>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</si>
  <si>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</si>
  <si>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</si>
  <si>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</si>
  <si>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</si>
  <si>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</si>
  <si>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</si>
  <si>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</si>
  <si>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</si>
  <si>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</si>
  <si>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</si>
  <si>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</si>
  <si>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</si>
  <si>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</si>
  <si>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</si>
  <si>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</si>
  <si>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</si>
  <si>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</si>
  <si>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</si>
  <si>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</si>
  <si>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</si>
  <si>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</si>
  <si>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</si>
  <si>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</si>
  <si>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</si>
  <si>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</si>
  <si>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</si>
  <si>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</si>
  <si>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</si>
  <si>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</si>
  <si>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</si>
  <si>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</si>
  <si>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</si>
  <si>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</si>
  <si>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</si>
  <si>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</si>
  <si>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</si>
  <si>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</si>
  <si>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</si>
  <si>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</si>
  <si>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</si>
  <si>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</si>
  <si>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</si>
  <si>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</si>
  <si>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</si>
  <si>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</si>
  <si>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</si>
  <si>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</si>
  <si>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</si>
  <si>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</si>
  <si>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</si>
  <si>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</si>
  <si>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</si>
  <si>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</si>
  <si>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</si>
  <si>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</si>
  <si>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</si>
  <si>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</si>
  <si>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</si>
  <si>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</si>
  <si>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</si>
  <si>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</si>
  <si>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</si>
  <si>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</si>
  <si>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</si>
  <si>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</si>
  <si>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</si>
  <si>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</si>
  <si>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</si>
  <si>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</si>
  <si>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</si>
  <si>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</si>
  <si>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</si>
  <si>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</si>
  <si>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</si>
  <si>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</si>
  <si>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</si>
  <si>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</si>
  <si>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</si>
  <si>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</si>
  <si>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</si>
  <si>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</si>
  <si>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</si>
  <si>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</si>
  <si>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</si>
  <si>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</si>
  <si>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</si>
  <si>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</si>
  <si>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</si>
  <si>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</si>
  <si>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</si>
  <si>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</si>
  <si>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</si>
  <si>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</si>
  <si>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</si>
  <si>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</si>
  <si>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</si>
  <si>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</si>
  <si>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</si>
  <si>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</si>
  <si>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</si>
  <si>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</si>
  <si>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</si>
  <si>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</si>
  <si>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</si>
  <si>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</si>
  <si>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</si>
  <si>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</si>
  <si>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</si>
  <si>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</si>
  <si>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</si>
  <si>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</si>
  <si>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</si>
  <si>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</si>
  <si>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</si>
  <si>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</si>
  <si>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</si>
  <si>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</si>
  <si>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</si>
  <si>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</si>
  <si>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</si>
  <si>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</si>
  <si>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</si>
  <si>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</si>
  <si>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</si>
  <si>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</si>
  <si>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</si>
  <si>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</si>
  <si>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</si>
  <si>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</si>
  <si>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</si>
  <si>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</si>
  <si>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</si>
  <si>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</si>
  <si>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</si>
  <si>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</si>
  <si>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</si>
  <si>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</si>
  <si>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</si>
  <si>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</si>
  <si>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</si>
  <si>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</si>
  <si>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</si>
  <si>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</si>
  <si>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</si>
  <si>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</si>
  <si>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</si>
  <si>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</si>
  <si>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</si>
  <si>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</si>
  <si>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</si>
  <si>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</si>
  <si>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</si>
  <si>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</si>
  <si>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</si>
  <si>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</si>
  <si>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</si>
  <si>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</si>
  <si>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</si>
  <si>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</si>
  <si>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</si>
  <si>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</si>
  <si>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</si>
  <si>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</si>
  <si>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</si>
  <si>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</si>
  <si>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</si>
  <si>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</si>
  <si>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</si>
  <si>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</si>
  <si>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</si>
  <si>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</si>
  <si>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</si>
  <si>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</si>
  <si>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</si>
  <si>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</si>
  <si>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</si>
  <si>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</si>
  <si>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</si>
  <si>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</si>
  <si>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</si>
  <si>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</si>
  <si>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</si>
  <si>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</si>
  <si>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</si>
  <si>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</si>
  <si>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</si>
  <si>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</si>
  <si>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</si>
  <si>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</si>
  <si>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</si>
  <si>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</si>
  <si>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</si>
  <si>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</si>
  <si>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</si>
  <si>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</si>
  <si>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</si>
  <si>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</si>
  <si>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</si>
  <si>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</si>
  <si>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</si>
  <si>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</si>
  <si>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</si>
  <si>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</si>
  <si>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</si>
  <si>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</si>
  <si>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</si>
  <si>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</si>
  <si>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</si>
  <si>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</si>
  <si>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</si>
  <si>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</si>
  <si>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</si>
  <si>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</si>
  <si>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</si>
  <si>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</si>
  <si>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</si>
  <si>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</si>
  <si>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</si>
  <si>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</si>
  <si>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</si>
  <si>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</si>
  <si>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</si>
  <si>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</si>
  <si>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</si>
  <si>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</si>
  <si>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</si>
  <si>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</si>
  <si>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</si>
  <si>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</si>
  <si>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</si>
  <si>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</si>
  <si>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</si>
  <si>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</si>
  <si>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</si>
  <si>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</si>
  <si>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</si>
  <si>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</si>
  <si>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</si>
  <si>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</si>
  <si>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</si>
  <si>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</si>
  <si>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</si>
  <si>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</si>
  <si>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</si>
  <si>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</si>
  <si>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</si>
  <si>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</si>
  <si>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</si>
  <si>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</si>
  <si>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</si>
  <si>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</si>
  <si>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</si>
  <si>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</si>
  <si>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</si>
  <si>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</si>
  <si>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</si>
  <si>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</si>
  <si>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</si>
  <si>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</si>
  <si>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</si>
  <si>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</si>
  <si>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</si>
  <si>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</si>
  <si>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</si>
  <si>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</si>
  <si>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</si>
  <si>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</si>
  <si>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</si>
  <si>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</si>
  <si>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</si>
  <si>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</si>
  <si>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</si>
  <si>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</si>
  <si>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</si>
  <si>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</si>
  <si>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</si>
  <si>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</si>
  <si>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</si>
  <si>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</si>
  <si>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</si>
  <si>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</si>
  <si>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</si>
  <si>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</si>
  <si>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</si>
  <si>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</si>
  <si>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</si>
  <si>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</si>
  <si>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</si>
  <si>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</si>
  <si>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</si>
  <si>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</si>
  <si>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</si>
  <si>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</si>
  <si>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</si>
  <si>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</si>
  <si>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</si>
  <si>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</si>
  <si>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</si>
  <si>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</si>
  <si>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</si>
  <si>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</si>
  <si>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</si>
  <si>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</si>
  <si>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</si>
  <si>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</si>
  <si>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</si>
  <si>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</si>
  <si>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</si>
  <si>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</si>
  <si>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</si>
  <si>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</si>
  <si>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</si>
  <si>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</si>
  <si>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</si>
  <si>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</si>
  <si>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</si>
  <si>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</si>
  <si>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</si>
  <si>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</si>
  <si>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</si>
  <si>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</si>
  <si>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</si>
  <si>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</si>
  <si>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</si>
  <si>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</si>
  <si>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</si>
  <si>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</si>
  <si>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</si>
  <si>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</si>
  <si>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</si>
  <si>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</si>
  <si>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</si>
  <si>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</si>
  <si>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</si>
  <si>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</si>
  <si>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</si>
  <si>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</si>
  <si>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</si>
  <si>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</si>
  <si>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</si>
  <si>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</si>
  <si>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</si>
  <si>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</si>
  <si>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</si>
  <si>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</si>
  <si>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</si>
  <si>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</si>
  <si>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</si>
  <si>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</si>
  <si>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</si>
  <si>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</si>
  <si>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</si>
  <si>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</si>
  <si>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</si>
  <si>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</si>
  <si>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</si>
  <si>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</si>
  <si>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</si>
  <si>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</si>
  <si>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</si>
  <si>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</si>
  <si>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</si>
  <si>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</si>
  <si>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</si>
  <si>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</si>
  <si>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</si>
  <si>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</si>
  <si>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</si>
  <si>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</si>
  <si>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</si>
  <si>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</si>
  <si>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</si>
  <si>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</si>
  <si>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</si>
  <si>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</si>
  <si>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</si>
  <si>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</si>
  <si>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</si>
  <si>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</si>
  <si>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</si>
  <si>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</si>
  <si>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</si>
  <si>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</si>
  <si>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</si>
  <si>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</si>
  <si>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</si>
  <si>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</si>
  <si>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</si>
  <si>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</si>
  <si>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</si>
  <si>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</si>
  <si>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</si>
  <si>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</si>
  <si>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</si>
  <si>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</si>
  <si>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</si>
  <si>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</si>
  <si>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</si>
  <si>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</si>
  <si>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</si>
  <si>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</si>
  <si>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</si>
  <si>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</si>
  <si>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</si>
  <si>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</si>
  <si>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</si>
  <si>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</si>
  <si>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</si>
  <si>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</si>
  <si>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</si>
  <si>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</si>
  <si>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</si>
  <si>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</si>
  <si>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</si>
  <si>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</si>
  <si>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</si>
  <si>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</si>
  <si>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</si>
  <si>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</si>
  <si>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</si>
  <si>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</si>
  <si>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</si>
  <si>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</si>
  <si>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</si>
  <si>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</si>
  <si>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</si>
  <si>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</si>
  <si>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</si>
  <si>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</si>
  <si>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</si>
  <si>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</si>
  <si>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</si>
  <si>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</si>
  <si>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</si>
  <si>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</si>
  <si>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</si>
  <si>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</si>
  <si>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</si>
  <si>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</si>
  <si>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</si>
  <si>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</si>
  <si>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</si>
  <si>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</si>
  <si>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</si>
  <si>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</si>
  <si>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</si>
  <si>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</si>
  <si>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</si>
  <si>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</si>
  <si>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</si>
  <si>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</si>
  <si>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</si>
  <si>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</si>
  <si>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</si>
  <si>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</si>
  <si>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</si>
  <si>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</si>
  <si>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</si>
  <si>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</si>
  <si>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</si>
  <si>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</si>
  <si>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</si>
  <si>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</si>
  <si>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</si>
  <si>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</si>
  <si>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</si>
  <si>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</si>
  <si>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</si>
  <si>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</si>
  <si>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</si>
  <si>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</si>
  <si>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</si>
  <si>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</si>
  <si>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</si>
  <si>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</si>
  <si>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</si>
  <si>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</si>
  <si>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</si>
  <si>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</si>
  <si>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</si>
  <si>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</si>
  <si>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</si>
  <si>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</si>
  <si>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</si>
  <si>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</si>
  <si>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</si>
  <si>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</si>
  <si>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</si>
  <si>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</si>
  <si>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</si>
  <si>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</si>
  <si>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</si>
  <si>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</si>
  <si>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</si>
  <si>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</si>
  <si>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</si>
  <si>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</si>
  <si>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</si>
  <si>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</si>
  <si>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</si>
  <si>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</si>
  <si>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</si>
  <si>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</si>
  <si>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</si>
  <si>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</si>
  <si>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</si>
  <si>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</si>
  <si>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</si>
  <si>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</si>
  <si>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</si>
  <si>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</si>
  <si>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</si>
  <si>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</si>
  <si>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</si>
  <si>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</si>
  <si>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</si>
  <si>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</si>
  <si>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</si>
  <si>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</si>
  <si>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</si>
  <si>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</si>
  <si>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</si>
  <si>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</si>
  <si>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</si>
  <si>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</si>
  <si>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</si>
  <si>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</si>
  <si>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</si>
  <si>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</si>
  <si>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</si>
  <si>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</si>
  <si>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</si>
  <si>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</si>
  <si>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</si>
  <si>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</si>
  <si>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</si>
  <si>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</si>
  <si>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</si>
  <si>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</si>
  <si>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</si>
  <si>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</si>
  <si>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</si>
  <si>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</si>
  <si>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</si>
  <si>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</si>
  <si>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</si>
  <si>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</si>
  <si>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</si>
  <si>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</si>
  <si>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</si>
  <si>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</si>
  <si>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</si>
  <si>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</si>
  <si>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</si>
  <si>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</si>
  <si>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</si>
  <si>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</si>
  <si>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</si>
  <si>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</si>
  <si>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</si>
  <si>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</si>
  <si>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</si>
  <si>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</si>
  <si>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</si>
  <si>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</si>
  <si>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</si>
  <si>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</si>
  <si>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</si>
  <si>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</si>
  <si>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</si>
  <si>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</si>
  <si>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</si>
  <si>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</si>
  <si>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</si>
  <si>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</si>
  <si>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</si>
  <si>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</si>
  <si>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</si>
  <si>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</si>
  <si>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</si>
  <si>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</si>
  <si>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</si>
  <si>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</si>
  <si>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</si>
  <si>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</si>
  <si>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</si>
  <si>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</si>
  <si>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</si>
  <si>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</si>
  <si>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</si>
  <si>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</si>
  <si>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</si>
  <si>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</si>
  <si>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</si>
  <si>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</si>
  <si>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</si>
  <si>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</si>
  <si>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</si>
  <si>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</si>
  <si>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</si>
  <si>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</si>
  <si>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</si>
  <si>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</si>
  <si>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</si>
  <si>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</si>
  <si>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</si>
  <si>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</si>
  <si>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</si>
  <si>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</si>
  <si>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</si>
  <si>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</si>
  <si>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</si>
  <si>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</si>
  <si>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</si>
  <si>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</si>
  <si>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</si>
  <si>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</si>
  <si>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</si>
  <si>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</si>
  <si>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</si>
  <si>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</si>
  <si>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</si>
  <si>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</si>
  <si>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</si>
  <si>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</si>
  <si>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</si>
  <si>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</si>
  <si>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</si>
  <si>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</si>
  <si>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</si>
  <si>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</si>
  <si>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</si>
  <si>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</si>
  <si>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</si>
  <si>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</si>
  <si>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</si>
  <si>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</si>
  <si>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</si>
  <si>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</si>
  <si>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</si>
  <si>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</si>
  <si>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</si>
  <si>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</si>
  <si>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</si>
  <si>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</si>
  <si>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</si>
  <si>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</si>
  <si>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</si>
  <si>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</si>
  <si>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</si>
  <si>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</si>
  <si>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</si>
  <si>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</si>
  <si>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</si>
  <si>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</si>
  <si>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</si>
  <si>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</si>
  <si>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</si>
  <si>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</si>
  <si>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</si>
  <si>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</si>
  <si>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</si>
  <si>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</si>
  <si>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</si>
  <si>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</si>
  <si>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</si>
  <si>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</si>
  <si>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</si>
  <si>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</si>
  <si>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</si>
  <si>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</si>
  <si>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</si>
  <si>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</si>
  <si>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</si>
  <si>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</si>
  <si>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</si>
  <si>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</si>
  <si>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</si>
  <si>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</si>
  <si>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</si>
  <si>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</si>
  <si>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</si>
  <si>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</si>
  <si>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</si>
  <si>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</si>
  <si>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</si>
  <si>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</si>
  <si>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</si>
  <si>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</si>
  <si>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</si>
  <si>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</si>
  <si>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</si>
  <si>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</si>
  <si>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</si>
  <si>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</si>
  <si>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</si>
  <si>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</si>
  <si>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</si>
  <si>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</si>
  <si>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</si>
  <si>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</si>
  <si>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</si>
  <si>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</si>
  <si>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</si>
  <si>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</si>
  <si>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</si>
  <si>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</si>
  <si>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</si>
  <si>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</si>
  <si>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</si>
  <si>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</si>
  <si>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</si>
  <si>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</si>
  <si>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</si>
  <si>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</si>
  <si>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</si>
  <si>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</si>
  <si>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</si>
  <si>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</si>
  <si>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</si>
  <si>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</si>
  <si>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</si>
  <si>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</si>
  <si>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</si>
  <si>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</si>
  <si>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</si>
  <si>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</si>
  <si>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</si>
  <si>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</si>
  <si>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</si>
  <si>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</si>
  <si>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</si>
  <si>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</si>
  <si>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</si>
  <si>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</si>
  <si>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</si>
  <si>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</si>
  <si>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</si>
  <si>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</si>
  <si>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</si>
  <si>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</si>
  <si>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</si>
  <si>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</si>
  <si>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</si>
  <si>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</si>
  <si>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</si>
  <si>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</si>
  <si>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</si>
  <si>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</si>
  <si>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</si>
  <si>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</si>
  <si>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</si>
  <si>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</si>
  <si>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</si>
  <si>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</si>
  <si>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</si>
  <si>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</si>
  <si>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</si>
  <si>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</si>
  <si>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</si>
  <si>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</si>
  <si>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</si>
  <si>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</si>
  <si>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</si>
  <si>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</si>
  <si>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</si>
  <si>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</si>
  <si>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</si>
  <si>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</si>
  <si>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</si>
  <si>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</si>
  <si>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</si>
  <si>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</si>
  <si>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</si>
  <si>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</si>
  <si>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</si>
  <si>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</si>
  <si>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</si>
  <si>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</si>
  <si>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</si>
  <si>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</si>
  <si>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</si>
  <si>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</si>
  <si>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</si>
  <si>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</si>
  <si>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</si>
  <si>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</si>
  <si>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</si>
  <si>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</si>
  <si>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</si>
  <si>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</si>
  <si>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</si>
  <si>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</si>
  <si>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</si>
  <si>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</si>
  <si>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</si>
  <si>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</si>
  <si>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</si>
  <si>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</si>
  <si>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</si>
  <si>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</si>
  <si>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</si>
  <si>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</si>
  <si>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</si>
  <si>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</si>
  <si>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</si>
  <si>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</si>
  <si>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</si>
  <si>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</si>
  <si>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</si>
  <si>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</si>
  <si>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</si>
  <si>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</si>
  <si>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</si>
  <si>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</si>
  <si>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</si>
  <si>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</si>
  <si>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</si>
  <si>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</si>
  <si>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</si>
  <si>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</si>
  <si>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</si>
  <si>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</si>
  <si>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</si>
  <si>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</si>
  <si>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</si>
  <si>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</si>
  <si>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</si>
  <si>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</si>
  <si>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</si>
  <si>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</si>
  <si>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</si>
  <si>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</si>
  <si>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</si>
  <si>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</si>
  <si>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</si>
  <si>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</si>
  <si>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</si>
  <si>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</si>
  <si>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</si>
  <si>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</si>
  <si>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</si>
  <si>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</si>
  <si>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</si>
  <si>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</si>
  <si>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</si>
  <si>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</si>
  <si>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</si>
  <si>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</si>
  <si>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</si>
  <si>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</si>
  <si>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</si>
  <si>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</si>
  <si>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</si>
  <si>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</si>
  <si>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</si>
  <si>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</si>
  <si>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</si>
  <si>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</si>
  <si>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</si>
  <si>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</si>
  <si>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</si>
  <si>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</si>
  <si>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</si>
  <si>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</si>
  <si>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</si>
  <si>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</si>
  <si>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</si>
  <si>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</si>
  <si>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</si>
  <si>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</si>
  <si>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</si>
  <si>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</si>
  <si>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</si>
  <si>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</si>
  <si>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</si>
  <si>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</si>
  <si>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</si>
  <si>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</si>
  <si>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</si>
  <si>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</si>
  <si>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</si>
  <si>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</si>
  <si>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</si>
  <si>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</si>
  <si>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</si>
  <si>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</si>
  <si>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</si>
  <si>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</si>
  <si>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</si>
  <si>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</si>
  <si>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</si>
  <si>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</si>
  <si>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</si>
  <si>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</si>
  <si>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</si>
  <si>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</si>
  <si>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</si>
  <si>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</si>
  <si>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</si>
  <si>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</si>
  <si>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</si>
  <si>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</si>
  <si>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</si>
  <si>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</si>
  <si>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</si>
  <si>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</si>
  <si>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</si>
  <si>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</si>
  <si>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</si>
  <si>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</si>
  <si>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</si>
  <si>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</si>
  <si>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</si>
  <si>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</si>
  <si>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</si>
  <si>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</si>
  <si>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</si>
  <si>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</si>
  <si>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</si>
  <si>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</si>
  <si>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</si>
  <si>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</si>
  <si>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</si>
  <si>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</si>
  <si>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</si>
  <si>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</si>
  <si>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</si>
  <si>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</si>
  <si>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</si>
  <si>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</si>
  <si>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</si>
  <si>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</si>
  <si>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</si>
  <si>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</si>
  <si>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</si>
  <si>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</si>
  <si>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</si>
  <si>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</si>
  <si>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</si>
  <si>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</si>
  <si>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</si>
  <si>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</si>
  <si>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</si>
  <si>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</si>
  <si>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</si>
  <si>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</si>
  <si>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</si>
  <si>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</si>
  <si>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</si>
  <si>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</si>
  <si>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</si>
  <si>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</si>
  <si>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</si>
  <si>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</si>
  <si>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</si>
  <si>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</si>
  <si>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</si>
  <si>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</si>
  <si>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</si>
  <si>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</si>
  <si>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</si>
  <si>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</si>
  <si>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</si>
  <si>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</si>
  <si>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</si>
  <si>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</si>
  <si>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</si>
  <si>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</si>
  <si>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</si>
  <si>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</si>
  <si>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</si>
  <si>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</si>
  <si>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</si>
  <si>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</si>
  <si>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</si>
  <si>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</si>
  <si>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</si>
  <si>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</si>
  <si>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</si>
  <si>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</si>
  <si>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</si>
  <si>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</si>
  <si>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</si>
  <si>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</si>
  <si>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</si>
  <si>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</si>
  <si>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</si>
  <si>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</si>
  <si>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</si>
  <si>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</si>
  <si>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</si>
  <si>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</si>
  <si>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</si>
  <si>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</si>
  <si>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</si>
  <si>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</si>
  <si>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</si>
  <si>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</si>
  <si>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</si>
  <si>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</si>
  <si>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</si>
  <si>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</si>
  <si>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</si>
  <si>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</si>
  <si>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</si>
  <si>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</si>
  <si>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</si>
  <si>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</si>
  <si>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</si>
  <si>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</si>
  <si>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</si>
  <si>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</si>
  <si>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</si>
  <si>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</si>
  <si>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</si>
  <si>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</si>
  <si>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</si>
  <si>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</si>
  <si>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</si>
  <si>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</si>
  <si>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</si>
  <si>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</si>
  <si>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</si>
  <si>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</si>
  <si>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</si>
  <si>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</si>
  <si>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</si>
  <si>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</si>
  <si>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</si>
  <si>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</si>
  <si>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</si>
  <si>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</si>
  <si>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</si>
  <si>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</si>
  <si>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</si>
  <si>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</si>
  <si>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</si>
  <si>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</si>
  <si>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</si>
  <si>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</si>
  <si>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</si>
  <si>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</si>
  <si>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</si>
  <si>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</si>
  <si>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</si>
  <si>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</si>
  <si>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</si>
  <si>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</si>
  <si>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</si>
  <si>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</si>
  <si>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</si>
  <si>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</si>
  <si>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</si>
  <si>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</si>
  <si>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</si>
  <si>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</si>
  <si>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</si>
  <si>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</si>
  <si>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</si>
  <si>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</si>
  <si>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</si>
  <si>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</si>
  <si>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</si>
  <si>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</si>
  <si>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</si>
  <si>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</si>
  <si>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</si>
  <si>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</si>
  <si>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</si>
  <si>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</si>
  <si>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</si>
  <si>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</si>
  <si>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</si>
  <si>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</si>
  <si>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</si>
  <si>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</si>
  <si>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</si>
  <si>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</si>
  <si>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</si>
  <si>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</si>
  <si>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</si>
  <si>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</si>
  <si>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</si>
  <si>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</si>
  <si>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</si>
  <si>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</si>
  <si>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</si>
  <si>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</si>
  <si>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</si>
  <si>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</si>
  <si>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</si>
  <si>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</si>
  <si>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</si>
  <si>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</si>
  <si>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</si>
  <si>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</si>
  <si>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</si>
  <si>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</si>
  <si>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</si>
  <si>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</si>
  <si>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</si>
  <si>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</si>
  <si>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</si>
  <si>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</si>
  <si>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</si>
  <si>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</si>
  <si>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</si>
  <si>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</si>
  <si>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</si>
  <si>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</si>
  <si>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</si>
  <si>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</si>
  <si>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</si>
  <si>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</si>
  <si>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</si>
  <si>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</si>
  <si>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</si>
  <si>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</si>
  <si>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</si>
  <si>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</si>
  <si>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</si>
  <si>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</si>
  <si>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</si>
  <si>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</si>
  <si>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</si>
  <si>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</si>
  <si>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</si>
  <si>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</si>
  <si>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</si>
  <si>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</si>
  <si>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</si>
  <si>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</si>
  <si>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</si>
  <si>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</si>
  <si>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</si>
  <si>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</si>
  <si>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</si>
  <si>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</si>
  <si>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</si>
  <si>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</si>
  <si>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</si>
  <si>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</si>
  <si>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</si>
  <si>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</si>
  <si>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</si>
  <si>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</si>
  <si>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</si>
  <si>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</si>
  <si>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</si>
  <si>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</si>
  <si>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</si>
  <si>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</si>
  <si>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</si>
  <si>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</si>
  <si>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</si>
  <si>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</si>
  <si>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</si>
  <si>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</si>
  <si>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</si>
  <si>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</si>
  <si>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</si>
  <si>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</si>
  <si>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</si>
  <si>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</si>
  <si>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</si>
  <si>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</si>
  <si>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</si>
  <si>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</si>
  <si>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</si>
  <si>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</si>
  <si>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</si>
  <si>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</si>
  <si>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</si>
  <si>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</si>
  <si>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</si>
  <si>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</si>
  <si>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</si>
  <si>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</si>
  <si>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</si>
  <si>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</si>
  <si>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</si>
  <si>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</si>
  <si>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</si>
  <si>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</si>
  <si>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</si>
  <si>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</si>
  <si>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</si>
  <si>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</si>
  <si>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</si>
  <si>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</si>
  <si>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</si>
  <si>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</si>
  <si>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</si>
  <si>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</si>
  <si>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</si>
  <si>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</si>
  <si>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</si>
  <si>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</si>
  <si>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</si>
  <si>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</si>
  <si>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</si>
  <si>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</si>
  <si>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</si>
  <si>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</si>
  <si>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</si>
  <si>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</si>
  <si>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</si>
  <si>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</si>
  <si>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</si>
  <si>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</si>
  <si>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</si>
  <si>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</si>
  <si>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</si>
  <si>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</si>
  <si>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</si>
  <si>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</si>
  <si>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</si>
  <si>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</si>
  <si>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</si>
  <si>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</si>
  <si>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</si>
  <si>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</si>
  <si>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</si>
  <si>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</si>
  <si>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</si>
  <si>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</si>
  <si>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</si>
  <si>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</si>
  <si>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</si>
  <si>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</si>
  <si>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</si>
  <si>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</si>
  <si>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</si>
  <si>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</si>
  <si>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</si>
  <si>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</si>
  <si>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</si>
  <si>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</si>
  <si>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</si>
  <si>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</si>
  <si>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</si>
  <si>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</si>
  <si>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</si>
  <si>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</si>
  <si>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</si>
  <si>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</si>
  <si>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</si>
  <si>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</si>
  <si>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</si>
  <si>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</si>
  <si>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</si>
  <si>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</si>
  <si>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</si>
  <si>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</si>
  <si>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</si>
  <si>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</si>
  <si>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</si>
  <si>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</si>
  <si>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</si>
  <si>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</si>
  <si>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</si>
  <si>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</si>
  <si>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</si>
  <si>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</si>
  <si>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</si>
  <si>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</si>
  <si>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</si>
  <si>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</si>
  <si>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</si>
  <si>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</si>
  <si>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</si>
  <si>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</si>
  <si>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</si>
  <si>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</si>
  <si>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</si>
  <si>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</si>
  <si>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</si>
  <si>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</si>
  <si>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</si>
  <si>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</si>
  <si>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</si>
  <si>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</si>
  <si>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</si>
  <si>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</si>
  <si>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</si>
  <si>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</si>
  <si>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</si>
  <si>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</si>
  <si>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</si>
  <si>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</si>
  <si>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</si>
  <si>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</si>
  <si>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</si>
  <si>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</si>
  <si>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</si>
  <si>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</si>
  <si>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</si>
  <si>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</si>
  <si>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</si>
  <si>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</si>
  <si>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</si>
  <si>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</si>
  <si>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</si>
  <si>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</si>
  <si>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</si>
  <si>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</si>
  <si>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</si>
  <si>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</si>
  <si>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</si>
  <si>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</si>
  <si>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</si>
  <si>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</si>
  <si>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</si>
  <si>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</si>
  <si>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</si>
  <si>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</si>
  <si>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</si>
  <si>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</si>
  <si>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</si>
  <si>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</si>
  <si>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</si>
  <si>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</si>
  <si>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</si>
  <si>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</si>
  <si>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</si>
  <si>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</si>
  <si>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</si>
  <si>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</si>
  <si>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</si>
  <si>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</si>
  <si>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</si>
  <si>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</si>
  <si>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</si>
  <si>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</si>
  <si>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</si>
  <si>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</si>
  <si>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</si>
  <si>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</si>
  <si>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</si>
  <si>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</si>
  <si>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</si>
  <si>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</si>
  <si>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</si>
  <si>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</si>
  <si>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</si>
  <si>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</si>
  <si>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</si>
  <si>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</si>
  <si>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</si>
  <si>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</si>
  <si>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</si>
  <si>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</si>
  <si>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</si>
  <si>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</si>
  <si>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</si>
  <si>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</si>
  <si>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</si>
  <si>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</si>
  <si>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</si>
  <si>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</si>
  <si>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</si>
  <si>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</si>
  <si>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</si>
  <si>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</si>
  <si>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</si>
  <si>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</si>
  <si>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</si>
  <si>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</si>
  <si>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</si>
  <si>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</si>
  <si>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</si>
  <si>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</si>
  <si>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</si>
  <si>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</si>
  <si>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</si>
  <si>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</si>
  <si>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</si>
  <si>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</si>
  <si>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</si>
  <si>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</si>
  <si>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</si>
  <si>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</si>
  <si>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</si>
  <si>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</si>
  <si>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</si>
  <si>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</si>
  <si>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</si>
  <si>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</si>
  <si>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</si>
  <si>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</si>
  <si>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</si>
  <si>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</si>
  <si>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</si>
  <si>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</si>
  <si>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</si>
  <si>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</si>
  <si>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</si>
  <si>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</si>
  <si>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</si>
  <si>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</si>
  <si>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</si>
  <si>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</si>
  <si>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</si>
  <si>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</si>
  <si>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</si>
  <si>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</si>
  <si>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</si>
  <si>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</si>
  <si>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</si>
  <si>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</si>
  <si>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</si>
  <si>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</si>
  <si>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</si>
  <si>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</si>
  <si>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</si>
  <si>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</si>
  <si>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</si>
  <si>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</si>
  <si>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</si>
  <si>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</si>
  <si>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</si>
  <si>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</si>
  <si>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</si>
  <si>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</si>
  <si>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</si>
  <si>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</si>
  <si>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</si>
  <si>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</si>
  <si>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</si>
  <si>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</si>
  <si>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</si>
  <si>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</si>
  <si>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</si>
  <si>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</si>
  <si>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</si>
  <si>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</si>
  <si>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</si>
  <si>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</si>
  <si>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</si>
  <si>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</si>
  <si>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</si>
  <si>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</si>
  <si>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</si>
  <si>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</si>
  <si>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</si>
  <si>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</si>
  <si>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</si>
  <si>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</si>
  <si>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</si>
  <si>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</si>
  <si>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</si>
  <si>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</si>
  <si>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</si>
  <si>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</si>
  <si>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</si>
  <si>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</si>
  <si>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</si>
  <si>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</si>
  <si>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</si>
  <si>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</si>
  <si>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</si>
  <si>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</si>
  <si>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</si>
  <si>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</si>
  <si>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</si>
  <si>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</si>
  <si>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</si>
  <si>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</si>
  <si>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</si>
  <si>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</si>
  <si>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</si>
  <si>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</si>
  <si>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</si>
  <si>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</si>
  <si>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</si>
  <si>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</si>
  <si>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</si>
  <si>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</si>
  <si>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</si>
  <si>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</si>
  <si>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</si>
  <si>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</si>
  <si>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</si>
  <si>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</si>
  <si>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</si>
  <si>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</si>
  <si>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</si>
  <si>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</si>
  <si>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</si>
  <si>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</si>
  <si>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</si>
  <si>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</si>
  <si>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</si>
  <si>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</si>
  <si>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</si>
  <si>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</si>
  <si>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</si>
  <si>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</si>
  <si>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</si>
  <si>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</si>
  <si>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</si>
  <si>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</si>
  <si>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</si>
  <si>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</si>
  <si>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</si>
  <si>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</si>
  <si>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</si>
  <si>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</si>
  <si>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</si>
  <si>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</si>
  <si>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</si>
  <si>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</si>
  <si>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</si>
  <si>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</si>
  <si>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</si>
  <si>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</si>
  <si>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</si>
  <si>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</si>
  <si>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</si>
  <si>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</si>
  <si>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</si>
  <si>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</si>
  <si>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</si>
  <si>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</si>
  <si>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</si>
  <si>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</si>
  <si>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</si>
  <si>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</si>
  <si>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</si>
  <si>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</si>
  <si>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</si>
  <si>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</si>
  <si>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</si>
  <si>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</si>
  <si>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</si>
  <si>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</si>
  <si>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</si>
  <si>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</si>
  <si>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</si>
  <si>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</si>
  <si>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</si>
  <si>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</si>
  <si>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</si>
  <si>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</si>
  <si>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</si>
  <si>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</si>
  <si>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</si>
  <si>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</si>
  <si>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</si>
  <si>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</si>
  <si>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</si>
  <si>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</si>
  <si>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</si>
  <si>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</si>
  <si>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</si>
  <si>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</si>
  <si>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</si>
  <si>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</si>
  <si>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</si>
  <si>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</si>
  <si>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</si>
  <si>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</si>
  <si>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</si>
  <si>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</si>
  <si>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</si>
  <si>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</si>
  <si>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</si>
  <si>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</si>
  <si>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</si>
  <si>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</si>
  <si>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</si>
  <si>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</si>
  <si>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</si>
  <si>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</si>
  <si>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</si>
  <si>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</si>
  <si>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</si>
  <si>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</si>
  <si>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</si>
  <si>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</si>
  <si>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</si>
  <si>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</si>
  <si>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</si>
  <si>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</si>
  <si>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</si>
  <si>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</si>
  <si>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</si>
  <si>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</si>
  <si>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</si>
  <si>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</si>
  <si>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</si>
  <si>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</si>
  <si>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</si>
  <si>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</si>
  <si>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</si>
  <si>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</si>
  <si>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</si>
  <si>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</si>
  <si>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</si>
  <si>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</si>
  <si>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</si>
  <si>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</si>
  <si>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</si>
  <si>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</si>
  <si>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</si>
  <si>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</si>
  <si>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</si>
  <si>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</si>
  <si>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</si>
  <si>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</si>
  <si>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</si>
  <si>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</si>
  <si>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</si>
  <si>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</si>
  <si>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</si>
  <si>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</si>
  <si>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</si>
  <si>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</si>
  <si>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</si>
  <si>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</si>
  <si>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</si>
  <si>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</si>
  <si>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</si>
  <si>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</si>
  <si>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</si>
  <si>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</si>
  <si>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</si>
  <si>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</si>
  <si>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</si>
  <si>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</si>
  <si>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</si>
  <si>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</si>
  <si>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</si>
  <si>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</si>
  <si>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</si>
  <si>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</si>
  <si>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</si>
  <si>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</si>
  <si>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</si>
  <si>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</si>
  <si>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</si>
  <si>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</si>
  <si>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</si>
  <si>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</si>
  <si>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</si>
  <si>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</si>
  <si>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</si>
  <si>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</si>
  <si>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</si>
  <si>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</si>
  <si>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</si>
  <si>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</si>
  <si>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</si>
  <si>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</si>
  <si>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</si>
  <si>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</si>
  <si>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</si>
  <si>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</si>
  <si>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</si>
  <si>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</si>
  <si>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</si>
  <si>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</si>
  <si>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</si>
  <si>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</si>
  <si>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</si>
  <si>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</si>
  <si>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</si>
  <si>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</si>
  <si>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</si>
  <si>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</si>
  <si>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</si>
  <si>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</si>
  <si>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</si>
  <si>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</si>
  <si>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</si>
  <si>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</si>
  <si>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</si>
  <si>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</si>
  <si>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</si>
  <si>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</si>
  <si>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</si>
  <si>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</si>
  <si>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</si>
  <si>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</si>
  <si>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</si>
  <si>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</si>
  <si>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</si>
  <si>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</si>
  <si>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</si>
  <si>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</si>
  <si>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</si>
  <si>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</si>
  <si>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</si>
  <si>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</si>
  <si>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</si>
  <si>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</si>
  <si>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</si>
  <si>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</si>
  <si>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</si>
  <si>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</si>
  <si>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</si>
  <si>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</si>
  <si>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</si>
  <si>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</si>
  <si>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</si>
  <si>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</si>
  <si>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</si>
  <si>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</si>
  <si>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</si>
  <si>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</si>
  <si>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</si>
  <si>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</si>
  <si>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</si>
  <si>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</si>
  <si>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</si>
  <si>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</si>
  <si>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</si>
  <si>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</si>
  <si>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</si>
  <si>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</si>
  <si>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</si>
  <si>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</si>
  <si>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</si>
  <si>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</si>
  <si>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</si>
  <si>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</si>
  <si>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</si>
  <si>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</si>
  <si>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</si>
  <si>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</si>
  <si>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</si>
  <si>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</si>
  <si>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</si>
  <si>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</si>
  <si>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</si>
  <si>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</si>
  <si>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</si>
  <si>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</si>
  <si>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</si>
  <si>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</si>
  <si>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</si>
  <si>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</si>
  <si>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</si>
  <si>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</si>
  <si>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</si>
  <si>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</si>
  <si>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</si>
  <si>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</si>
  <si>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</si>
  <si>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</si>
  <si>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</si>
  <si>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</si>
  <si>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</si>
  <si>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</si>
  <si>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</si>
  <si>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</si>
  <si>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</si>
  <si>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</si>
  <si>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</si>
  <si>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</si>
  <si>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</si>
  <si>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</si>
  <si>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</si>
  <si>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</si>
  <si>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</si>
  <si>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</si>
  <si>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</si>
  <si>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</si>
  <si>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</si>
  <si>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</si>
  <si>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</si>
  <si>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</si>
  <si>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</si>
  <si>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</si>
  <si>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</si>
  <si>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</si>
  <si>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</si>
  <si>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</si>
  <si>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</si>
  <si>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</si>
  <si>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</si>
  <si>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</si>
  <si>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</si>
  <si>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</si>
  <si>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</si>
  <si>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</si>
  <si>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</si>
  <si>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</si>
  <si>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</si>
  <si>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</si>
  <si>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</si>
  <si>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</si>
  <si>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</si>
  <si>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</si>
  <si>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</si>
  <si>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</si>
  <si>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</si>
  <si>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</si>
  <si>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</si>
  <si>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</si>
  <si>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</si>
  <si>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</si>
  <si>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</si>
  <si>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</si>
  <si>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</si>
  <si>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</si>
  <si>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</si>
  <si>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</si>
  <si>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</si>
  <si>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</si>
  <si>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</si>
  <si>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</si>
  <si>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</si>
  <si>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</si>
  <si>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</si>
  <si>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</si>
  <si>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</si>
  <si>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</si>
  <si>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</si>
  <si>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</si>
  <si>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</si>
  <si>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</si>
  <si>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</si>
  <si>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</si>
  <si>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</si>
  <si>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</si>
  <si>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</si>
  <si>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</si>
  <si>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</si>
  <si>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</si>
  <si>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</si>
  <si>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</si>
  <si>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</si>
  <si>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</si>
  <si>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</si>
  <si>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</si>
  <si>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</si>
  <si>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</si>
  <si>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</si>
  <si>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</si>
  <si>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</si>
  <si>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</si>
  <si>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</si>
  <si>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</si>
  <si>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</si>
  <si>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</si>
  <si>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</si>
  <si>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</si>
  <si>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</si>
  <si>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</si>
  <si>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</si>
  <si>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</si>
  <si>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</si>
  <si>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</si>
  <si>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</si>
  <si>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</si>
  <si>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</si>
  <si>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</si>
  <si>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</si>
  <si>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</si>
  <si>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</si>
  <si>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</si>
  <si>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</si>
  <si>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</si>
  <si>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</si>
  <si>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</si>
  <si>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</si>
  <si>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</si>
  <si>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</si>
  <si>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</si>
  <si>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</si>
  <si>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</si>
  <si>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</si>
  <si>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</si>
  <si>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</si>
  <si>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</si>
  <si>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</si>
  <si>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</si>
  <si>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</si>
  <si>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</si>
  <si>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</si>
  <si>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</si>
  <si>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</si>
  <si>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</si>
  <si>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</si>
  <si>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</si>
  <si>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</si>
  <si>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</si>
  <si>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</si>
  <si>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</si>
  <si>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</si>
  <si>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</si>
  <si>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</si>
  <si>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</si>
  <si>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</si>
  <si>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</si>
  <si>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</si>
  <si>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</si>
  <si>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</si>
  <si>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</si>
  <si>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</si>
  <si>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</si>
  <si>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</si>
  <si>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</si>
  <si>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</si>
  <si>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</si>
  <si>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</si>
  <si>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</si>
  <si>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</si>
  <si>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</si>
  <si>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</si>
  <si>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</si>
  <si>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</si>
  <si>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</si>
  <si>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</si>
  <si>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</si>
  <si>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</si>
  <si>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</si>
  <si>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</si>
  <si>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</si>
  <si>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</si>
  <si>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</si>
  <si>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</si>
  <si>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</si>
  <si>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</si>
  <si>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</si>
  <si>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</si>
  <si>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</si>
  <si>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</si>
  <si>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</si>
  <si>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</si>
  <si>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</si>
  <si>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</si>
  <si>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</si>
  <si>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</si>
  <si>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</si>
  <si>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</si>
  <si>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</si>
  <si>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</si>
  <si>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</si>
  <si>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</si>
  <si>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</si>
  <si>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</si>
  <si>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</si>
  <si>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</si>
  <si>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</si>
  <si>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</si>
  <si>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</si>
  <si>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</si>
  <si>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</si>
  <si>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</si>
  <si>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</si>
  <si>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</si>
  <si>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</si>
  <si>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</si>
  <si>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</si>
  <si>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</si>
  <si>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</si>
  <si>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</si>
  <si>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</si>
  <si>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</si>
  <si>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</si>
  <si>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</si>
  <si>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</si>
  <si>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</si>
  <si>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</si>
  <si>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</si>
  <si>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</si>
  <si>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</si>
  <si>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</si>
  <si>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</si>
  <si>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</si>
  <si>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</si>
  <si>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</si>
  <si>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</si>
  <si>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</si>
  <si>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</si>
  <si>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</si>
  <si>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</si>
  <si>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</si>
  <si>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</si>
  <si>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</si>
  <si>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</si>
  <si>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</si>
  <si>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</si>
  <si>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</si>
  <si>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</si>
  <si>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</si>
  <si>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</si>
  <si>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</si>
  <si>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</si>
  <si>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</si>
  <si>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</si>
  <si>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</si>
  <si>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</si>
  <si>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</si>
  <si>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</si>
  <si>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</si>
  <si>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</si>
  <si>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</si>
  <si>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</si>
  <si>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</si>
  <si>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</si>
  <si>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</si>
  <si>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</si>
  <si>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</si>
  <si>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</si>
  <si>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</si>
  <si>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</si>
  <si>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</si>
  <si>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</si>
  <si>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</si>
  <si>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</si>
  <si>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</si>
  <si>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</si>
  <si>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</si>
  <si>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</si>
  <si>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</si>
  <si>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</si>
  <si>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</si>
  <si>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</si>
  <si>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</si>
  <si>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</si>
  <si>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</si>
  <si>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</si>
  <si>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</si>
  <si>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</si>
  <si>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</si>
  <si>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</si>
  <si>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</si>
  <si>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</si>
  <si>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</si>
  <si>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</si>
  <si>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</si>
  <si>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</si>
  <si>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</si>
  <si>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</si>
  <si>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</si>
  <si>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</si>
  <si>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</si>
  <si>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</si>
  <si>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</si>
  <si>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</si>
  <si>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</si>
  <si>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</si>
  <si>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</si>
  <si>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</si>
  <si>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</si>
  <si>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</si>
  <si>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</si>
  <si>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</si>
  <si>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</si>
  <si>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</si>
  <si>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</si>
  <si>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</si>
  <si>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</si>
  <si>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</si>
  <si>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</si>
  <si>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</si>
  <si>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</si>
  <si>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</si>
  <si>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</si>
  <si>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</si>
  <si>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</si>
  <si>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</si>
  <si>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</si>
  <si>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</si>
  <si>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</si>
  <si>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</si>
  <si>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</si>
  <si>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</si>
  <si>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</si>
  <si>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</si>
  <si>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</si>
  <si>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</si>
  <si>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</si>
  <si>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</si>
  <si>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</si>
  <si>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</si>
  <si>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</si>
  <si>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</si>
  <si>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</si>
  <si>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</si>
  <si>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</si>
  <si>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</si>
  <si>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</si>
  <si>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</si>
  <si>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</si>
  <si>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</si>
  <si>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</si>
  <si>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</si>
  <si>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</si>
  <si>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</si>
  <si>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</si>
  <si>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</si>
  <si>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</si>
  <si>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</si>
  <si>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</si>
  <si>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</si>
  <si>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</si>
  <si>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</si>
  <si>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</si>
  <si>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</si>
  <si>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</si>
  <si>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</si>
  <si>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</si>
  <si>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</si>
  <si>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</si>
  <si>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</si>
  <si>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</si>
  <si>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</si>
  <si>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</si>
  <si>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</si>
  <si>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</si>
  <si>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</si>
  <si>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</si>
  <si>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</si>
  <si>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</si>
  <si>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</si>
  <si>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</si>
  <si>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</si>
  <si>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</si>
  <si>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</si>
  <si>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</si>
  <si>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</si>
  <si>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</si>
  <si>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</si>
  <si>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</si>
  <si>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</si>
  <si>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</si>
  <si>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</si>
  <si>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</si>
  <si>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</si>
  <si>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</si>
  <si>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</si>
  <si>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</si>
  <si>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</si>
  <si>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</si>
  <si>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</si>
  <si>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</si>
  <si>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</si>
  <si>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</si>
  <si>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</si>
  <si>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</si>
  <si>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</si>
  <si>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</si>
  <si>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</si>
  <si>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</si>
  <si>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</si>
  <si>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</si>
  <si>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</si>
  <si>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</si>
  <si>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</si>
  <si>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</si>
  <si>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</si>
  <si>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</si>
  <si>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</si>
  <si>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</si>
  <si>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</si>
  <si>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</si>
  <si>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</si>
  <si>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</si>
  <si>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</si>
  <si>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</si>
  <si>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</si>
  <si>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</si>
  <si>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</si>
  <si>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</si>
  <si>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</si>
  <si>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</si>
  <si>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</si>
  <si>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</si>
  <si>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</si>
  <si>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</si>
  <si>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</si>
  <si>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</si>
  <si>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</si>
  <si>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</si>
  <si>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</si>
  <si>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</si>
  <si>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</si>
  <si>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</si>
  <si>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</si>
  <si>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</si>
  <si>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</si>
  <si>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</si>
  <si>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</si>
  <si>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</si>
  <si>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</si>
  <si>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</si>
  <si>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</si>
  <si>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</si>
  <si>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</si>
  <si>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</si>
  <si>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</si>
  <si>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</si>
  <si>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</si>
  <si>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</si>
  <si>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</si>
  <si>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</si>
  <si>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</si>
  <si>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</si>
  <si>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</si>
  <si>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</si>
  <si>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</si>
  <si>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</si>
  <si>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</si>
  <si>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</si>
  <si>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</si>
  <si>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</si>
  <si>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</si>
  <si>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</si>
  <si>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</si>
  <si>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</si>
  <si>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</si>
  <si>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</si>
  <si>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</si>
  <si>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</si>
  <si>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</si>
  <si>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</si>
  <si>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</si>
  <si>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</si>
  <si>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</si>
  <si>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</si>
  <si>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</si>
  <si>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</si>
  <si>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</si>
  <si>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</si>
  <si>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</si>
  <si>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</si>
  <si>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</si>
  <si>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</si>
  <si>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</si>
  <si>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</si>
  <si>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</si>
  <si>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</si>
  <si>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</si>
  <si>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</si>
  <si>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</si>
  <si>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</si>
  <si>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</si>
  <si>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</si>
  <si>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</si>
  <si>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</si>
  <si>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</si>
  <si>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</si>
  <si>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</si>
  <si>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</si>
  <si>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</si>
  <si>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</si>
  <si>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</si>
  <si>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</si>
  <si>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</si>
  <si>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</si>
  <si>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</si>
  <si>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</si>
  <si>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</si>
  <si>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</si>
  <si>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</si>
  <si>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</si>
  <si>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</si>
  <si>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</si>
  <si>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</si>
  <si>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</si>
  <si>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</si>
  <si>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</si>
  <si>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</si>
  <si>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</si>
  <si>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</si>
  <si>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</si>
  <si>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</si>
  <si>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</si>
  <si>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</si>
  <si>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</si>
  <si>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</si>
  <si>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</si>
  <si>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</si>
  <si>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</si>
  <si>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</si>
  <si>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</si>
  <si>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</si>
  <si>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</si>
  <si>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</si>
  <si>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</si>
  <si>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</si>
  <si>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</si>
  <si>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</si>
  <si>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</si>
  <si>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</si>
  <si>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</si>
  <si>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</si>
  <si>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</si>
  <si>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</si>
  <si>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</si>
  <si>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</si>
  <si>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</si>
  <si>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</si>
  <si>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</si>
  <si>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</si>
  <si>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</si>
  <si>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</si>
  <si>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</si>
  <si>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</si>
  <si>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</si>
  <si>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</si>
  <si>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</si>
  <si>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</si>
  <si>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</si>
  <si>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</si>
  <si>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</si>
  <si>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</si>
  <si>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</si>
  <si>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</si>
  <si>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</si>
  <si>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</si>
  <si>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</si>
  <si>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</si>
  <si>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</si>
  <si>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</si>
  <si>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</si>
  <si>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</si>
  <si>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</si>
  <si>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</si>
  <si>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</si>
  <si>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</si>
  <si>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</si>
  <si>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</si>
  <si>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</si>
  <si>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</si>
  <si>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</si>
  <si>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</si>
  <si>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</si>
  <si>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</si>
  <si>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</si>
  <si>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</si>
  <si>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</si>
  <si>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</si>
  <si>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</si>
  <si>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</si>
  <si>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</si>
  <si>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</si>
  <si>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</si>
  <si>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</si>
  <si>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</si>
  <si>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</si>
  <si>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</si>
  <si>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</si>
  <si>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</si>
  <si>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</si>
  <si>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</si>
  <si>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</si>
  <si>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</si>
  <si>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</si>
  <si>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</si>
  <si>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</si>
  <si>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</si>
  <si>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</si>
  <si>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</si>
  <si>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</si>
  <si>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</si>
  <si>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</si>
  <si>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</si>
  <si>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</si>
  <si>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</si>
  <si>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</si>
  <si>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</si>
  <si>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</si>
  <si>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</si>
  <si>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</si>
  <si>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</si>
  <si>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</si>
  <si>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</si>
  <si>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</si>
  <si>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</si>
  <si>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</si>
  <si>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</si>
  <si>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</si>
  <si>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</si>
  <si>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</si>
  <si>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</si>
  <si>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</si>
  <si>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</si>
  <si>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</si>
  <si>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</si>
  <si>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</si>
  <si>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</si>
  <si>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</si>
  <si>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</si>
  <si>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</si>
  <si>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</si>
  <si>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</si>
  <si>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</si>
  <si>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</si>
  <si>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</si>
  <si>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</si>
  <si>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</si>
  <si>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</si>
  <si>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</si>
  <si>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</si>
  <si>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</si>
  <si>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</si>
  <si>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</si>
  <si>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</si>
  <si>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</si>
  <si>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</si>
  <si>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</si>
  <si>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</si>
  <si>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</si>
  <si>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</si>
  <si>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</si>
  <si>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</si>
  <si>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</si>
  <si>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</si>
  <si>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</si>
  <si>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</si>
  <si>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</si>
  <si>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</si>
  <si>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</si>
  <si>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</si>
  <si>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</si>
  <si>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</si>
  <si>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</si>
  <si>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</si>
  <si>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</si>
  <si>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</si>
  <si>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</si>
  <si>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</si>
  <si>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</si>
  <si>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</si>
  <si>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</si>
  <si>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</si>
  <si>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</si>
  <si>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</si>
  <si>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</si>
  <si>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</si>
  <si>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</si>
  <si>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</si>
  <si>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</si>
  <si>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</si>
  <si>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</si>
  <si>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</si>
  <si>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</si>
  <si>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</si>
  <si>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</si>
  <si>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</si>
  <si>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</si>
  <si>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</si>
  <si>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</si>
  <si>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</si>
  <si>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</si>
  <si>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</si>
  <si>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</si>
  <si>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</si>
  <si>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</si>
  <si>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</si>
  <si>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</si>
  <si>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</si>
  <si>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</si>
  <si>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</si>
  <si>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</si>
  <si>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</si>
  <si>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</si>
  <si>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</si>
  <si>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</si>
  <si>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</si>
  <si>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</si>
  <si>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</si>
  <si>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</si>
  <si>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</si>
  <si>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</si>
  <si>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</si>
  <si>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</si>
  <si>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</si>
  <si>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</si>
  <si>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</si>
  <si>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</si>
  <si>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</si>
  <si>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</si>
  <si>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</si>
  <si>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</si>
  <si>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</si>
  <si>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</si>
  <si>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</si>
  <si>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</si>
  <si>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</si>
  <si>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</si>
  <si>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</si>
  <si>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</si>
  <si>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</si>
  <si>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</si>
  <si>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</si>
  <si>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</si>
  <si>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</si>
  <si>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</si>
  <si>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</si>
  <si>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</si>
  <si>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</si>
  <si>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</si>
  <si>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</si>
  <si>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</si>
  <si>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</si>
  <si>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</si>
  <si>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</si>
  <si>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</si>
  <si>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</si>
  <si>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</si>
  <si>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</si>
  <si>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</si>
  <si>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</si>
  <si>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</si>
  <si>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</si>
  <si>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</si>
  <si>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</si>
  <si>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</si>
  <si>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</si>
  <si>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</si>
  <si>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</si>
  <si>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</si>
  <si>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</si>
  <si>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</si>
  <si>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</si>
  <si>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</si>
  <si>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</si>
  <si>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</si>
  <si>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</si>
  <si>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</si>
  <si>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</si>
  <si>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</si>
  <si>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</si>
  <si>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</si>
  <si>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</si>
  <si>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</si>
  <si>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</si>
  <si>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</si>
  <si>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</si>
  <si>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</si>
  <si>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</si>
  <si>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</si>
  <si>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</si>
  <si>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</si>
  <si>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</si>
  <si>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</si>
  <si>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</si>
  <si>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</si>
  <si>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</si>
  <si>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</si>
  <si>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</si>
  <si>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</si>
  <si>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</si>
  <si>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</si>
  <si>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</si>
  <si>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</si>
  <si>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</si>
  <si>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</si>
  <si>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</si>
  <si>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</si>
  <si>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</si>
  <si>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</si>
  <si>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</si>
  <si>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</si>
  <si>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</si>
  <si>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</si>
  <si>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</si>
  <si>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</si>
  <si>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</si>
  <si>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</si>
  <si>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</si>
  <si>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</si>
  <si>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</si>
  <si>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</si>
  <si>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</si>
  <si>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</si>
  <si>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</si>
  <si>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</si>
  <si>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</si>
  <si>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</si>
  <si>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</si>
  <si>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</si>
  <si>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</si>
  <si>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</si>
  <si>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</si>
  <si>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</si>
  <si>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</si>
  <si>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</si>
  <si>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</si>
  <si>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</si>
  <si>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</si>
  <si>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</si>
  <si>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</si>
  <si>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</si>
  <si>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</si>
  <si>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</si>
  <si>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</si>
  <si>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</si>
  <si>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</si>
  <si>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</si>
  <si>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</si>
  <si>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</si>
  <si>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</si>
  <si>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</si>
  <si>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</si>
  <si>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</si>
  <si>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</si>
  <si>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</si>
  <si>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</si>
  <si>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</si>
  <si>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</si>
  <si>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</si>
  <si>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</si>
  <si>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</si>
  <si>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</si>
  <si>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</si>
  <si>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</si>
  <si>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</si>
  <si>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</si>
  <si>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</si>
  <si>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</si>
  <si>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</si>
  <si>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</si>
  <si>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</si>
  <si>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</si>
  <si>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</si>
  <si>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</si>
  <si>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</si>
  <si>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</si>
  <si>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</si>
  <si>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</si>
  <si>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</si>
  <si>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</si>
  <si>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</si>
  <si>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</si>
  <si>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</si>
  <si>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</si>
  <si>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</si>
  <si>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</si>
  <si>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</si>
  <si>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</si>
  <si>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</si>
  <si>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</si>
  <si>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</si>
  <si>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</si>
  <si>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</si>
  <si>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</si>
  <si>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</si>
  <si>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</si>
  <si>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</si>
  <si>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</si>
  <si>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</si>
  <si>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</si>
  <si>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</si>
  <si>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</si>
  <si>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</si>
  <si>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</si>
  <si>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</si>
  <si>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</si>
  <si>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</si>
  <si>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</si>
  <si>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</si>
  <si>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</si>
  <si>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</si>
  <si>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</si>
  <si>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</si>
  <si>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</si>
  <si>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</si>
  <si>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</si>
  <si>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</si>
  <si>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</si>
  <si>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</si>
  <si>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</si>
  <si>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</si>
  <si>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</si>
  <si>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</si>
  <si>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</si>
  <si>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</si>
  <si>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</si>
  <si>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</si>
  <si>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</si>
  <si>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</si>
  <si>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</si>
  <si>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</si>
  <si>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</si>
  <si>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</si>
  <si>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</si>
  <si>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</si>
  <si>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</si>
  <si>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</si>
  <si>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</si>
  <si>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</si>
  <si>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</si>
  <si>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</si>
  <si>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</si>
  <si>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</si>
  <si>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</si>
  <si>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</si>
  <si>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</si>
  <si>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</si>
  <si>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</si>
  <si>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</si>
  <si>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</si>
  <si>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</si>
  <si>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</si>
  <si>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</si>
  <si>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</si>
  <si>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</si>
  <si>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</si>
  <si>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</si>
  <si>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</si>
  <si>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</si>
  <si>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</si>
  <si>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</si>
  <si>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</si>
  <si>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</si>
  <si>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</si>
  <si>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</si>
  <si>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</si>
  <si>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</si>
  <si>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</si>
  <si>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</si>
  <si>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</si>
  <si>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</si>
  <si>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</si>
  <si>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</si>
  <si>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</si>
  <si>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</si>
  <si>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</si>
  <si>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</si>
  <si>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</si>
  <si>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</si>
  <si>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</si>
  <si>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</si>
  <si>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</si>
  <si>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</si>
  <si>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</si>
  <si>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</si>
  <si>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</si>
  <si>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</si>
  <si>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</si>
  <si>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</si>
  <si>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</si>
  <si>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</si>
  <si>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</si>
  <si>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</si>
  <si>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</si>
  <si>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</si>
  <si>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</si>
  <si>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</si>
  <si>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</si>
  <si>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</si>
  <si>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</si>
  <si>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</si>
  <si>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</si>
  <si>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</si>
  <si>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</si>
  <si>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</si>
  <si>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</si>
  <si>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</si>
  <si>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</si>
  <si>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</si>
  <si>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</si>
  <si>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</si>
  <si>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</si>
  <si>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</si>
  <si>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</si>
  <si>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</si>
  <si>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</si>
  <si>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</si>
  <si>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</si>
  <si>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</si>
  <si>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</si>
  <si>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</si>
  <si>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</si>
  <si>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</si>
  <si>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</si>
  <si>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</si>
  <si>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</si>
  <si>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</si>
  <si>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</si>
  <si>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</si>
  <si>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</si>
  <si>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</si>
  <si>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</si>
  <si>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</si>
  <si>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</si>
  <si>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</si>
  <si>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</si>
  <si>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</si>
  <si>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</si>
  <si>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</si>
  <si>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</si>
  <si>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</si>
  <si>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</si>
  <si>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</si>
  <si>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</si>
  <si>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</si>
  <si>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</si>
  <si>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</si>
  <si>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</si>
  <si>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</si>
  <si>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</si>
  <si>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</si>
  <si>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</si>
  <si>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</si>
  <si>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</si>
  <si>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</si>
  <si>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</si>
  <si>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</si>
  <si>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</si>
  <si>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</si>
  <si>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</si>
  <si>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</si>
  <si>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</si>
  <si>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</si>
  <si>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</si>
  <si>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</si>
  <si>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</si>
  <si>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</si>
  <si>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</si>
  <si>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</si>
  <si>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</si>
  <si>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</si>
  <si>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</si>
  <si>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</si>
  <si>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</si>
  <si>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</si>
  <si>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</si>
  <si>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</si>
  <si>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</si>
  <si>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</si>
  <si>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</si>
  <si>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</si>
  <si>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</si>
  <si>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</si>
  <si>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</si>
  <si>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</si>
  <si>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</si>
  <si>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</si>
  <si>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</si>
  <si>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</si>
  <si>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</si>
  <si>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</si>
  <si>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</si>
  <si>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</si>
  <si>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</si>
  <si>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</si>
  <si>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</si>
  <si>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</si>
  <si>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</si>
  <si>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</si>
  <si>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</si>
  <si>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</si>
  <si>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</si>
  <si>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</si>
  <si>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</si>
  <si>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</si>
  <si>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</si>
  <si>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</si>
  <si>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</si>
  <si>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</si>
  <si>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</si>
  <si>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</si>
  <si>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</si>
  <si>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</si>
  <si>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</si>
  <si>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</si>
  <si>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</si>
  <si>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</si>
  <si>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</si>
  <si>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</si>
  <si>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</si>
  <si>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</si>
  <si>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</si>
  <si>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</si>
  <si>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</si>
  <si>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</si>
  <si>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</si>
  <si>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</si>
  <si>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</si>
  <si>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</si>
  <si>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</si>
  <si>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</si>
  <si>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</si>
  <si>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</si>
  <si>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</si>
  <si>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</si>
  <si>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</si>
  <si>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</si>
  <si>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</si>
  <si>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</si>
  <si>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</si>
  <si>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</si>
  <si>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</si>
  <si>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</si>
  <si>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</si>
  <si>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</si>
  <si>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</si>
  <si>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</si>
  <si>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</si>
  <si>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</si>
  <si>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</si>
  <si>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</si>
  <si>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</si>
  <si>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</si>
  <si>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</si>
  <si>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</si>
  <si>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</si>
  <si>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</si>
  <si>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</si>
  <si>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</si>
  <si>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</si>
  <si>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</si>
  <si>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</si>
  <si>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</si>
  <si>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</si>
  <si>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</si>
  <si>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</si>
  <si>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</si>
  <si>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</si>
  <si>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</si>
  <si>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</si>
  <si>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</si>
  <si>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</si>
  <si>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</si>
  <si>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</si>
  <si>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</si>
  <si>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</si>
  <si>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</si>
  <si>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</si>
  <si>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</si>
  <si>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</si>
  <si>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</si>
  <si>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</si>
  <si>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</si>
  <si>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</si>
  <si>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</si>
  <si>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</si>
  <si>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</si>
  <si>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</si>
  <si>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</si>
  <si>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</si>
  <si>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</si>
  <si>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</si>
  <si>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</si>
  <si>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</si>
  <si>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</si>
  <si>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</si>
  <si>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</si>
  <si>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</si>
  <si>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</si>
  <si>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</si>
  <si>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</si>
  <si>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</si>
  <si>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</si>
  <si>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</si>
  <si>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</si>
  <si>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</si>
  <si>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</si>
  <si>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</si>
  <si>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</si>
  <si>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</si>
  <si>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</si>
  <si>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</si>
  <si>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</si>
  <si>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</si>
  <si>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</si>
  <si>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</si>
  <si>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</si>
  <si>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</si>
  <si>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</si>
  <si>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</si>
  <si>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</si>
  <si>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</si>
  <si>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</si>
  <si>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</si>
  <si>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</si>
  <si>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</si>
  <si>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</si>
  <si>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</si>
  <si>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</si>
  <si>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</si>
  <si>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</si>
  <si>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</si>
  <si>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</si>
  <si>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</si>
  <si>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</si>
  <si>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</si>
  <si>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</si>
  <si>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</si>
  <si>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</si>
  <si>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</si>
  <si>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</si>
  <si>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</si>
  <si>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</si>
  <si>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</si>
  <si>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</si>
  <si>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</si>
  <si>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</si>
  <si>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</si>
  <si>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</si>
  <si>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</si>
  <si>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</si>
  <si>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</si>
  <si>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</si>
  <si>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</si>
  <si>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</si>
  <si>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</si>
  <si>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</si>
  <si>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</si>
  <si>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</si>
  <si>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</si>
  <si>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</si>
  <si>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</si>
  <si>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</si>
  <si>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</si>
  <si>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</si>
  <si>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</si>
  <si>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</si>
  <si>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</si>
  <si>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</si>
  <si>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</si>
  <si>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</si>
  <si>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</si>
  <si>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</si>
  <si>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</si>
  <si>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</si>
  <si>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</si>
  <si>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</si>
  <si>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</si>
  <si>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</si>
  <si>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</si>
  <si>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</si>
  <si>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抵押</t>
  </si>
  <si>
    <t>房地产抵押价值</t>
  </si>
  <si>
    <t>北京市</t>
  </si>
  <si>
    <t>企业</t>
  </si>
  <si>
    <t>出让</t>
  </si>
  <si>
    <t>通路</t>
  </si>
  <si>
    <t>通电</t>
  </si>
  <si>
    <t>通讯</t>
  </si>
  <si>
    <t>通上水</t>
  </si>
  <si>
    <t>通下水</t>
  </si>
  <si>
    <t>地块信息</t>
    <phoneticPr fontId="255" type="noConversion"/>
  </si>
  <si>
    <t>土地证面积</t>
    <phoneticPr fontId="255" type="noConversion"/>
  </si>
  <si>
    <t>功能区</t>
    <phoneticPr fontId="255" type="noConversion"/>
  </si>
  <si>
    <t>建筑物名称</t>
    <phoneticPr fontId="255" type="noConversion"/>
  </si>
  <si>
    <t>分摊土地面积</t>
    <phoneticPr fontId="255" type="noConversion"/>
  </si>
  <si>
    <t>转固面积</t>
    <phoneticPr fontId="255" type="noConversion"/>
  </si>
  <si>
    <t>权证面积</t>
    <phoneticPr fontId="255" type="noConversion"/>
  </si>
  <si>
    <t>房产证</t>
    <phoneticPr fontId="255" type="noConversion"/>
  </si>
  <si>
    <t>场内地
京顺国用（2009出）字第00091号</t>
    <phoneticPr fontId="255" type="noConversion"/>
  </si>
  <si>
    <t>A103</t>
  </si>
  <si>
    <t>X京房产证顺字第277215号</t>
  </si>
  <si>
    <t>A104</t>
  </si>
  <si>
    <t>办公楼</t>
  </si>
  <si>
    <t>A105</t>
  </si>
  <si>
    <t>快件中心</t>
  </si>
  <si>
    <t>1#快件中心（A203）</t>
  </si>
  <si>
    <t>X京房产证顺字第295007号</t>
  </si>
  <si>
    <t>2#快件中心及综合办公楼（A204）</t>
    <phoneticPr fontId="3" type="noConversion"/>
  </si>
  <si>
    <t>地块一
京（2018）顺不动产权第0000081号</t>
    <phoneticPr fontId="255" type="noConversion"/>
  </si>
  <si>
    <t>保税B型</t>
    <phoneticPr fontId="255" type="noConversion"/>
  </si>
  <si>
    <t>F01(办公楼)</t>
  </si>
  <si>
    <t>X京房产证顺字第278737号</t>
  </si>
  <si>
    <t>F02(D01)</t>
  </si>
  <si>
    <t>F03(D02)</t>
  </si>
  <si>
    <t>F04/F06(D03)</t>
  </si>
  <si>
    <t>F05/F07(D04)</t>
  </si>
  <si>
    <t>D08</t>
    <phoneticPr fontId="3" type="noConversion"/>
  </si>
  <si>
    <t>X京房产顺字第339100号</t>
  </si>
  <si>
    <t>地块三
京顺国用（2015出）字第00093号</t>
    <phoneticPr fontId="255" type="noConversion"/>
  </si>
  <si>
    <t>航港物流园</t>
    <phoneticPr fontId="255" type="noConversion"/>
  </si>
  <si>
    <t>A1库</t>
  </si>
  <si>
    <t>X京房产证顺字第297114号</t>
  </si>
  <si>
    <t>A2库</t>
  </si>
  <si>
    <t>B1库</t>
  </si>
  <si>
    <t>X京房产证顺字第307852号</t>
  </si>
  <si>
    <t>B2库</t>
  </si>
  <si>
    <t>B3库</t>
  </si>
  <si>
    <t>物业服务用房</t>
  </si>
  <si>
    <t>值班室</t>
  </si>
  <si>
    <t>是</t>
  </si>
  <si>
    <t>BGS</t>
    <phoneticPr fontId="3" type="noConversion"/>
  </si>
  <si>
    <t>快件中心</t>
    <phoneticPr fontId="3" type="noConversion"/>
  </si>
  <si>
    <t>地上</t>
  </si>
  <si>
    <t>仓储</t>
  </si>
  <si>
    <r>
      <t>A103</t>
    </r>
    <r>
      <rPr>
        <sz val="10"/>
        <color indexed="8"/>
        <rFont val="宋体"/>
        <family val="3"/>
        <charset val="134"/>
      </rPr>
      <t>、</t>
    </r>
    <r>
      <rPr>
        <sz val="10"/>
        <color indexed="8"/>
        <rFont val="Arial"/>
        <family val="2"/>
      </rPr>
      <t>A104</t>
    </r>
    <r>
      <rPr>
        <sz val="10"/>
        <color indexed="8"/>
        <rFont val="宋体"/>
        <family val="3"/>
        <charset val="134"/>
      </rPr>
      <t>、办公楼</t>
    </r>
    <phoneticPr fontId="3" type="noConversion"/>
  </si>
  <si>
    <t>仓储</t>
    <phoneticPr fontId="7" type="noConversion"/>
  </si>
  <si>
    <t>成新度</t>
  </si>
  <si>
    <t>收益法</t>
  </si>
  <si>
    <t>押一</t>
  </si>
  <si>
    <t>按租金收入计税</t>
  </si>
  <si>
    <t>钢混</t>
  </si>
  <si>
    <t>非生产用房</t>
  </si>
  <si>
    <t>仓储用地</t>
  </si>
  <si>
    <t>不临58条商业街</t>
  </si>
  <si>
    <t>平整</t>
  </si>
  <si>
    <t>与级别开发程度不一致</t>
  </si>
  <si>
    <t>按公示增长率计算</t>
  </si>
  <si>
    <t>容积率修正</t>
  </si>
  <si>
    <t>较好</t>
  </si>
  <si>
    <t>一般</t>
  </si>
  <si>
    <t>好</t>
  </si>
  <si>
    <t>全部缴纳</t>
  </si>
  <si>
    <t>未包含在土地购买价格中</t>
  </si>
  <si>
    <t>已包含在土地取得成本中</t>
  </si>
  <si>
    <t>现房</t>
  </si>
  <si>
    <t>项目局部</t>
  </si>
  <si>
    <t>成本法</t>
  </si>
  <si>
    <r>
      <t>2</t>
    </r>
    <r>
      <rPr>
        <sz val="11"/>
        <color theme="1"/>
        <rFont val="宋体"/>
        <family val="3"/>
        <charset val="134"/>
        <scheme val="minor"/>
      </rPr>
      <t>022年到期</t>
    </r>
    <phoneticPr fontId="140" type="noConversion"/>
  </si>
  <si>
    <t>租金</t>
    <phoneticPr fontId="140" type="noConversion"/>
  </si>
  <si>
    <t>租期</t>
    <phoneticPr fontId="140" type="noConversion"/>
  </si>
  <si>
    <r>
      <t>办公6</t>
    </r>
    <r>
      <rPr>
        <sz val="11"/>
        <color theme="1"/>
        <rFont val="宋体"/>
        <family val="3"/>
        <charset val="134"/>
        <scheme val="minor"/>
      </rPr>
      <t>.2</t>
    </r>
    <phoneticPr fontId="140" type="noConversion"/>
  </si>
  <si>
    <r>
      <t>办公大概6</t>
    </r>
    <r>
      <rPr>
        <sz val="11"/>
        <color theme="1"/>
        <rFont val="宋体"/>
        <family val="3"/>
        <charset val="134"/>
        <scheme val="minor"/>
      </rPr>
      <t>000平米</t>
    </r>
    <phoneticPr fontId="140" type="noConversion"/>
  </si>
  <si>
    <t>库房2</t>
    <phoneticPr fontId="140" type="noConversion"/>
  </si>
  <si>
    <t>办公4</t>
    <phoneticPr fontId="140" type="noConversion"/>
  </si>
  <si>
    <r>
      <t>3</t>
    </r>
    <r>
      <rPr>
        <sz val="11"/>
        <color theme="1"/>
        <rFont val="宋体"/>
        <family val="3"/>
        <charset val="134"/>
        <scheme val="minor"/>
      </rPr>
      <t>800平米</t>
    </r>
    <phoneticPr fontId="140" type="noConversion"/>
  </si>
  <si>
    <r>
      <t>8</t>
    </r>
    <r>
      <rPr>
        <sz val="11"/>
        <color theme="1"/>
        <rFont val="宋体"/>
        <family val="3"/>
        <charset val="134"/>
        <scheme val="minor"/>
      </rPr>
      <t>000平米办公</t>
    </r>
    <phoneticPr fontId="140" type="noConversion"/>
  </si>
  <si>
    <r>
      <t>办公1</t>
    </r>
    <r>
      <rPr>
        <sz val="11"/>
        <color theme="1"/>
        <rFont val="宋体"/>
        <family val="3"/>
        <charset val="134"/>
        <scheme val="minor"/>
      </rPr>
      <t>.8-2</t>
    </r>
    <phoneticPr fontId="140" type="noConversion"/>
  </si>
  <si>
    <t>库房1.7-1.8</t>
    <phoneticPr fontId="140" type="noConversion"/>
  </si>
  <si>
    <t>总价</t>
  </si>
  <si>
    <t>自定义</t>
  </si>
  <si>
    <t>2021-3</t>
    <phoneticPr fontId="3" type="noConversion"/>
  </si>
  <si>
    <t>2021-2</t>
    <phoneticPr fontId="3" type="noConversion"/>
  </si>
  <si>
    <t>2021-1</t>
    <phoneticPr fontId="3" type="noConversion"/>
  </si>
  <si>
    <t>出让金+开发费</t>
  </si>
  <si>
    <t>情况3</t>
  </si>
  <si>
    <t>正常</t>
  </si>
  <si>
    <t>自行开发建设</t>
  </si>
  <si>
    <t>非个人房产</t>
  </si>
  <si>
    <t>土地面积</t>
    <phoneticPr fontId="140" type="noConversion"/>
  </si>
  <si>
    <t>建筑面积</t>
    <phoneticPr fontId="140" type="noConversion"/>
  </si>
  <si>
    <t>单价</t>
    <phoneticPr fontId="140" type="noConversion"/>
  </si>
  <si>
    <t>总值</t>
    <phoneticPr fontId="140" type="noConversion"/>
  </si>
  <si>
    <t>净值</t>
    <phoneticPr fontId="140" type="noConversion"/>
  </si>
  <si>
    <t>房产证</t>
    <phoneticPr fontId="140" type="noConversion"/>
  </si>
  <si>
    <t>净值单价</t>
    <phoneticPr fontId="140" type="noConversion"/>
  </si>
  <si>
    <t>BGS</t>
    <phoneticPr fontId="140" type="noConversion"/>
  </si>
  <si>
    <t>2022-1</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</si>
  <si>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</si>
  <si>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t>2021-4</t>
    <phoneticPr fontId="3"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</si>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</sst>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0" borderId="1" xfId="0" applyBorder="1">
      <alignment vertical="center"/>
    </xf>
    <xf numFmtId="0" fontId="0" fillId="5" borderId="1" xfId="0" applyFill="1" applyBorder="1">
      <alignment vertical="center"/>
    </xf>
    <xf numFmtId="0" fontId="111" fillId="0" borderId="1" xfId="0" applyFont="1" applyFill="1" applyBorder="1">
      <alignment vertical="center"/>
    </xf>
    <xf numFmtId="43" fontId="111" fillId="0" borderId="1" xfId="17" applyFont="1" applyFill="1" applyBorder="1">
      <alignment vertical="center"/>
    </xf>
    <xf numFmtId="43" fontId="111" fillId="5" borderId="1" xfId="17" applyFont="1" applyFill="1" applyBorder="1">
      <alignment vertical="center"/>
    </xf>
    <xf numFmtId="43" fontId="111" fillId="0" borderId="1" xfId="17" applyFont="1" applyFill="1" applyBorder="1" applyAlignment="1">
      <alignment horizontal="center" vertical="center" wrapText="1"/>
    </xf>
    <xf numFmtId="43" fontId="0" fillId="0" borderId="0" xfId="0" applyNumberForma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3" fontId="111" fillId="0" borderId="0" xfId="17" applyFont="1" applyFill="1" applyBorder="1">
      <alignment vertical="center"/>
    </xf>
    <xf numFmtId="0" fontId="149" fillId="12" borderId="125" xfId="9" applyFont="1" applyFill="1" applyBorder="1" applyAlignment="1" applyProtection="1">
      <alignment horizontal="left" vertical="center" wrapText="1"/>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50" fillId="14" borderId="0" xfId="16" applyFont="1" applyFill="1" applyBorder="1" applyAlignment="1" applyProtection="1">
      <alignment horizontal="left" vertical="center"/>
      <protection locked="0"/>
    </xf>
    <xf numFmtId="0" fontId="103" fillId="0" borderId="0" xfId="16" applyFont="1" applyAlignment="1">
      <alignment horizontal="left" vertical="center"/>
    </xf>
    <xf numFmtId="0" fontId="149" fillId="0" borderId="126" xfId="9"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18" fillId="0" borderId="0" xfId="9" applyFont="1" applyFill="1" applyAlignment="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11" fillId="0" borderId="1" xfId="0" applyFont="1" applyFill="1" applyBorder="1" applyAlignment="1">
      <alignment horizontal="center" vertical="center"/>
    </xf>
    <xf numFmtId="43" fontId="111" fillId="5" borderId="1" xfId="17" applyFont="1" applyFill="1" applyBorder="1" applyAlignment="1">
      <alignment horizontal="center" vertical="center"/>
    </xf>
    <xf numFmtId="43" fontId="111" fillId="0" borderId="1" xfId="17" applyFont="1" applyFill="1" applyBorder="1" applyAlignment="1">
      <alignment horizontal="center" vertical="center" wrapText="1"/>
    </xf>
    <xf numFmtId="0" fontId="111" fillId="0" borderId="1" xfId="0" applyFont="1" applyFill="1" applyBorder="1" applyAlignment="1">
      <alignment horizontal="left" vertical="center" wrapText="1"/>
    </xf>
    <xf numFmtId="0" fontId="0" fillId="0" borderId="1" xfId="0" applyFill="1" applyBorder="1" applyAlignment="1">
      <alignment vertical="center" wrapText="1"/>
    </xf>
    <xf numFmtId="0" fontId="0" fillId="0" borderId="1" xfId="0" applyFill="1" applyBorder="1" applyAlignment="1">
      <alignmen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protection locked="0"/>
    </xf>
    <xf numFmtId="182" fontId="46" fillId="6" borderId="3" xfId="0" applyNumberFormat="1"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177"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50" fillId="14" borderId="0" xfId="16" applyFont="1" applyFill="1" applyAlignment="1">
      <alignment horizontal="left" vertical="center"/>
    </xf>
    <xf numFmtId="10" fontId="118" fillId="6" borderId="61" xfId="0" applyNumberFormat="1" applyFont="1" applyFill="1" applyBorder="1" applyAlignment="1" applyProtection="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1&#24180;\2021-1-0098&#33322;&#28207;&#38598;&#22242;&#39318;&#37117;&#26426;&#22330;&#20179;&#20648;&#39033;&#30446;\P04\&#26368;&#32456;\&#33322;&#28207;\&#39034;&#20041;&#26426;&#22330;&#20179;&#20648;&#39033;&#30446;&#65288;&#20445;&#31246;&#21306;&#65289;2021.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6426;&#22330;&#20179;&#20648;&#39033;&#30446;&#65288;&#20445;&#31246;&#21306;&#65289;&#22303;&#22320;&#20998;&#25674;&#27979;&#324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4;&#20041;&#26426;&#22330;&#20179;&#20648;&#39033;&#30446;&#65288;&#33322;&#28207;&#29289;&#27969;&#22253;&#65289;&#22303;&#22320;&#20998;&#25674;&#27979;&#324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2304;2021&#12305;&#23545;&#20844;&#20107;&#19994;&#37096;&#8212;&#30005;&#31639;&#34920;-&#25151;&#22320;&#20135;-&#39033;&#30446;.%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76920.23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155302.53</v>
          </cell>
          <cell r="D14">
            <v>91541</v>
          </cell>
          <cell r="G14">
            <v>91541</v>
          </cell>
          <cell r="H14" t="str">
            <v>——</v>
          </cell>
          <cell r="I14">
            <v>62887</v>
          </cell>
        </row>
      </sheetData>
      <sheetData sheetId="18">
        <row r="118">
          <cell r="D118">
            <v>68165</v>
          </cell>
          <cell r="F118">
            <v>23376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cell r="C14">
            <v>167318.6</v>
          </cell>
          <cell r="D14">
            <v>115426</v>
          </cell>
          <cell r="G14">
            <v>115426</v>
          </cell>
          <cell r="H14" t="str">
            <v>——</v>
          </cell>
          <cell r="I14">
            <v>84996</v>
          </cell>
        </row>
      </sheetData>
      <sheetData sheetId="18">
        <row r="118">
          <cell r="D118">
            <v>76144</v>
          </cell>
          <cell r="F118">
            <v>39282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B1" t="str">
            <v>预评估</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估价对象为北京市房地产，为所有。根据《国有土地使用证》[]，估价对象（分摊）出让国有建设用地使用权面积为236852.67平方米，建筑面积为114107.98平方米。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估价对象为北京市房地产,属开发建设的，该项目尚在开发建设中。根据《国有土地使用证》[]，估价对象（分摊）出让国有建设用地使用权面积为236852.67平方米，规划建筑面积为114107.98平方米。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2022年1月19日</v>
      </c>
    </row>
    <row r="13" spans="1:2" s="1364" customFormat="1">
      <c r="A13" s="1362" t="s">
        <v>1194</v>
      </c>
      <c r="B13" s="1363" t="str">
        <f>'预评函-1'!A18</f>
        <v>本次估价的“房地产价值”是指在正常市场情况下，在价值时点2022年1月19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215785</v>
      </c>
    </row>
    <row r="21" spans="1:2" s="1364" customFormat="1">
      <c r="A21" s="1362" t="s">
        <v>1202</v>
      </c>
      <c r="B21" s="1363">
        <f ca="1">'预评函-2'!D7</f>
        <v>18911</v>
      </c>
    </row>
    <row r="22" spans="1:2" s="1364" customFormat="1">
      <c r="A22" s="1362" t="s">
        <v>1203</v>
      </c>
      <c r="B22" s="1363" t="str">
        <f ca="1">'预评函-2'!D6</f>
        <v>贰拾壹亿伍仟柒佰捌拾伍万元整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215785</v>
      </c>
    </row>
    <row r="31" spans="1:2" s="1364" customFormat="1">
      <c r="A31" s="1362" t="s">
        <v>1241</v>
      </c>
      <c r="B31" s="1363">
        <f ca="1">'预评函-2'!D15</f>
        <v>18911</v>
      </c>
    </row>
    <row r="32" spans="1:2" s="1364" customFormat="1">
      <c r="A32" s="1362" t="s">
        <v>1208</v>
      </c>
      <c r="B32" s="1363" t="str">
        <f ca="1">'预评函-2'!D14</f>
        <v>贰拾壹亿伍仟柒佰捌拾伍万元整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124432</v>
      </c>
    </row>
    <row r="39" spans="1:2" s="1364" customFormat="1">
      <c r="A39" s="1362" t="s">
        <v>1210</v>
      </c>
      <c r="B39" s="1363">
        <f ca="1">'预评函-2'!D21</f>
        <v>10905</v>
      </c>
    </row>
    <row r="40" spans="1:2" s="1364" customFormat="1">
      <c r="A40" s="1362" t="s">
        <v>1211</v>
      </c>
      <c r="B40" s="1363" t="str">
        <f ca="1">'预评函-2'!D20</f>
        <v>壹拾贰亿肆仟肆佰叁拾贰万元整</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114107.98000000001</v>
      </c>
    </row>
    <row r="44" spans="1:2" s="1364" customFormat="1">
      <c r="A44" s="1362" t="s">
        <v>1240</v>
      </c>
      <c r="B44" s="1363" t="str">
        <f>'预评函-3'!C2</f>
        <v>(分摊)土地面积</v>
      </c>
    </row>
    <row r="45" spans="1:2" s="1364" customFormat="1">
      <c r="A45" s="1362" t="s">
        <v>1212</v>
      </c>
      <c r="B45" s="1363">
        <f>'预评函-3'!C4</f>
        <v>236852.67</v>
      </c>
    </row>
    <row r="46" spans="1:2" s="1364" customFormat="1">
      <c r="A46" s="1362" t="s">
        <v>1238</v>
      </c>
      <c r="B46" s="1363" t="str">
        <f>'预评函-3'!D2</f>
        <v>出让国有建设用地使用权价值</v>
      </c>
    </row>
    <row r="47" spans="1:2" s="1364" customFormat="1">
      <c r="A47" s="1362" t="s">
        <v>1213</v>
      </c>
      <c r="B47" s="1363">
        <f ca="1">'预评函-3'!D4</f>
        <v>179599</v>
      </c>
    </row>
    <row r="48" spans="1:2" s="1364" customFormat="1">
      <c r="A48" s="1362" t="s">
        <v>1214</v>
      </c>
      <c r="B48" s="1363">
        <f ca="1">'预评函-3'!E4</f>
        <v>15739</v>
      </c>
    </row>
    <row r="49" spans="1:2" s="1364" customFormat="1">
      <c r="A49" s="1362" t="s">
        <v>1215</v>
      </c>
      <c r="B49" s="1363" t="str">
        <f ca="1">'预评函-3'!D5</f>
        <v>壹拾柒亿玖仟伍佰玖拾玖万元整</v>
      </c>
    </row>
    <row r="50" spans="1:2" s="1364" customFormat="1">
      <c r="A50" s="1362" t="s">
        <v>1239</v>
      </c>
      <c r="B50" s="1363" t="str">
        <f>'预评函-3'!F2</f>
        <v>在建建筑物价值</v>
      </c>
    </row>
    <row r="51" spans="1:2" s="1364" customFormat="1">
      <c r="A51" s="1362" t="s">
        <v>1216</v>
      </c>
      <c r="B51" s="1363">
        <f ca="1">'预评函-3'!F4</f>
        <v>36186</v>
      </c>
    </row>
    <row r="52" spans="1:2" s="1364" customFormat="1">
      <c r="A52" s="1362" t="s">
        <v>1217</v>
      </c>
      <c r="B52" s="1363">
        <f ca="1">'预评函-3'!G4</f>
        <v>3171</v>
      </c>
    </row>
    <row r="53" spans="1:2" s="1364" customFormat="1">
      <c r="A53" s="1362" t="s">
        <v>1245</v>
      </c>
      <c r="B53" s="1363" t="str">
        <f ca="1">'预评函-3'!F5</f>
        <v>叁亿陆仟壹佰捌拾陆万元整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9" t="s">
        <v>832</v>
      </c>
      <c r="C54" s="1736" t="s">
        <v>1248</v>
      </c>
    </row>
    <row r="55" spans="1:4">
      <c r="A55" s="3124"/>
      <c r="B55" s="1739" t="s">
        <v>833</v>
      </c>
      <c r="C55" s="1736" t="s">
        <v>1249</v>
      </c>
    </row>
    <row r="56" spans="1:4">
      <c r="A56" s="3124"/>
      <c r="B56" s="1739" t="s">
        <v>834</v>
      </c>
      <c r="C56" s="1736" t="s">
        <v>1253</v>
      </c>
    </row>
    <row r="57" spans="1:4">
      <c r="A57" s="312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6" customWidth="1"/>
    <col min="12" max="13" width="10" style="2847"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2913</v>
      </c>
      <c r="B1" s="3125" t="str">
        <f>IF(B10="北京市","北京市",C10)&amp;F10&amp;IF(结果表!G1="在建","出让国有建设用地使用权及在建建筑物",IF(结果表!G1="土地","出让国有建设用地使用权",))&amp;B9&amp;"预评估"</f>
        <v>北京市房地产抵押价值预评估</v>
      </c>
      <c r="C1" s="3126"/>
      <c r="D1" s="3126"/>
      <c r="E1" s="3126"/>
      <c r="F1" s="3126"/>
      <c r="G1" s="3126"/>
      <c r="H1" s="3126"/>
      <c r="I1" s="3127"/>
      <c r="J1" s="2688"/>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82" t="s">
        <v>2914</v>
      </c>
      <c r="B2" s="2586"/>
      <c r="C2" s="2587"/>
      <c r="D2" s="2890"/>
      <c r="E2" s="2880"/>
      <c r="F2" s="2880"/>
      <c r="G2" s="2881"/>
      <c r="H2" s="2881"/>
      <c r="I2" s="2881"/>
      <c r="J2" s="2688"/>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88"/>
      <c r="C3" s="2589" t="s">
        <v>2916</v>
      </c>
      <c r="D3" s="2588">
        <v>44580</v>
      </c>
      <c r="E3" s="2881"/>
      <c r="F3" s="2881"/>
      <c r="G3" s="2881"/>
      <c r="H3" s="2881"/>
      <c r="I3" s="2881"/>
      <c r="J3" s="2688"/>
      <c r="K3" s="2583"/>
      <c r="L3" s="2584"/>
      <c r="M3" s="2584"/>
      <c r="N3" s="2585"/>
      <c r="O3" s="1761"/>
      <c r="P3" s="2585"/>
      <c r="Q3" s="2585"/>
      <c r="R3" s="2585"/>
      <c r="S3" s="1868"/>
      <c r="T3" s="1931"/>
      <c r="U3" s="1931"/>
      <c r="V3" s="1931"/>
      <c r="W3" s="1931"/>
      <c r="X3" s="1931"/>
      <c r="Y3" s="1931"/>
      <c r="Z3" s="1931"/>
      <c r="AA3" s="1931"/>
      <c r="AB3" s="1931"/>
    </row>
    <row r="4" spans="1:28" ht="13.5" thickBot="1">
      <c r="A4" s="1249" t="s">
        <v>2917</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6"/>
      <c r="K4" s="2593" t="str">
        <f>CONCATENATE(B4,"（注册号：",C4,")、",D4,"（注册号：",E4,")")</f>
        <v>（注册号：0)、（注册号：0)</v>
      </c>
      <c r="L4" s="2584"/>
      <c r="M4" s="2584"/>
      <c r="N4" s="2585"/>
      <c r="O4" s="1761"/>
      <c r="P4" s="2585"/>
      <c r="Q4" s="2585"/>
      <c r="R4" s="2585"/>
      <c r="S4" s="1868"/>
      <c r="T4" s="1931"/>
      <c r="U4" s="1931"/>
      <c r="V4" s="1931"/>
      <c r="W4" s="1931"/>
      <c r="X4" s="1931"/>
      <c r="Y4" s="1931"/>
      <c r="Z4" s="1931"/>
      <c r="AA4" s="1931"/>
      <c r="AB4" s="1931"/>
    </row>
    <row r="5" spans="1:28" ht="13.5" thickTop="1">
      <c r="A5" s="2594" t="s">
        <v>2918</v>
      </c>
      <c r="B5" s="2595"/>
      <c r="C5" s="2596"/>
      <c r="D5" s="2597"/>
      <c r="E5" s="2882"/>
      <c r="F5" s="2882"/>
      <c r="G5" s="2882"/>
      <c r="H5" s="2882"/>
      <c r="I5" s="2882"/>
      <c r="J5" s="2656"/>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c r="A6" s="2598" t="s">
        <v>2919</v>
      </c>
      <c r="B6" s="2599"/>
      <c r="C6" s="2600"/>
      <c r="D6" s="2601"/>
      <c r="E6" s="2880"/>
      <c r="F6" s="2882"/>
      <c r="G6" s="2882"/>
      <c r="H6" s="2882"/>
      <c r="I6" s="2882"/>
      <c r="J6" s="2656"/>
      <c r="K6" s="2832" t="str">
        <f>IF(COUNTIF(B6,"*上海银行*"),"上海银行","")</f>
        <v/>
      </c>
      <c r="L6" s="2830"/>
      <c r="M6" s="2830"/>
      <c r="N6" s="2656"/>
      <c r="O6" s="2667"/>
      <c r="P6" s="2656"/>
      <c r="Q6" s="2656"/>
      <c r="R6" s="2656"/>
    </row>
    <row r="7" spans="1:28">
      <c r="A7" s="2598" t="s">
        <v>2920</v>
      </c>
      <c r="B7" s="2602"/>
      <c r="C7" s="2600"/>
      <c r="D7" s="2601"/>
      <c r="E7" s="2880"/>
      <c r="F7" s="2882"/>
      <c r="G7" s="2882"/>
      <c r="H7" s="2882"/>
      <c r="I7" s="2882"/>
      <c r="J7" s="2656"/>
      <c r="K7" s="2833"/>
      <c r="L7" s="2830"/>
      <c r="M7" s="2830"/>
      <c r="N7" s="2656"/>
      <c r="O7" s="2667"/>
      <c r="P7" s="2656"/>
      <c r="Q7" s="2656"/>
      <c r="R7" s="2656"/>
    </row>
    <row r="8" spans="1:28">
      <c r="A8" s="2603" t="s">
        <v>2921</v>
      </c>
      <c r="B8" s="2604" t="s">
        <v>3060</v>
      </c>
      <c r="C8" s="2605"/>
      <c r="D8" s="3128" t="s">
        <v>2922</v>
      </c>
      <c r="E8" s="2606" t="s">
        <v>3061</v>
      </c>
      <c r="F8" s="2607"/>
      <c r="G8" s="2881"/>
      <c r="H8" s="2881"/>
      <c r="I8" s="2881"/>
      <c r="J8" s="2656"/>
      <c r="K8" s="2831"/>
      <c r="L8" s="2830"/>
      <c r="M8" s="2830"/>
      <c r="N8" s="2656"/>
      <c r="O8" s="2667"/>
      <c r="P8" s="2656"/>
      <c r="Q8" s="2656"/>
      <c r="R8" s="2656"/>
    </row>
    <row r="9" spans="1:28" ht="13.5" thickBot="1">
      <c r="A9" s="2608" t="s">
        <v>2923</v>
      </c>
      <c r="B9" s="2609" t="s">
        <v>3061</v>
      </c>
      <c r="C9" s="2610"/>
      <c r="D9" s="3129"/>
      <c r="E9" s="2609" t="s">
        <v>1252</v>
      </c>
      <c r="F9" s="2611"/>
      <c r="G9" s="2883"/>
      <c r="H9" s="2883"/>
      <c r="I9" s="2883"/>
      <c r="J9" s="2656"/>
      <c r="K9" s="2833"/>
      <c r="L9" s="2830"/>
      <c r="M9" s="2830"/>
      <c r="N9" s="2656"/>
      <c r="O9" s="2667"/>
      <c r="P9" s="2656"/>
      <c r="Q9" s="2656"/>
      <c r="R9" s="2656"/>
    </row>
    <row r="10" spans="1:28" ht="13.5" thickTop="1">
      <c r="A10" s="2612" t="s">
        <v>2924</v>
      </c>
      <c r="B10" s="2613" t="s">
        <v>3062</v>
      </c>
      <c r="C10" s="2614"/>
      <c r="D10" s="2597"/>
      <c r="E10" s="2615" t="s">
        <v>2925</v>
      </c>
      <c r="F10" s="2884"/>
      <c r="G10" s="2885"/>
      <c r="H10" s="2886"/>
      <c r="I10" s="2887"/>
      <c r="J10" s="2656"/>
      <c r="K10" s="2833"/>
      <c r="L10" s="2830"/>
      <c r="M10" s="2830"/>
      <c r="N10" s="2656"/>
      <c r="O10" s="2667"/>
      <c r="P10" s="2656"/>
      <c r="Q10" s="2656"/>
      <c r="R10" s="2656"/>
    </row>
    <row r="11" spans="1:28">
      <c r="A11" s="2616" t="s">
        <v>2926</v>
      </c>
      <c r="B11" s="2617" t="s">
        <v>3063</v>
      </c>
      <c r="C11" s="2618"/>
      <c r="D11" s="2619"/>
      <c r="E11" s="2585"/>
      <c r="F11" s="2585"/>
      <c r="G11" s="2585"/>
      <c r="H11" s="2585"/>
      <c r="I11" s="2585"/>
      <c r="J11" s="2656"/>
      <c r="K11" s="2833"/>
      <c r="L11" s="2830"/>
      <c r="M11" s="2830"/>
      <c r="N11" s="2656"/>
      <c r="O11" s="2667"/>
      <c r="P11" s="2656"/>
      <c r="Q11" s="2656"/>
      <c r="R11" s="2656"/>
    </row>
    <row r="12" spans="1:28">
      <c r="A12" s="2620" t="s">
        <v>2927</v>
      </c>
      <c r="B12" s="2617" t="s">
        <v>3064</v>
      </c>
      <c r="C12" s="329" t="s">
        <v>2928</v>
      </c>
      <c r="D12" s="2621" t="s">
        <v>2929</v>
      </c>
      <c r="E12" s="2621" t="s">
        <v>2930</v>
      </c>
      <c r="F12" s="2621" t="s">
        <v>2931</v>
      </c>
      <c r="G12" s="2621" t="s">
        <v>2932</v>
      </c>
      <c r="H12" s="2621" t="s">
        <v>2933</v>
      </c>
      <c r="I12" s="2621" t="s">
        <v>2934</v>
      </c>
      <c r="J12" s="2656"/>
      <c r="K12" s="2833"/>
      <c r="L12" s="2830"/>
      <c r="M12" s="2830"/>
      <c r="N12" s="2656"/>
      <c r="O12" s="2667"/>
      <c r="P12" s="2656"/>
      <c r="Q12" s="2656"/>
      <c r="R12" s="2656"/>
    </row>
    <row r="13" spans="1:28">
      <c r="A13" s="1240"/>
      <c r="B13" s="2622"/>
      <c r="C13" s="2623" t="s">
        <v>2935</v>
      </c>
      <c r="D13" s="965"/>
      <c r="E13" s="965"/>
      <c r="F13" s="965"/>
      <c r="G13" s="965"/>
      <c r="H13" s="965"/>
      <c r="I13" s="965">
        <v>57180</v>
      </c>
      <c r="J13" s="2656"/>
      <c r="K13" s="2833"/>
      <c r="L13" s="2830"/>
      <c r="M13" s="2830"/>
      <c r="N13" s="2656"/>
      <c r="O13" s="2667"/>
      <c r="P13" s="2656"/>
      <c r="Q13" s="2656"/>
      <c r="R13" s="2656"/>
    </row>
    <row r="14" spans="1:28">
      <c r="A14" s="1240"/>
      <c r="B14" s="2622"/>
      <c r="C14" s="2623" t="s">
        <v>2936</v>
      </c>
      <c r="D14" s="2624"/>
      <c r="E14" s="2624"/>
      <c r="F14" s="2624"/>
      <c r="G14" s="2624"/>
      <c r="H14" s="2624"/>
      <c r="I14" s="2624">
        <v>50</v>
      </c>
      <c r="J14" s="2656"/>
      <c r="K14" s="2834"/>
      <c r="L14" s="2830"/>
      <c r="M14" s="2830"/>
      <c r="N14" s="2656"/>
      <c r="O14" s="2667"/>
      <c r="P14" s="2656"/>
      <c r="Q14" s="2656"/>
      <c r="R14" s="2656"/>
    </row>
    <row r="15" spans="1:28">
      <c r="A15" s="326"/>
      <c r="B15" s="2625"/>
      <c r="C15" s="2626" t="s">
        <v>2937</v>
      </c>
      <c r="D15" s="2627" t="str">
        <f>IF(B12="出让",IF(D13="","",ROUNDDOWN(MIN((D13-$D$3)/365,D14),2)),D14)</f>
        <v/>
      </c>
      <c r="E15" s="2627" t="str">
        <f>IF(B12="出让",IF(E13="","",ROUNDDOWN(MIN((E13-$D$3)/365,E14),2)),E14)</f>
        <v/>
      </c>
      <c r="F15" s="2627" t="str">
        <f>IF(B12="出让",IF(F13="","",ROUNDDOWN(MIN((F13-$D$3)/365,F14),2)),F14)</f>
        <v/>
      </c>
      <c r="G15" s="2627" t="str">
        <f>IF(B12="出让",IF(G13="","",ROUNDDOWN(MIN((G13-$D$3)/365,G14),2)),G14)</f>
        <v/>
      </c>
      <c r="H15" s="2627" t="str">
        <f>IF(B12="出让",IF(H13="","",ROUNDDOWN(MIN((H13-$D$3)/365,H14),2)),H14)</f>
        <v/>
      </c>
      <c r="I15" s="2627">
        <f>IF(B12="出让",IF(I13="","",ROUNDDOWN(MIN((I13-$D$3)/365,I14),2)),I14)</f>
        <v>34.520000000000003</v>
      </c>
      <c r="J15" s="2656"/>
      <c r="K15" s="2835"/>
      <c r="L15" s="2668"/>
      <c r="M15" s="2668"/>
      <c r="N15" s="2726"/>
      <c r="O15" s="2668"/>
      <c r="P15" s="2726"/>
      <c r="Q15" s="2656"/>
      <c r="R15" s="2656"/>
    </row>
    <row r="16" spans="1:28">
      <c r="A16" s="2615" t="s">
        <v>2938</v>
      </c>
      <c r="B16" s="3135"/>
      <c r="C16" s="3136"/>
      <c r="D16" s="3137"/>
      <c r="E16" s="2630" t="s">
        <v>2939</v>
      </c>
      <c r="F16" s="3138"/>
      <c r="G16" s="3139"/>
      <c r="H16" s="3139"/>
      <c r="I16" s="3140"/>
      <c r="J16" s="2656"/>
      <c r="K16" s="2835"/>
      <c r="L16" s="2668"/>
      <c r="M16" s="2668"/>
      <c r="N16" s="2726"/>
      <c r="O16" s="2668"/>
      <c r="P16" s="2726"/>
      <c r="Q16" s="2656"/>
      <c r="R16" s="2656"/>
    </row>
    <row r="17" spans="1:28">
      <c r="A17" s="319" t="s">
        <v>2940</v>
      </c>
      <c r="B17" s="308" t="s">
        <v>2941</v>
      </c>
      <c r="C17" s="11">
        <f>'数据-汇总表'!E3</f>
        <v>114107.98000000001</v>
      </c>
      <c r="D17" s="2536" t="s">
        <v>2942</v>
      </c>
      <c r="E17" s="3141" t="s">
        <v>2943</v>
      </c>
      <c r="F17" s="3142"/>
      <c r="G17" s="3142"/>
      <c r="H17" s="3142"/>
      <c r="I17" s="3143"/>
      <c r="J17" s="2656"/>
      <c r="K17" s="2836"/>
      <c r="L17" s="2668"/>
      <c r="M17" s="2668"/>
      <c r="N17" s="2726"/>
      <c r="O17" s="2668"/>
      <c r="P17" s="2726"/>
      <c r="Q17" s="2656"/>
      <c r="R17" s="2656"/>
      <c r="S17" s="2656"/>
      <c r="T17" s="2656"/>
      <c r="U17" s="2656"/>
      <c r="V17" s="2656"/>
    </row>
    <row r="18" spans="1:28" ht="24.75" thickBot="1">
      <c r="A18" s="2631" t="s">
        <v>2944</v>
      </c>
      <c r="B18" s="1249" t="s">
        <v>2945</v>
      </c>
      <c r="C18" s="2632">
        <f>'数据-汇总表'!D3</f>
        <v>236852.67</v>
      </c>
      <c r="D18" s="1251" t="s">
        <v>2946</v>
      </c>
      <c r="E18" s="3144" t="s">
        <v>2947</v>
      </c>
      <c r="F18" s="3145"/>
      <c r="G18" s="3145"/>
      <c r="H18" s="3145"/>
      <c r="I18" s="3146"/>
      <c r="J18" s="2656"/>
      <c r="K18" s="2836"/>
      <c r="L18" s="2668"/>
      <c r="M18" s="2668"/>
      <c r="N18" s="2726"/>
      <c r="O18" s="2668"/>
      <c r="P18" s="2726"/>
      <c r="Q18" s="2656"/>
      <c r="R18" s="2656"/>
      <c r="S18" s="2656"/>
      <c r="T18" s="2656"/>
      <c r="U18" s="2656"/>
      <c r="V18" s="2656"/>
    </row>
    <row r="19" spans="1:28" ht="37.5" thickTop="1" thickBot="1">
      <c r="A19" s="333" t="s">
        <v>1741</v>
      </c>
      <c r="B19" s="313" t="s">
        <v>2948</v>
      </c>
      <c r="C19" s="1748"/>
      <c r="D19" s="1749" t="s">
        <v>2949</v>
      </c>
      <c r="E19" s="1750"/>
      <c r="F19" s="1751" t="str">
        <f>IF(AND(C19="是",E19="否"),"是否提供他项权证或相关说明","")</f>
        <v/>
      </c>
      <c r="G19" s="1752"/>
      <c r="H19" s="2882"/>
      <c r="I19" s="2882"/>
      <c r="J19" s="2656"/>
      <c r="K19" s="2833"/>
      <c r="L19" s="2830"/>
      <c r="M19" s="2830"/>
      <c r="N19" s="2726"/>
      <c r="O19" s="2668"/>
      <c r="P19" s="2726"/>
      <c r="Q19" s="2656"/>
      <c r="R19" s="2656"/>
      <c r="S19" s="2656"/>
      <c r="T19" s="2656"/>
      <c r="U19" s="2656"/>
      <c r="V19" s="2656"/>
    </row>
    <row r="20" spans="1:28">
      <c r="A20" s="2850" t="s">
        <v>2950</v>
      </c>
      <c r="B20" s="3131" t="s">
        <v>2951</v>
      </c>
      <c r="C20" s="3132"/>
      <c r="D20" s="3133" t="s">
        <v>2952</v>
      </c>
      <c r="E20" s="3134"/>
      <c r="F20" s="2865" t="s">
        <v>1742</v>
      </c>
      <c r="G20" s="2882"/>
      <c r="H20" s="2882"/>
      <c r="I20" s="2882"/>
      <c r="J20" s="2656"/>
      <c r="K20" s="3130"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9"/>
      <c r="O20" s="2628"/>
      <c r="P20" s="2629"/>
      <c r="Q20" s="2585"/>
      <c r="R20" s="2585"/>
      <c r="S20" s="2585"/>
      <c r="T20" s="2585"/>
      <c r="U20" s="2585"/>
      <c r="V20" s="2585"/>
      <c r="W20" s="1931"/>
      <c r="X20" s="1931"/>
      <c r="Y20" s="1931"/>
      <c r="Z20" s="1931"/>
      <c r="AA20" s="1931"/>
      <c r="AB20" s="1931"/>
    </row>
    <row r="21" spans="1:28" ht="24.75" thickBot="1">
      <c r="A21" s="2850"/>
      <c r="B21" s="2851" t="s">
        <v>2954</v>
      </c>
      <c r="C21" s="2852" t="s">
        <v>1743</v>
      </c>
      <c r="D21" s="1753" t="s">
        <v>2955</v>
      </c>
      <c r="E21" s="2853" t="s">
        <v>1743</v>
      </c>
      <c r="F21" s="2866"/>
      <c r="G21" s="2882"/>
      <c r="H21" s="2882"/>
      <c r="I21" s="2882"/>
      <c r="J21" s="2656"/>
      <c r="K21" s="313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9"/>
      <c r="O21" s="2628"/>
      <c r="P21" s="2629"/>
      <c r="Q21" s="2585"/>
      <c r="R21" s="2585"/>
      <c r="S21" s="2585"/>
      <c r="T21" s="2585"/>
      <c r="U21" s="2585"/>
      <c r="V21" s="2585"/>
      <c r="W21" s="1931"/>
      <c r="X21" s="1931"/>
      <c r="Y21" s="1931"/>
      <c r="Z21" s="1931"/>
      <c r="AA21" s="1931"/>
      <c r="AB21" s="1931"/>
    </row>
    <row r="22" spans="1:28" ht="24.75" thickBot="1">
      <c r="A22" s="2850"/>
      <c r="B22" s="2854" t="s">
        <v>2956</v>
      </c>
      <c r="C22" s="2852" t="s">
        <v>1744</v>
      </c>
      <c r="D22" s="2881"/>
      <c r="E22" s="2881"/>
      <c r="F22" s="2881"/>
      <c r="G22" s="2882"/>
      <c r="H22" s="2882"/>
      <c r="I22" s="2882"/>
      <c r="J22" s="2656"/>
      <c r="K22" s="313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9"/>
      <c r="O22" s="2628"/>
      <c r="P22" s="2629"/>
      <c r="Q22" s="2585"/>
      <c r="R22" s="2585"/>
      <c r="S22" s="2585"/>
      <c r="T22" s="2585"/>
      <c r="U22" s="2585"/>
      <c r="V22" s="2585"/>
      <c r="W22" s="1931"/>
      <c r="X22" s="1931"/>
      <c r="Y22" s="1931"/>
      <c r="Z22" s="1931"/>
      <c r="AA22" s="1931"/>
      <c r="AB22" s="1931"/>
    </row>
    <row r="23" spans="1:28">
      <c r="A23" s="2855" t="s">
        <v>2957</v>
      </c>
      <c r="B23" s="2719" t="s">
        <v>2958</v>
      </c>
      <c r="C23" s="2856"/>
      <c r="D23" s="2857" t="s">
        <v>2958</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1745</v>
      </c>
      <c r="C24" s="2859"/>
      <c r="D24" s="2855" t="s">
        <v>1745</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1746</v>
      </c>
      <c r="C25" s="2859"/>
      <c r="D25" s="2855" t="s">
        <v>1746</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1747</v>
      </c>
      <c r="C26" s="2863"/>
      <c r="D26" s="2861" t="s">
        <v>1747</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148" t="s">
        <v>2959</v>
      </c>
      <c r="B27" s="326" t="s">
        <v>2960</v>
      </c>
      <c r="C27" s="2633"/>
      <c r="D27" s="2634"/>
      <c r="E27" s="2882"/>
      <c r="F27" s="2882"/>
      <c r="G27" s="2882"/>
      <c r="H27" s="2882"/>
      <c r="I27" s="2882"/>
      <c r="J27" s="2656"/>
      <c r="K27" s="2835"/>
      <c r="L27" s="2668"/>
      <c r="M27" s="2668"/>
      <c r="N27" s="2726"/>
      <c r="O27" s="2668"/>
      <c r="P27" s="2726"/>
      <c r="Q27" s="2656"/>
      <c r="R27" s="2656"/>
      <c r="S27" s="2656"/>
      <c r="T27" s="2656"/>
      <c r="U27" s="2656"/>
      <c r="V27" s="2656"/>
    </row>
    <row r="28" spans="1:28">
      <c r="A28" s="3148"/>
      <c r="B28" s="308" t="s">
        <v>2961</v>
      </c>
      <c r="C28" s="2635"/>
      <c r="D28" s="2636"/>
      <c r="E28" s="2882"/>
      <c r="F28" s="2882"/>
      <c r="G28" s="2882"/>
      <c r="H28" s="2882"/>
      <c r="I28" s="2882"/>
      <c r="J28" s="2656"/>
      <c r="K28" s="2833"/>
      <c r="L28" s="2830"/>
      <c r="M28" s="2830"/>
      <c r="N28" s="2656"/>
      <c r="O28" s="2667"/>
      <c r="P28" s="2656"/>
      <c r="Q28" s="2656"/>
      <c r="R28" s="2656"/>
      <c r="S28" s="2656"/>
      <c r="T28" s="2656"/>
      <c r="U28" s="2656"/>
      <c r="V28" s="2656"/>
    </row>
    <row r="29" spans="1:28">
      <c r="A29" s="3148"/>
      <c r="B29" s="308" t="s">
        <v>2962</v>
      </c>
      <c r="C29" s="2637"/>
      <c r="D29" s="2638"/>
      <c r="E29" s="2882"/>
      <c r="F29" s="2882"/>
      <c r="G29" s="2882"/>
      <c r="H29" s="2882"/>
      <c r="I29" s="2882"/>
      <c r="J29" s="2656"/>
      <c r="K29" s="2833"/>
      <c r="L29" s="2830"/>
      <c r="M29" s="2830"/>
      <c r="N29" s="2656"/>
      <c r="O29" s="2667"/>
      <c r="P29" s="2656"/>
      <c r="Q29" s="2656"/>
      <c r="R29" s="2656"/>
      <c r="S29" s="2656"/>
      <c r="T29" s="2656"/>
      <c r="U29" s="2656"/>
      <c r="V29" s="2656"/>
    </row>
    <row r="30" spans="1:28">
      <c r="A30" s="3149"/>
      <c r="B30" s="308" t="s">
        <v>2963</v>
      </c>
      <c r="C30" s="3150"/>
      <c r="D30" s="3151"/>
      <c r="E30" s="2882"/>
      <c r="F30" s="2882"/>
      <c r="G30" s="2882"/>
      <c r="H30" s="2882"/>
      <c r="I30" s="2882"/>
      <c r="J30" s="2656"/>
      <c r="K30" s="2833"/>
      <c r="L30" s="2830"/>
      <c r="M30" s="2830"/>
      <c r="N30" s="2656"/>
      <c r="O30" s="2667"/>
      <c r="P30" s="2656"/>
      <c r="Q30" s="2656"/>
      <c r="R30" s="2656"/>
      <c r="S30" s="2656"/>
      <c r="T30" s="2656"/>
      <c r="U30" s="2656"/>
      <c r="V30" s="2656"/>
    </row>
    <row r="31" spans="1:28">
      <c r="A31" s="3152" t="s">
        <v>2964</v>
      </c>
      <c r="B31" s="2639"/>
      <c r="C31" s="2537" t="str">
        <f>IF(B31="现房","成新及维护状况正常否",IF(B31="在建","工程状态是否正常",IF(B31="土地","是否闲置","-")))</f>
        <v>-</v>
      </c>
      <c r="D31" s="1557"/>
      <c r="E31" s="2640"/>
      <c r="F31" s="2882"/>
      <c r="G31" s="2882"/>
      <c r="H31" s="2882"/>
      <c r="I31" s="2882"/>
      <c r="J31" s="2656"/>
      <c r="K31" s="2832"/>
      <c r="L31" s="2830"/>
      <c r="M31" s="2830"/>
      <c r="N31" s="2656"/>
      <c r="O31" s="2667"/>
      <c r="P31" s="2656"/>
      <c r="Q31" s="2656"/>
      <c r="R31" s="2656"/>
      <c r="S31" s="2656"/>
      <c r="T31" s="2656"/>
      <c r="U31" s="2656"/>
      <c r="V31" s="2656"/>
    </row>
    <row r="32" spans="1:28">
      <c r="A32" s="3153"/>
      <c r="B32" s="2639"/>
      <c r="C32" s="2537" t="str">
        <f>IF(B32="现房","成新及维护状况是否正常",IF(B32="在建","工程状态是否正常",IF(B32="土地","是否闲置","-")))</f>
        <v>-</v>
      </c>
      <c r="D32" s="1557"/>
      <c r="E32" s="2640"/>
      <c r="F32" s="2882"/>
      <c r="G32" s="2882"/>
      <c r="H32" s="2882"/>
      <c r="I32" s="2882"/>
      <c r="J32" s="2656"/>
      <c r="K32" s="2833"/>
      <c r="L32" s="2830"/>
      <c r="M32" s="2830"/>
      <c r="N32" s="2656"/>
      <c r="O32" s="2667"/>
      <c r="P32" s="2656"/>
      <c r="Q32" s="2656"/>
      <c r="R32" s="2656"/>
      <c r="S32" s="2656"/>
      <c r="T32" s="2656"/>
      <c r="U32" s="2656"/>
      <c r="V32" s="2656"/>
    </row>
    <row r="33" spans="1:30">
      <c r="A33" s="3153"/>
      <c r="B33" s="2642"/>
      <c r="C33" s="1775" t="str">
        <f>IF(B33="现房","成新及维护状况是否正常",IF(B33="在建","工程状态是否正常",IF(B33="土地","是否闲置","-")))</f>
        <v>-</v>
      </c>
      <c r="D33" s="1549"/>
      <c r="E33" s="2643"/>
      <c r="F33" s="2882"/>
      <c r="G33" s="2882"/>
      <c r="H33" s="2882"/>
      <c r="I33" s="2882"/>
      <c r="J33" s="2656"/>
      <c r="K33" s="2833"/>
      <c r="L33" s="2830"/>
      <c r="M33" s="2830"/>
      <c r="N33" s="2656"/>
      <c r="O33" s="2667"/>
      <c r="P33" s="2656"/>
      <c r="Q33" s="2656"/>
      <c r="R33" s="2656"/>
      <c r="S33" s="2656"/>
      <c r="T33" s="2656"/>
      <c r="U33" s="2656"/>
      <c r="V33" s="2656"/>
    </row>
    <row r="34" spans="1:30">
      <c r="A34" s="308" t="s">
        <v>2965</v>
      </c>
      <c r="B34" s="2214" t="s">
        <v>3065</v>
      </c>
      <c r="C34" s="2214" t="s">
        <v>3066</v>
      </c>
      <c r="D34" s="2214" t="s">
        <v>3067</v>
      </c>
      <c r="E34" s="2214" t="s">
        <v>3068</v>
      </c>
      <c r="F34" s="2214" t="s">
        <v>3069</v>
      </c>
      <c r="G34" s="2214" t="s">
        <v>70</v>
      </c>
      <c r="H34" s="2214" t="s">
        <v>70</v>
      </c>
      <c r="I34" s="2882"/>
      <c r="J34" s="2656"/>
      <c r="K34" s="2644">
        <f>COUNTIF(B34:H34,"——")</f>
        <v>2</v>
      </c>
      <c r="L34" s="329" t="s">
        <v>2966</v>
      </c>
      <c r="M34" s="329" t="s">
        <v>2967</v>
      </c>
      <c r="N34" s="329" t="s">
        <v>2968</v>
      </c>
      <c r="O34" s="329" t="s">
        <v>2969</v>
      </c>
      <c r="P34" s="329" t="s">
        <v>2970</v>
      </c>
      <c r="Q34" s="329" t="s">
        <v>2971</v>
      </c>
      <c r="R34" s="329" t="s">
        <v>2972</v>
      </c>
      <c r="S34" s="3147" t="s">
        <v>2973</v>
      </c>
      <c r="T34" s="2645" t="str">
        <f>NUMBERSTRING(7-K34,1)&amp;"通"</f>
        <v>五通</v>
      </c>
      <c r="U34" s="2656"/>
      <c r="V34" s="2656"/>
    </row>
    <row r="35" spans="1:30">
      <c r="A35" s="2646"/>
      <c r="B35" s="3154" t="s">
        <v>2974</v>
      </c>
      <c r="C35" s="3154"/>
      <c r="D35" s="3154"/>
      <c r="E35" s="3154"/>
      <c r="F35" s="673">
        <f>C10</f>
        <v>0</v>
      </c>
      <c r="G35" s="2882"/>
      <c r="H35" s="2882"/>
      <c r="I35" s="2882"/>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47"/>
      <c r="T35" s="335" t="str">
        <f>IF(T34="一通",L35,IF(T34="二通",M35,IF(T34="三通",N35,IF(T34="四通",O35,IF(T34="五通",P35,IF(T34="六通",Q35,R35))))))</f>
        <v>通路、通电、通讯、通上水、通下水</v>
      </c>
      <c r="U35" s="2656"/>
      <c r="V35" s="2656"/>
    </row>
    <row r="36" spans="1:30">
      <c r="A36" s="2647"/>
      <c r="B36" s="673" t="s">
        <v>2930</v>
      </c>
      <c r="C36" s="673" t="s">
        <v>2931</v>
      </c>
      <c r="D36" s="673" t="s">
        <v>2929</v>
      </c>
      <c r="E36" s="673" t="s">
        <v>2934</v>
      </c>
      <c r="F36" s="2888"/>
      <c r="G36" s="2882"/>
      <c r="H36" s="2882"/>
      <c r="I36" s="2882"/>
      <c r="J36" s="2656"/>
      <c r="K36" s="2833"/>
      <c r="L36" s="2830"/>
      <c r="M36" s="2830"/>
      <c r="N36" s="2656"/>
      <c r="O36" s="2667"/>
      <c r="P36" s="2656"/>
      <c r="Q36" s="2656"/>
      <c r="R36" s="2656"/>
      <c r="S36" s="2656"/>
      <c r="T36" s="2656"/>
      <c r="U36" s="2656"/>
      <c r="V36" s="2656"/>
    </row>
    <row r="37" spans="1:30">
      <c r="A37" s="2848" t="s">
        <v>2975</v>
      </c>
      <c r="B37" s="2648"/>
      <c r="C37" s="2648"/>
      <c r="D37" s="2648"/>
      <c r="E37" s="2648" t="s">
        <v>526</v>
      </c>
      <c r="F37" s="2888"/>
      <c r="G37" s="2882"/>
      <c r="H37" s="2882"/>
      <c r="I37" s="2882"/>
      <c r="J37" s="2656"/>
      <c r="K37" s="2833"/>
      <c r="L37" s="2830"/>
      <c r="M37" s="2830"/>
      <c r="N37" s="2656"/>
      <c r="O37" s="2667"/>
      <c r="P37" s="2656"/>
      <c r="Q37" s="2656"/>
      <c r="R37" s="2656"/>
      <c r="S37" s="2656"/>
      <c r="T37" s="2656"/>
      <c r="U37" s="2656"/>
      <c r="V37" s="2656"/>
    </row>
    <row r="38" spans="1:30" ht="13.5" thickBot="1">
      <c r="A38" s="2849" t="s">
        <v>2976</v>
      </c>
      <c r="B38" s="2649"/>
      <c r="C38" s="2649"/>
      <c r="D38" s="2649"/>
      <c r="E38" s="2649" t="s">
        <v>378</v>
      </c>
      <c r="F38" s="2889"/>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2977</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5"/>
      <c r="B40" s="2585"/>
      <c r="C40" s="2585"/>
      <c r="D40" s="2585"/>
      <c r="E40" s="2585"/>
      <c r="F40" s="2585"/>
      <c r="G40" s="2585"/>
      <c r="H40" s="2585"/>
      <c r="I40" s="1763"/>
      <c r="J40" s="2726"/>
      <c r="K40" s="2832"/>
      <c r="L40" s="2668"/>
      <c r="M40" s="2668"/>
      <c r="N40" s="2726"/>
      <c r="O40" s="2668"/>
      <c r="P40" s="2656"/>
      <c r="Q40" s="2656"/>
      <c r="R40" s="2656"/>
      <c r="S40" s="2656"/>
      <c r="T40" s="2656"/>
      <c r="U40" s="2656"/>
      <c r="V40" s="2656"/>
    </row>
    <row r="41" spans="1:30">
      <c r="A41" s="2653" t="s">
        <v>2978</v>
      </c>
      <c r="B41" s="1943"/>
      <c r="C41" s="1557"/>
      <c r="D41" s="2585"/>
      <c r="E41" s="2585"/>
      <c r="F41" s="2585"/>
      <c r="G41" s="2585"/>
      <c r="H41" s="2585"/>
      <c r="I41" s="1761"/>
      <c r="J41" s="2656"/>
      <c r="K41" s="2833"/>
      <c r="L41" s="2830"/>
      <c r="M41" s="2830"/>
      <c r="N41" s="2656"/>
      <c r="O41" s="2667"/>
      <c r="P41" s="2656"/>
      <c r="Q41" s="2656"/>
      <c r="R41" s="2656"/>
      <c r="S41" s="2656"/>
      <c r="T41" s="2656"/>
      <c r="U41" s="2656"/>
      <c r="V41" s="2656"/>
    </row>
    <row r="42" spans="1:30" ht="25.5">
      <c r="A42" s="329" t="s">
        <v>2979</v>
      </c>
      <c r="B42" s="11" t="s">
        <v>2980</v>
      </c>
      <c r="C42" s="11" t="s">
        <v>2981</v>
      </c>
      <c r="D42" s="11" t="s">
        <v>2982</v>
      </c>
      <c r="E42" s="11" t="s">
        <v>2983</v>
      </c>
      <c r="F42" s="11" t="s">
        <v>2984</v>
      </c>
      <c r="G42" s="11" t="s">
        <v>2985</v>
      </c>
      <c r="H42" s="11" t="s">
        <v>2986</v>
      </c>
      <c r="I42" s="11" t="s">
        <v>2987</v>
      </c>
      <c r="J42" s="2844" t="s">
        <v>2988</v>
      </c>
      <c r="K42" s="2845" t="s">
        <v>2989</v>
      </c>
      <c r="L42" s="2845" t="s">
        <v>2990</v>
      </c>
      <c r="M42" s="2845" t="s">
        <v>2991</v>
      </c>
      <c r="N42" s="2838" t="s">
        <v>2992</v>
      </c>
      <c r="O42" s="2838" t="s">
        <v>2993</v>
      </c>
      <c r="P42" s="2838" t="s">
        <v>2994</v>
      </c>
      <c r="Q42" s="2839" t="s">
        <v>2995</v>
      </c>
      <c r="R42" s="2839" t="s">
        <v>2996</v>
      </c>
      <c r="S42" s="2656"/>
      <c r="T42" s="2656"/>
      <c r="U42" s="2656"/>
      <c r="V42" s="2656"/>
    </row>
    <row r="43" spans="1:30" s="1929" customFormat="1">
      <c r="A43" s="1755"/>
      <c r="B43" s="1182"/>
      <c r="C43" s="1182"/>
      <c r="D43" s="1182"/>
      <c r="E43" s="1182"/>
      <c r="F43" s="1182"/>
      <c r="G43" s="1182"/>
      <c r="H43" s="1182"/>
      <c r="I43" s="1182"/>
      <c r="J43" s="2654"/>
      <c r="K43" s="2655"/>
      <c r="L43" s="2655"/>
      <c r="M43" s="1182"/>
      <c r="N43" s="1182"/>
      <c r="O43" s="1182"/>
      <c r="P43" s="1182"/>
      <c r="Q43" s="1182"/>
      <c r="R43" s="1182"/>
      <c r="S43" s="2656"/>
      <c r="T43" s="2656"/>
      <c r="U43" s="2656"/>
      <c r="V43" s="2656"/>
    </row>
    <row r="44" spans="1:30" s="1929" customFormat="1">
      <c r="A44" s="1755"/>
      <c r="B44" s="1755"/>
      <c r="C44" s="1182"/>
      <c r="D44" s="1182"/>
      <c r="E44" s="1182"/>
      <c r="F44" s="1182"/>
      <c r="G44" s="1182"/>
      <c r="H44" s="1182"/>
      <c r="I44" s="1182"/>
      <c r="J44" s="2654"/>
      <c r="K44" s="2655"/>
      <c r="L44" s="2655"/>
      <c r="M44" s="1182"/>
      <c r="N44" s="1182"/>
      <c r="O44" s="1182"/>
      <c r="P44" s="1182"/>
      <c r="Q44" s="1182"/>
      <c r="R44" s="1182"/>
      <c r="S44" s="2656"/>
      <c r="T44" s="2656"/>
      <c r="U44" s="2656"/>
      <c r="V44" s="2656"/>
    </row>
    <row r="45" spans="1:30" s="1929" customFormat="1">
      <c r="A45" s="1755"/>
      <c r="B45" s="1755"/>
      <c r="C45" s="1182"/>
      <c r="D45" s="1182"/>
      <c r="E45" s="1182"/>
      <c r="F45" s="1182"/>
      <c r="G45" s="1182"/>
      <c r="H45" s="1182"/>
      <c r="I45" s="1182"/>
      <c r="J45" s="2654"/>
      <c r="K45" s="2655"/>
      <c r="L45" s="2655"/>
      <c r="M45" s="1182"/>
      <c r="N45" s="1182"/>
      <c r="O45" s="1182"/>
      <c r="P45" s="1182"/>
      <c r="Q45" s="1182"/>
      <c r="R45" s="1182"/>
      <c r="S45" s="2656"/>
      <c r="T45" s="2656"/>
      <c r="U45" s="2656"/>
      <c r="V45" s="2656"/>
    </row>
    <row r="46" spans="1:30" s="1929" customFormat="1">
      <c r="A46" s="1755"/>
      <c r="B46" s="1755"/>
      <c r="C46" s="1182"/>
      <c r="D46" s="1182"/>
      <c r="E46" s="1182"/>
      <c r="F46" s="1182"/>
      <c r="G46" s="1182"/>
      <c r="H46" s="1182"/>
      <c r="I46" s="1182"/>
      <c r="J46" s="2654"/>
      <c r="K46" s="2655"/>
      <c r="L46" s="2655"/>
      <c r="M46" s="1182"/>
      <c r="N46" s="1182"/>
      <c r="O46" s="1182"/>
      <c r="P46" s="1182"/>
      <c r="Q46" s="1182"/>
      <c r="R46" s="1182"/>
      <c r="S46" s="2656"/>
      <c r="T46" s="2656"/>
      <c r="U46" s="2656"/>
      <c r="V46" s="2656"/>
    </row>
    <row r="47" spans="1:30" s="1929" customFormat="1">
      <c r="A47" s="1755"/>
      <c r="B47" s="1755"/>
      <c r="C47" s="1182"/>
      <c r="D47" s="1182"/>
      <c r="E47" s="1182"/>
      <c r="F47" s="1182"/>
      <c r="G47" s="1182"/>
      <c r="H47" s="1182"/>
      <c r="I47" s="1182"/>
      <c r="J47" s="2654"/>
      <c r="K47" s="2655"/>
      <c r="L47" s="2655"/>
      <c r="M47" s="1182"/>
      <c r="N47" s="1182"/>
      <c r="O47" s="1182"/>
      <c r="P47" s="1182"/>
      <c r="Q47" s="1182"/>
      <c r="R47" s="1182"/>
      <c r="S47" s="2656"/>
      <c r="T47" s="2656"/>
      <c r="U47" s="2656"/>
      <c r="V47" s="2656"/>
    </row>
    <row r="48" spans="1:30" s="1929" customFormat="1">
      <c r="A48" s="1755"/>
      <c r="B48" s="1755"/>
      <c r="C48" s="1182"/>
      <c r="D48" s="1182"/>
      <c r="E48" s="1182"/>
      <c r="F48" s="1182"/>
      <c r="G48" s="1182"/>
      <c r="H48" s="1182"/>
      <c r="I48" s="1182"/>
      <c r="J48" s="2654"/>
      <c r="K48" s="2655"/>
      <c r="L48" s="2655"/>
      <c r="M48" s="1182"/>
      <c r="N48" s="1182"/>
      <c r="O48" s="1182"/>
      <c r="P48" s="1182"/>
      <c r="Q48" s="1182"/>
      <c r="R48" s="1182"/>
      <c r="S48" s="2656"/>
      <c r="T48" s="2656"/>
      <c r="U48" s="2656"/>
      <c r="V48" s="2656"/>
    </row>
    <row r="49" spans="1:22" s="1929" customFormat="1">
      <c r="A49" s="1755"/>
      <c r="B49" s="1755"/>
      <c r="C49" s="1182"/>
      <c r="D49" s="1182"/>
      <c r="E49" s="1182"/>
      <c r="F49" s="1182"/>
      <c r="G49" s="1182"/>
      <c r="H49" s="1182"/>
      <c r="I49" s="1182"/>
      <c r="J49" s="2654"/>
      <c r="K49" s="2655"/>
      <c r="L49" s="2655"/>
      <c r="M49" s="1182"/>
      <c r="N49" s="1182"/>
      <c r="O49" s="1182"/>
      <c r="P49" s="1182"/>
      <c r="Q49" s="1182"/>
      <c r="R49" s="1182"/>
      <c r="S49" s="2656"/>
      <c r="T49" s="2656"/>
      <c r="U49" s="2656"/>
      <c r="V49" s="2656"/>
    </row>
    <row r="50" spans="1:22" s="1929" customFormat="1">
      <c r="A50" s="1755"/>
      <c r="B50" s="1755"/>
      <c r="C50" s="1182"/>
      <c r="D50" s="1182"/>
      <c r="E50" s="1182"/>
      <c r="F50" s="1182"/>
      <c r="G50" s="1182"/>
      <c r="H50" s="1182"/>
      <c r="I50" s="1182"/>
      <c r="J50" s="2654"/>
      <c r="K50" s="2655"/>
      <c r="L50" s="2655"/>
      <c r="M50" s="1182"/>
      <c r="N50" s="1182"/>
      <c r="O50" s="1182"/>
      <c r="P50" s="1182"/>
      <c r="Q50" s="1182"/>
      <c r="R50" s="1182"/>
      <c r="S50" s="2656"/>
      <c r="T50" s="2656"/>
      <c r="U50" s="2656"/>
      <c r="V50" s="2656"/>
    </row>
    <row r="51" spans="1:22" s="1929" customFormat="1">
      <c r="A51" s="1755"/>
      <c r="B51" s="1755"/>
      <c r="C51" s="1182"/>
      <c r="D51" s="1182"/>
      <c r="E51" s="1182"/>
      <c r="F51" s="1182"/>
      <c r="G51" s="1182"/>
      <c r="H51" s="1182"/>
      <c r="I51" s="1182"/>
      <c r="J51" s="2654"/>
      <c r="K51" s="2655"/>
      <c r="L51" s="2655"/>
      <c r="M51" s="1182"/>
      <c r="N51" s="1182"/>
      <c r="O51" s="1182"/>
      <c r="P51" s="1182"/>
      <c r="Q51" s="1182"/>
      <c r="R51" s="1182"/>
    </row>
    <row r="52" spans="1:22" s="1929" customFormat="1">
      <c r="A52" s="1755"/>
      <c r="B52" s="1755"/>
      <c r="C52" s="1755"/>
      <c r="D52" s="1755"/>
      <c r="E52" s="1755"/>
      <c r="F52" s="1182"/>
      <c r="G52" s="1755"/>
      <c r="H52" s="1755"/>
      <c r="I52" s="1755"/>
      <c r="J52" s="2657"/>
      <c r="K52" s="2655"/>
      <c r="L52" s="2655"/>
      <c r="M52" s="2655"/>
      <c r="N52" s="1755"/>
      <c r="O52" s="1755"/>
      <c r="P52" s="1755"/>
      <c r="Q52" s="1755"/>
      <c r="R52" s="1755"/>
    </row>
    <row r="53" spans="1:22" s="1929" customFormat="1">
      <c r="A53" s="1755"/>
      <c r="B53" s="1755"/>
      <c r="C53" s="1755"/>
      <c r="D53" s="1755"/>
      <c r="E53" s="1755"/>
      <c r="F53" s="1182"/>
      <c r="G53" s="1755"/>
      <c r="H53" s="1755"/>
      <c r="I53" s="1755"/>
      <c r="J53" s="2657"/>
      <c r="K53" s="2655"/>
      <c r="L53" s="2655"/>
      <c r="M53" s="2655"/>
      <c r="N53" s="1755"/>
      <c r="O53" s="1755"/>
      <c r="P53" s="1755"/>
      <c r="Q53" s="1755"/>
      <c r="R53" s="1755"/>
    </row>
    <row r="54" spans="1:22" s="1929" customFormat="1">
      <c r="A54" s="1755"/>
      <c r="B54" s="1755"/>
      <c r="C54" s="1755"/>
      <c r="D54" s="1755"/>
      <c r="E54" s="1755"/>
      <c r="F54" s="1182"/>
      <c r="G54" s="1755"/>
      <c r="H54" s="1755"/>
      <c r="I54" s="1755"/>
      <c r="J54" s="2657"/>
      <c r="K54" s="2655"/>
      <c r="L54" s="2655"/>
      <c r="M54" s="2655"/>
      <c r="N54" s="1755"/>
      <c r="O54" s="1755"/>
      <c r="P54" s="1755"/>
      <c r="Q54" s="1755"/>
      <c r="R54" s="1755"/>
    </row>
    <row r="55" spans="1:22" s="1929" customFormat="1">
      <c r="A55" s="1755"/>
      <c r="B55" s="1755"/>
      <c r="C55" s="1755"/>
      <c r="D55" s="1755"/>
      <c r="E55" s="1755"/>
      <c r="F55" s="1182"/>
      <c r="G55" s="1755"/>
      <c r="H55" s="1755"/>
      <c r="I55" s="1755"/>
      <c r="J55" s="2657"/>
      <c r="K55" s="2655"/>
      <c r="L55" s="2655"/>
      <c r="M55" s="2655"/>
      <c r="N55" s="1755"/>
      <c r="O55" s="1755"/>
      <c r="P55" s="1755"/>
      <c r="Q55" s="1755"/>
      <c r="R55" s="1755"/>
    </row>
    <row r="56" spans="1:22" s="1929" customFormat="1">
      <c r="A56" s="1755"/>
      <c r="B56" s="1755"/>
      <c r="C56" s="1755"/>
      <c r="D56" s="1755"/>
      <c r="E56" s="1755"/>
      <c r="F56" s="1182"/>
      <c r="G56" s="1755"/>
      <c r="H56" s="1755"/>
      <c r="I56" s="1755"/>
      <c r="J56" s="2657"/>
      <c r="K56" s="2655"/>
      <c r="L56" s="2655"/>
      <c r="M56" s="2655"/>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111551.34+125301.33</f>
        <v>236852.66999999998</v>
      </c>
      <c r="B3" s="14">
        <f>IF(C3="否",G5-AT5,G5)</f>
        <v>114107.98000000001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114107.98000000001</v>
      </c>
      <c r="H5" s="16">
        <f t="shared" ref="H5:AT5" si="0">SUM(H13:H656)</f>
        <v>114107.98000000001</v>
      </c>
      <c r="I5" s="16">
        <f t="shared" si="0"/>
        <v>114107.98000000001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114107.98000000001</v>
      </c>
      <c r="BA5" s="18">
        <f t="shared" si="1"/>
        <v>114107.98000000001</v>
      </c>
      <c r="BB5" s="18">
        <f t="shared" si="1"/>
        <v>114107.98000000001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236852.67</v>
      </c>
      <c r="F6" s="16" t="s">
        <v>1</v>
      </c>
      <c r="G6" s="16" t="s">
        <v>2</v>
      </c>
      <c r="H6" s="20">
        <f>SUMIF(I$12:AB$12,"总值",I6:AB6)</f>
        <v>236852.67</v>
      </c>
      <c r="I6" s="16">
        <f t="shared" ref="I6:AB6" si="2">ROUND($A$3*I5/$B$3,2)</f>
        <v>236852.67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236852.67</v>
      </c>
      <c r="AZ6" s="16" t="s">
        <v>3</v>
      </c>
      <c r="BA6" s="16">
        <f>ROUND($AY$6*BA5/$AZ$5,2)</f>
        <v>236852.67</v>
      </c>
      <c r="BB6" s="16">
        <f>ROUND($AY$6*BB5/$AZ$5,2)</f>
        <v>236852.67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3112</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3113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仓储</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2"/>
      <c r="B13" s="1182" t="s">
        <v>3110</v>
      </c>
      <c r="C13" s="1182" t="s">
        <v>3114</v>
      </c>
      <c r="D13" s="1810" t="s">
        <v>3109</v>
      </c>
      <c r="E13" s="16">
        <f>IF($C$3="是",ROUND($A$3*G13/$B$3,2),ROUND($A$3*(G13-AT13)/$B$3,2))</f>
        <v>123966.83</v>
      </c>
      <c r="F13" s="32"/>
      <c r="G13" s="33">
        <f>H13+AC13+AT13</f>
        <v>59723.22</v>
      </c>
      <c r="H13" s="20">
        <f>SUMIF(I$12:AB$12,"总值",I13:AB13)</f>
        <v>59723.22</v>
      </c>
      <c r="I13" s="1811">
        <f>面积表!G3</f>
        <v>59723.22</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t="str">
        <f t="shared" si="6"/>
        <v>BGS</v>
      </c>
      <c r="AX13" s="11" t="str">
        <f t="shared" si="6"/>
        <v>A103、A104、办公楼</v>
      </c>
      <c r="AY13" s="1533">
        <f>ROUND($AY$6*AZ13/$AZ$5,2)</f>
        <v>123966.83</v>
      </c>
      <c r="AZ13" s="16">
        <f>BA13+BL13</f>
        <v>59723.22</v>
      </c>
      <c r="BA13" s="16">
        <f>SUM(BB13:BK13)</f>
        <v>59723.22</v>
      </c>
      <c r="BB13" s="16">
        <f>IF($D13="是",I13-J13,0)</f>
        <v>59723.22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t="s">
        <v>3110</v>
      </c>
      <c r="C14" s="1182" t="str">
        <f>面积表!D6</f>
        <v>A105</v>
      </c>
      <c r="D14" s="1810" t="s">
        <v>3109</v>
      </c>
      <c r="E14" s="16">
        <f>IF($C$3="是",ROUND($A$3*G14/$B$3,2),ROUND($A$3*(G14-AT14)/$B$3,2))</f>
        <v>1334.5</v>
      </c>
      <c r="F14" s="32"/>
      <c r="G14" s="33">
        <f>H14+AC14+AT14</f>
        <v>642.91999999999996</v>
      </c>
      <c r="H14" s="20">
        <f>SUMIF(I$12:AB$12,"总值",I14:AB14)</f>
        <v>642.91999999999996</v>
      </c>
      <c r="I14" s="1811">
        <f>面积表!G6</f>
        <v>642.91999999999996</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t="str">
        <f t="shared" si="6"/>
        <v>BGS</v>
      </c>
      <c r="AX14" s="11" t="str">
        <f t="shared" si="6"/>
        <v>A105</v>
      </c>
      <c r="AY14" s="1533">
        <f>ROUND($AY$6*AZ14/$AZ$5,2)</f>
        <v>1334.5</v>
      </c>
      <c r="AZ14" s="16">
        <f>BA14+BL14</f>
        <v>642.91999999999996</v>
      </c>
      <c r="BA14" s="16">
        <f>SUM(BB14:BK14)</f>
        <v>642.91999999999996</v>
      </c>
      <c r="BB14" s="16">
        <f>IF($D14="是",I14-J14,0)</f>
        <v>642.91999999999996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7.75" customHeight="1">
      <c r="A15" s="1182"/>
      <c r="B15" s="3051" t="s">
        <v>3111</v>
      </c>
      <c r="C15" s="1182" t="str">
        <f>面积表!D7</f>
        <v>1#快件中心（A203）</v>
      </c>
      <c r="D15" s="1810" t="s">
        <v>3109</v>
      </c>
      <c r="E15" s="16">
        <f>IF($C$3="是",ROUND($A$3*G15/$B$3,2),ROUND($A$3*(G15-AT15)/$B$3,2))</f>
        <v>56652.69</v>
      </c>
      <c r="F15" s="32"/>
      <c r="G15" s="33">
        <f>H15+AC15+AT15</f>
        <v>27293.439999999999</v>
      </c>
      <c r="H15" s="20">
        <f>SUMIF(I$12:AB$12,"总值",I15:AB15)</f>
        <v>27293.439999999999</v>
      </c>
      <c r="I15" s="1811">
        <f>面积表!G7</f>
        <v>27293.439999999999</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t="str">
        <f t="shared" si="6"/>
        <v>快件中心</v>
      </c>
      <c r="AX15" s="11" t="str">
        <f t="shared" si="6"/>
        <v>1#快件中心（A203）</v>
      </c>
      <c r="AY15" s="1533">
        <f>ROUND($AY$6*AZ15/$AZ$5,2)</f>
        <v>56652.69</v>
      </c>
      <c r="AZ15" s="16">
        <f>BA15+BL15</f>
        <v>27293.439999999999</v>
      </c>
      <c r="BA15" s="16">
        <f>SUM(BB15:BK15)</f>
        <v>27293.439999999999</v>
      </c>
      <c r="BB15" s="16">
        <f>IF($D15="是",I15-J15,0)</f>
        <v>27293.439999999999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43.5" customHeight="1">
      <c r="A16" s="1182"/>
      <c r="B16" s="3051" t="s">
        <v>3111</v>
      </c>
      <c r="C16" s="1182" t="str">
        <f>面积表!D8</f>
        <v>2#快件中心及综合办公楼（A204）</v>
      </c>
      <c r="D16" s="1810" t="s">
        <v>3109</v>
      </c>
      <c r="E16" s="16">
        <f>IF($C$3="是",ROUND($A$3*G16/$B$3,2),ROUND($A$3*(G16-AT16)/$B$3,2))</f>
        <v>54898.65</v>
      </c>
      <c r="F16" s="32"/>
      <c r="G16" s="33">
        <f>H16+AC16+AT16</f>
        <v>26448.400000000001</v>
      </c>
      <c r="H16" s="20">
        <f>SUMIF(I$12:AB$12,"总值",I16:AB16)</f>
        <v>26448.400000000001</v>
      </c>
      <c r="I16" s="1811">
        <f>面积表!G8</f>
        <v>26448.400000000001</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t="str">
        <f t="shared" si="6"/>
        <v>快件中心</v>
      </c>
      <c r="AX16" s="11" t="str">
        <f t="shared" si="6"/>
        <v>2#快件中心及综合办公楼（A204）</v>
      </c>
      <c r="AY16" s="1533">
        <f>ROUND($AY$6*AZ16/$AZ$5,2)</f>
        <v>54898.65</v>
      </c>
      <c r="AZ16" s="16">
        <f>BA16+BL16</f>
        <v>26448.400000000001</v>
      </c>
      <c r="BA16" s="16">
        <f>SUM(BB16:BK16)</f>
        <v>26448.400000000001</v>
      </c>
      <c r="BB16" s="16">
        <f>IF($D16="是",I16-J16,0)</f>
        <v>26448.400000000001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7" customHeight="1">
      <c r="A17" s="1182"/>
      <c r="B17" s="3051"/>
      <c r="C17" s="1182"/>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7.25" customHeight="1">
      <c r="A18" s="9"/>
      <c r="B18" s="3051"/>
      <c r="C18" s="1182"/>
      <c r="D18" s="1810"/>
      <c r="E18" s="35">
        <f t="shared" ref="E18:E112" si="7">IF($C$3="是",ROUND($A$3*G18/$B$3,2),ROUND($A$3*(G18-AT18)/$B$3,2))</f>
        <v>0</v>
      </c>
      <c r="F18" s="36"/>
      <c r="G18" s="37">
        <f t="shared" ref="G18:G109" si="8">H18+AC18+AT18</f>
        <v>0</v>
      </c>
      <c r="H18" s="38">
        <f t="shared" ref="H18:H109" si="9">SUMIF(I$12:AB$12,"总值",I18:AB18)</f>
        <v>0</v>
      </c>
      <c r="I18" s="181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9"/>
  <sheetViews>
    <sheetView workbookViewId="0">
      <selection activeCell="I29" sqref="I29"/>
    </sheetView>
  </sheetViews>
  <sheetFormatPr defaultRowHeight="13.5"/>
  <cols>
    <col min="1" max="1" width="17" customWidth="1"/>
    <col min="2" max="2" width="10.875" customWidth="1"/>
    <col min="3" max="3" width="11.625" customWidth="1"/>
    <col min="4" max="4" width="24.875" customWidth="1"/>
    <col min="5" max="5" width="14" customWidth="1"/>
    <col min="6" max="6" width="13.375" customWidth="1"/>
    <col min="7" max="7" width="14" customWidth="1"/>
    <col min="8" max="8" width="21.25" customWidth="1"/>
    <col min="9" max="9" width="13.875" bestFit="1" customWidth="1"/>
    <col min="10" max="10" width="12.75" bestFit="1" customWidth="1"/>
    <col min="11" max="11" width="10.5" bestFit="1" customWidth="1"/>
    <col min="12" max="12" width="13.875" bestFit="1" customWidth="1"/>
  </cols>
  <sheetData>
    <row r="1" spans="1:12">
      <c r="I1" s="3053" t="s">
        <v>3138</v>
      </c>
      <c r="J1" s="3053" t="s">
        <v>3139</v>
      </c>
    </row>
    <row r="2" spans="1:12">
      <c r="A2" s="3044" t="s">
        <v>3070</v>
      </c>
      <c r="B2" s="3044" t="s">
        <v>3071</v>
      </c>
      <c r="C2" s="3044" t="s">
        <v>3072</v>
      </c>
      <c r="D2" s="3044" t="s">
        <v>3073</v>
      </c>
      <c r="E2" s="3044" t="s">
        <v>3074</v>
      </c>
      <c r="F2" s="3045" t="s">
        <v>3075</v>
      </c>
      <c r="G2" s="3044" t="s">
        <v>3076</v>
      </c>
      <c r="H2" s="3044" t="s">
        <v>3077</v>
      </c>
    </row>
    <row r="3" spans="1:12">
      <c r="A3" s="3157" t="s">
        <v>3078</v>
      </c>
      <c r="B3" s="3158">
        <v>1056185.3999999999</v>
      </c>
      <c r="C3" s="3159" t="s">
        <v>3165</v>
      </c>
      <c r="D3" s="3046" t="s">
        <v>3079</v>
      </c>
      <c r="E3" s="3047">
        <v>80008.929999999993</v>
      </c>
      <c r="F3" s="3048">
        <v>23255.32</v>
      </c>
      <c r="G3" s="3160">
        <v>59723.22</v>
      </c>
      <c r="H3" s="3161" t="s">
        <v>3080</v>
      </c>
      <c r="I3">
        <v>4.758</v>
      </c>
      <c r="J3" s="3053" t="s">
        <v>3137</v>
      </c>
    </row>
    <row r="4" spans="1:12">
      <c r="A4" s="3158"/>
      <c r="B4" s="3158"/>
      <c r="C4" s="3159"/>
      <c r="D4" s="3046" t="s">
        <v>3081</v>
      </c>
      <c r="E4" s="3047">
        <v>80008.929999999993</v>
      </c>
      <c r="F4" s="3048">
        <v>23254.07</v>
      </c>
      <c r="G4" s="3160"/>
      <c r="H4" s="3161"/>
      <c r="I4">
        <v>4.758</v>
      </c>
      <c r="J4" s="3053" t="s">
        <v>3137</v>
      </c>
      <c r="L4" s="3050">
        <f>4.7*(G3+G6)+6.2*6000+5.1*(G7+G8-6000)</f>
        <v>564404.24199999997</v>
      </c>
    </row>
    <row r="5" spans="1:12">
      <c r="A5" s="3158"/>
      <c r="B5" s="3158"/>
      <c r="C5" s="3159"/>
      <c r="D5" s="3046" t="s">
        <v>3082</v>
      </c>
      <c r="E5" s="3047">
        <v>12992.66</v>
      </c>
      <c r="F5" s="3048">
        <v>12673.96</v>
      </c>
      <c r="G5" s="3160"/>
      <c r="H5" s="3161"/>
      <c r="I5">
        <v>4.758</v>
      </c>
      <c r="J5" s="3053" t="s">
        <v>3137</v>
      </c>
      <c r="L5" s="3050">
        <f>L4/(G3+G6+G7+G8)</f>
        <v>4.9462293697601156</v>
      </c>
    </row>
    <row r="6" spans="1:12">
      <c r="A6" s="3158"/>
      <c r="B6" s="3158"/>
      <c r="C6" s="3159"/>
      <c r="D6" s="3046" t="s">
        <v>3083</v>
      </c>
      <c r="E6" s="3047">
        <v>2473.4499999999998</v>
      </c>
      <c r="F6" s="3047">
        <v>642.91999999999996</v>
      </c>
      <c r="G6" s="3047">
        <v>642.91999999999996</v>
      </c>
      <c r="H6" s="3161"/>
      <c r="I6">
        <v>4.758</v>
      </c>
      <c r="J6" s="3053" t="s">
        <v>3137</v>
      </c>
    </row>
    <row r="7" spans="1:12">
      <c r="A7" s="3158"/>
      <c r="B7" s="3158"/>
      <c r="C7" s="3159" t="s">
        <v>3084</v>
      </c>
      <c r="D7" s="3046" t="s">
        <v>3085</v>
      </c>
      <c r="E7" s="3047">
        <v>53610.84</v>
      </c>
      <c r="F7" s="3048">
        <v>26448.400000000001</v>
      </c>
      <c r="G7" s="3048">
        <v>27293.439999999999</v>
      </c>
      <c r="H7" s="3161" t="s">
        <v>3086</v>
      </c>
      <c r="I7">
        <v>5.0999999999999996</v>
      </c>
    </row>
    <row r="8" spans="1:12">
      <c r="A8" s="3158"/>
      <c r="B8" s="3158"/>
      <c r="C8" s="3159"/>
      <c r="D8" s="3162" t="s">
        <v>3087</v>
      </c>
      <c r="E8" s="3047">
        <v>40066.28</v>
      </c>
      <c r="F8" s="3048">
        <v>19345.399999999998</v>
      </c>
      <c r="G8" s="3160">
        <v>26448.400000000001</v>
      </c>
      <c r="H8" s="3161"/>
      <c r="I8" s="3053" t="s">
        <v>3140</v>
      </c>
      <c r="J8" s="3053" t="s">
        <v>3141</v>
      </c>
    </row>
    <row r="9" spans="1:12">
      <c r="A9" s="3158"/>
      <c r="B9" s="3158"/>
      <c r="C9" s="3159"/>
      <c r="D9" s="3162"/>
      <c r="E9" s="3047">
        <v>13544.56</v>
      </c>
      <c r="F9" s="3048">
        <v>7948.0400000000009</v>
      </c>
      <c r="G9" s="3160"/>
      <c r="H9" s="3161"/>
    </row>
    <row r="10" spans="1:12" ht="13.5" customHeight="1">
      <c r="A10" s="3163" t="s">
        <v>3088</v>
      </c>
      <c r="B10" s="3164">
        <v>356119.31</v>
      </c>
      <c r="C10" s="3164" t="s">
        <v>3089</v>
      </c>
      <c r="D10" s="3046" t="s">
        <v>3090</v>
      </c>
      <c r="E10" s="3047">
        <v>4228.22</v>
      </c>
      <c r="F10" s="3047">
        <v>5378.09</v>
      </c>
      <c r="G10" s="3047">
        <v>5378.09</v>
      </c>
      <c r="H10" s="3161" t="s">
        <v>3091</v>
      </c>
      <c r="I10" s="3054"/>
    </row>
    <row r="11" spans="1:12">
      <c r="A11" s="3164"/>
      <c r="B11" s="3164"/>
      <c r="C11" s="3164"/>
      <c r="D11" s="3046" t="s">
        <v>3092</v>
      </c>
      <c r="E11" s="3047">
        <v>38013.03</v>
      </c>
      <c r="F11" s="3047">
        <v>16157.68</v>
      </c>
      <c r="G11" s="3047">
        <v>16157.68</v>
      </c>
      <c r="H11" s="3161"/>
      <c r="I11" s="3053" t="s">
        <v>3142</v>
      </c>
    </row>
    <row r="12" spans="1:12">
      <c r="A12" s="3164"/>
      <c r="B12" s="3164"/>
      <c r="C12" s="3164"/>
      <c r="D12" s="3046" t="s">
        <v>3093</v>
      </c>
      <c r="E12" s="3047">
        <v>24162.3</v>
      </c>
      <c r="F12" s="3047">
        <v>10304.969999999999</v>
      </c>
      <c r="G12" s="3047">
        <v>10304.969999999999</v>
      </c>
      <c r="H12" s="3161"/>
      <c r="I12" s="3053" t="s">
        <v>3143</v>
      </c>
      <c r="J12" s="3053" t="s">
        <v>3144</v>
      </c>
    </row>
    <row r="13" spans="1:12">
      <c r="A13" s="3164"/>
      <c r="B13" s="3164"/>
      <c r="C13" s="3164"/>
      <c r="D13" s="3046" t="s">
        <v>3094</v>
      </c>
      <c r="E13" s="3047">
        <v>38844.22</v>
      </c>
      <c r="F13" s="3047">
        <v>16491.53</v>
      </c>
      <c r="G13" s="3047">
        <v>16491.53</v>
      </c>
      <c r="H13" s="3161"/>
    </row>
    <row r="14" spans="1:12">
      <c r="A14" s="3164"/>
      <c r="B14" s="3164"/>
      <c r="C14" s="3164"/>
      <c r="D14" s="3046" t="s">
        <v>3095</v>
      </c>
      <c r="E14" s="3047">
        <v>33040.35</v>
      </c>
      <c r="F14" s="3047">
        <v>14111.27</v>
      </c>
      <c r="G14" s="3047">
        <v>14111.27</v>
      </c>
      <c r="H14" s="3161"/>
    </row>
    <row r="15" spans="1:12">
      <c r="A15" s="3164"/>
      <c r="B15" s="3164"/>
      <c r="C15" s="3164"/>
      <c r="D15" s="3046" t="s">
        <v>3096</v>
      </c>
      <c r="E15" s="3047">
        <v>49650.47</v>
      </c>
      <c r="F15" s="3047">
        <v>14476.69</v>
      </c>
      <c r="G15" s="3047">
        <v>14476.69</v>
      </c>
      <c r="H15" s="3049" t="s">
        <v>3097</v>
      </c>
    </row>
    <row r="16" spans="1:12">
      <c r="A16" s="3163" t="s">
        <v>3098</v>
      </c>
      <c r="B16" s="3164">
        <v>167318.6</v>
      </c>
      <c r="C16" s="3164" t="s">
        <v>3099</v>
      </c>
      <c r="D16" s="3046" t="s">
        <v>3100</v>
      </c>
      <c r="E16" s="3047">
        <v>38023.910000000003</v>
      </c>
      <c r="F16" s="3047">
        <v>21151.99</v>
      </c>
      <c r="G16" s="3047">
        <v>21151.99</v>
      </c>
      <c r="H16" s="3161" t="s">
        <v>3101</v>
      </c>
      <c r="I16" s="3053" t="s">
        <v>3147</v>
      </c>
      <c r="J16" s="3053" t="s">
        <v>3145</v>
      </c>
    </row>
    <row r="17" spans="1:13">
      <c r="A17" s="3164"/>
      <c r="B17" s="3164"/>
      <c r="C17" s="3164"/>
      <c r="D17" s="3046" t="s">
        <v>3102</v>
      </c>
      <c r="E17" s="3047">
        <v>40375.760000000002</v>
      </c>
      <c r="F17" s="3047">
        <v>19965.59</v>
      </c>
      <c r="G17" s="3047">
        <v>19965.59</v>
      </c>
      <c r="H17" s="3161"/>
      <c r="I17" s="3053" t="s">
        <v>3146</v>
      </c>
    </row>
    <row r="18" spans="1:13">
      <c r="A18" s="3164"/>
      <c r="B18" s="3164"/>
      <c r="C18" s="3164"/>
      <c r="D18" s="3046" t="s">
        <v>3103</v>
      </c>
      <c r="E18" s="3047">
        <v>22250.93</v>
      </c>
      <c r="F18" s="3047">
        <v>20130.16</v>
      </c>
      <c r="G18" s="3047">
        <v>20130.16</v>
      </c>
      <c r="H18" s="3161" t="s">
        <v>3104</v>
      </c>
    </row>
    <row r="19" spans="1:13">
      <c r="A19" s="3164"/>
      <c r="B19" s="3164"/>
      <c r="C19" s="3164"/>
      <c r="D19" s="3046" t="s">
        <v>3105</v>
      </c>
      <c r="E19" s="3047">
        <v>33334</v>
      </c>
      <c r="F19" s="3047">
        <v>29901.88</v>
      </c>
      <c r="G19" s="3047">
        <v>29901.88</v>
      </c>
      <c r="H19" s="3161"/>
    </row>
    <row r="20" spans="1:13">
      <c r="A20" s="3164"/>
      <c r="B20" s="3164"/>
      <c r="C20" s="3164"/>
      <c r="D20" s="3046" t="s">
        <v>3106</v>
      </c>
      <c r="E20" s="3047">
        <v>33334</v>
      </c>
      <c r="F20" s="3047">
        <v>29901.88</v>
      </c>
      <c r="G20" s="3047">
        <v>29901.88</v>
      </c>
      <c r="H20" s="3161"/>
    </row>
    <row r="21" spans="1:13">
      <c r="A21" s="3164"/>
      <c r="B21" s="3164"/>
      <c r="C21" s="3164"/>
      <c r="D21" s="3046" t="s">
        <v>3107</v>
      </c>
      <c r="E21" s="3047"/>
      <c r="F21" s="3047">
        <v>757.38</v>
      </c>
      <c r="G21" s="3047">
        <v>757.38</v>
      </c>
      <c r="H21" s="3161"/>
    </row>
    <row r="22" spans="1:13">
      <c r="A22" s="3164"/>
      <c r="B22" s="3164"/>
      <c r="C22" s="3164"/>
      <c r="D22" s="3046" t="s">
        <v>3108</v>
      </c>
      <c r="E22" s="3047"/>
      <c r="F22" s="3047">
        <v>19.54</v>
      </c>
      <c r="G22" s="3047">
        <v>19.54</v>
      </c>
      <c r="H22" s="3161"/>
    </row>
    <row r="23" spans="1:13">
      <c r="E23" s="3050">
        <f>SUM(E3:E22)</f>
        <v>637962.84</v>
      </c>
      <c r="F23" s="3050">
        <f>SUM(F3:F22)</f>
        <v>312316.75999999995</v>
      </c>
      <c r="G23" s="3050">
        <f>SUM(G3:G22)</f>
        <v>312856.62999999995</v>
      </c>
    </row>
    <row r="26" spans="1:13">
      <c r="D26" s="3053" t="s">
        <v>3163</v>
      </c>
      <c r="E26" s="3053" t="s">
        <v>3158</v>
      </c>
      <c r="F26" s="3053" t="s">
        <v>3159</v>
      </c>
      <c r="G26" s="3053" t="s">
        <v>3160</v>
      </c>
      <c r="H26" s="3053" t="s">
        <v>3161</v>
      </c>
      <c r="I26" s="3053" t="s">
        <v>3162</v>
      </c>
      <c r="J26" s="3053" t="s">
        <v>3164</v>
      </c>
      <c r="K26" s="3053"/>
      <c r="L26" s="3053"/>
      <c r="M26" s="3053"/>
    </row>
    <row r="27" spans="1:13">
      <c r="D27" s="3050" t="str">
        <f>H3</f>
        <v>X京房产证顺字第277215号</v>
      </c>
      <c r="E27" s="3053">
        <v>125301.33</v>
      </c>
      <c r="F27" s="3053">
        <f>SUM(G3:G6)</f>
        <v>60366.14</v>
      </c>
      <c r="G27" s="3053">
        <f ca="1">H27/F27</f>
        <v>1.8910601207895685</v>
      </c>
      <c r="H27" s="3053">
        <f ca="1">ROUND(H29*F27/F29,0)</f>
        <v>114156</v>
      </c>
      <c r="I27">
        <f ca="1">净值1!N59</f>
        <v>65828</v>
      </c>
      <c r="J27" s="3053">
        <f ca="1">净值1!N61</f>
        <v>10905</v>
      </c>
      <c r="K27" s="3053"/>
      <c r="L27" s="3053"/>
    </row>
    <row r="28" spans="1:13">
      <c r="D28" s="3050" t="str">
        <f>H7</f>
        <v>X京房产证顺字第295007号</v>
      </c>
      <c r="E28" s="3053">
        <v>111551.34</v>
      </c>
      <c r="F28" s="3053">
        <f>SUM(G7:G9)</f>
        <v>53741.84</v>
      </c>
      <c r="G28" s="3053">
        <f ca="1">H28/F28</f>
        <v>1.8910591821939853</v>
      </c>
      <c r="H28" s="3053">
        <f ca="1">ROUND(H29*F28/F29,0)</f>
        <v>101629</v>
      </c>
      <c r="I28">
        <f ca="1">净值2!N59</f>
        <v>58604</v>
      </c>
      <c r="J28">
        <f ca="1">净值2!N61</f>
        <v>10905</v>
      </c>
    </row>
    <row r="29" spans="1:13">
      <c r="E29" s="3053">
        <f>SUM(E27:E28)</f>
        <v>236852.66999999998</v>
      </c>
      <c r="F29" s="3053">
        <f>SUM(F27:F28)</f>
        <v>114107.98</v>
      </c>
      <c r="G29" s="3053"/>
      <c r="H29" s="3053">
        <f ca="1">结果表!G19</f>
        <v>215785</v>
      </c>
      <c r="I29">
        <f ca="1">SUM(I27:I28)</f>
        <v>124432</v>
      </c>
      <c r="J29">
        <f ca="1">ROUND(I29/F29*10000,0)</f>
        <v>10905</v>
      </c>
    </row>
  </sheetData>
  <mergeCells count="18">
    <mergeCell ref="A10:A15"/>
    <mergeCell ref="B10:B15"/>
    <mergeCell ref="C10:C15"/>
    <mergeCell ref="H10:H14"/>
    <mergeCell ref="A16:A22"/>
    <mergeCell ref="B16:B22"/>
    <mergeCell ref="C16:C22"/>
    <mergeCell ref="H16:H17"/>
    <mergeCell ref="H18:H22"/>
    <mergeCell ref="A3:A9"/>
    <mergeCell ref="B3:B9"/>
    <mergeCell ref="C3:C6"/>
    <mergeCell ref="G3:G5"/>
    <mergeCell ref="H3:H6"/>
    <mergeCell ref="C7:C9"/>
    <mergeCell ref="H7:H9"/>
    <mergeCell ref="D8:D9"/>
    <mergeCell ref="G8:G9"/>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100" zoomScaleSheetLayoutView="85" workbookViewId="0">
      <selection activeCell="F19" sqref="F1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7"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74" t="s">
        <v>1817</v>
      </c>
      <c r="B2" s="3174"/>
      <c r="C2" s="3174"/>
      <c r="D2" s="904" t="s">
        <v>1793</v>
      </c>
      <c r="E2" s="1824" t="s">
        <v>1794</v>
      </c>
      <c r="F2" s="2877"/>
      <c r="G2" s="2868"/>
      <c r="H2" s="2869"/>
      <c r="I2" s="2539" t="s">
        <v>1818</v>
      </c>
      <c r="J2" s="2877"/>
      <c r="K2" s="2877"/>
      <c r="L2" s="2877"/>
      <c r="M2" s="2877"/>
      <c r="N2" s="2879"/>
      <c r="O2" s="2877"/>
      <c r="P2" s="2877"/>
    </row>
    <row r="3" spans="1:16" ht="15.75" thickBot="1">
      <c r="A3" s="3175" t="s">
        <v>1791</v>
      </c>
      <c r="B3" s="3175"/>
      <c r="C3" s="3175"/>
      <c r="D3" s="46">
        <f>'数据-基础表'!AY6</f>
        <v>236852.67</v>
      </c>
      <c r="E3" s="46">
        <f>'数据-基础表'!AZ5</f>
        <v>114107.98000000001</v>
      </c>
      <c r="F3" s="2877"/>
      <c r="G3" s="1306"/>
      <c r="H3" s="1157" t="s">
        <v>1792</v>
      </c>
      <c r="I3" s="964">
        <f>ROUND('数据-基础表'!B3/'数据-基础表'!A3,2)</f>
        <v>0.48</v>
      </c>
      <c r="J3" s="2877"/>
      <c r="K3" s="2877"/>
      <c r="L3" s="2877"/>
      <c r="M3" s="2877"/>
      <c r="N3" s="2879"/>
      <c r="O3" s="2877"/>
      <c r="P3" s="2877"/>
    </row>
    <row r="4" spans="1:16" ht="15">
      <c r="A4" s="3176"/>
      <c r="B4" s="3177"/>
      <c r="C4" s="3178"/>
      <c r="D4" s="1826" t="s">
        <v>1793</v>
      </c>
      <c r="E4" s="1827" t="s">
        <v>1794</v>
      </c>
      <c r="F4" s="2877"/>
      <c r="G4" s="2870" t="s">
        <v>1819</v>
      </c>
      <c r="H4" s="1157" t="s">
        <v>1799</v>
      </c>
      <c r="I4" s="964">
        <f>ROUND(SUMIF('数据-基础表'!I9:AS9,"地上",'数据-基础表'!I5:AS5)/'数据-基础表'!A3,2)</f>
        <v>0.48</v>
      </c>
      <c r="J4" s="2877"/>
      <c r="K4" s="2877"/>
      <c r="L4" s="2877"/>
      <c r="M4" s="2877"/>
      <c r="N4" s="2879"/>
      <c r="O4" s="2877"/>
      <c r="P4" s="2877"/>
    </row>
    <row r="5" spans="1:16">
      <c r="A5" s="47" t="s">
        <v>1795</v>
      </c>
      <c r="B5" s="3179" t="s">
        <v>1796</v>
      </c>
      <c r="C5" s="3179"/>
      <c r="D5" s="48">
        <f>ROUND($D$3*E5/$E$3,2)</f>
        <v>0</v>
      </c>
      <c r="E5" s="49">
        <f>SUMIF('数据-基础表'!$11:$11,"住宅",'数据-基础表'!$5:$5)</f>
        <v>0</v>
      </c>
      <c r="F5" s="2877"/>
      <c r="G5" s="1306"/>
      <c r="H5" s="1157" t="s">
        <v>1792</v>
      </c>
      <c r="I5" s="964">
        <f>ROUND(E31/D31,2)</f>
        <v>0.48</v>
      </c>
      <c r="J5" s="2877"/>
      <c r="K5" s="2877"/>
      <c r="L5" s="2877"/>
      <c r="M5" s="2877"/>
      <c r="N5" s="2877"/>
      <c r="O5" s="2877"/>
      <c r="P5" s="2877"/>
    </row>
    <row r="6" spans="1:16" ht="15" thickBot="1">
      <c r="A6" s="1829"/>
      <c r="B6" s="3179" t="s">
        <v>1797</v>
      </c>
      <c r="C6" s="3179"/>
      <c r="D6" s="48">
        <f>ROUND($D$3*E6/$E$3,2)</f>
        <v>236852.67</v>
      </c>
      <c r="E6" s="49">
        <f>E3-E5</f>
        <v>114107.98000000001</v>
      </c>
      <c r="F6" s="2877"/>
      <c r="G6" s="2871" t="s">
        <v>1798</v>
      </c>
      <c r="H6" s="1307" t="s">
        <v>1799</v>
      </c>
      <c r="I6" s="2872">
        <f>ROUND(F31/D31,2)</f>
        <v>0.48</v>
      </c>
      <c r="J6" s="2877"/>
      <c r="K6" s="2877"/>
      <c r="L6" s="2877"/>
      <c r="M6" s="2877"/>
      <c r="N6" s="2877"/>
      <c r="O6" s="2877"/>
      <c r="P6" s="2877"/>
    </row>
    <row r="7" spans="1:16" ht="15.75" thickBot="1">
      <c r="A7" s="3171"/>
      <c r="B7" s="3172"/>
      <c r="C7" s="3173"/>
      <c r="D7" s="1826" t="s">
        <v>1793</v>
      </c>
      <c r="E7" s="1830" t="s">
        <v>1800</v>
      </c>
      <c r="F7" s="2877"/>
      <c r="G7" s="2873" t="s">
        <v>1801</v>
      </c>
      <c r="H7" s="2874"/>
      <c r="I7" s="2875"/>
      <c r="J7" s="2877"/>
      <c r="K7" s="2877"/>
      <c r="L7" s="2877"/>
      <c r="M7" s="2877"/>
      <c r="N7" s="2877"/>
      <c r="O7" s="2877"/>
      <c r="P7" s="2877"/>
    </row>
    <row r="8" spans="1:16">
      <c r="A8" s="47" t="s">
        <v>1802</v>
      </c>
      <c r="B8" s="50" t="s">
        <v>1803</v>
      </c>
      <c r="C8" s="48" t="s">
        <v>1804</v>
      </c>
      <c r="D8" s="48">
        <f t="shared" ref="D8:D15" si="0">ROUND($D$3*E8/$E$3,2)</f>
        <v>236852.67</v>
      </c>
      <c r="E8" s="51">
        <f>SUMIF('数据-基础表'!BB10:BK10,"地上",'数据-基础表'!BB5:BK5)</f>
        <v>114107.98000000001</v>
      </c>
      <c r="F8" s="2877"/>
      <c r="G8" s="2878"/>
      <c r="H8" s="2878"/>
      <c r="I8" s="2877"/>
      <c r="J8" s="2877"/>
      <c r="K8" s="2877"/>
      <c r="L8" s="2877"/>
      <c r="M8" s="2877"/>
      <c r="N8" s="2877"/>
      <c r="O8" s="2877"/>
      <c r="P8" s="2877"/>
    </row>
    <row r="9" spans="1:16">
      <c r="A9" s="1831"/>
      <c r="B9" s="1832"/>
      <c r="C9" s="48" t="s">
        <v>1805</v>
      </c>
      <c r="D9" s="48">
        <f t="shared" si="0"/>
        <v>0</v>
      </c>
      <c r="E9" s="52">
        <v>0</v>
      </c>
      <c r="F9" s="2877"/>
      <c r="G9" s="2878"/>
      <c r="H9" s="2878"/>
      <c r="I9" s="2877"/>
      <c r="J9" s="2877"/>
      <c r="K9" s="2877"/>
      <c r="L9" s="2877"/>
      <c r="M9" s="2877"/>
      <c r="N9" s="2877"/>
      <c r="O9" s="2877"/>
      <c r="P9" s="2877"/>
    </row>
    <row r="10" spans="1:16">
      <c r="A10" s="1831"/>
      <c r="B10" s="1832"/>
      <c r="C10" s="48" t="s">
        <v>1814</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31"/>
      <c r="B11" s="1832"/>
      <c r="C11" s="48" t="s">
        <v>1806</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31"/>
      <c r="B12" s="1832"/>
      <c r="C12" s="48" t="s">
        <v>1807</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31"/>
      <c r="B13" s="1832"/>
      <c r="C13" s="48" t="s">
        <v>1808</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31"/>
      <c r="B14" s="1832"/>
      <c r="C14" s="48" t="s">
        <v>1820</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31"/>
      <c r="B15" s="1832"/>
      <c r="C15" s="48" t="s">
        <v>1815</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9"/>
      <c r="B16" s="1832"/>
      <c r="C16" s="50" t="s">
        <v>1809</v>
      </c>
      <c r="D16" s="50">
        <f>SUM(D8:D15)</f>
        <v>236852.67</v>
      </c>
      <c r="E16" s="53">
        <f>SUM(E8:E15)</f>
        <v>114107.98000000001</v>
      </c>
      <c r="F16" s="2877"/>
      <c r="G16" s="2878"/>
      <c r="H16" s="1833" t="s">
        <v>1821</v>
      </c>
      <c r="I16" s="1834"/>
      <c r="J16" s="1300"/>
      <c r="K16" s="3168" t="s">
        <v>1821</v>
      </c>
      <c r="L16" s="3169"/>
      <c r="M16" s="3169"/>
      <c r="N16" s="3169"/>
      <c r="O16" s="3169"/>
      <c r="P16" s="3170"/>
    </row>
    <row r="17" spans="1:19" ht="15">
      <c r="A17" s="1835" t="s">
        <v>1822</v>
      </c>
      <c r="B17" s="1836" t="s">
        <v>1823</v>
      </c>
      <c r="C17" s="1837" t="s">
        <v>1824</v>
      </c>
      <c r="D17" s="1838" t="s">
        <v>1812</v>
      </c>
      <c r="E17" s="1839" t="s">
        <v>1813</v>
      </c>
      <c r="F17" s="1840"/>
      <c r="G17" s="1841"/>
      <c r="H17" s="1842" t="s">
        <v>1825</v>
      </c>
      <c r="I17" s="1843" t="s">
        <v>1810</v>
      </c>
      <c r="J17" s="1300"/>
      <c r="K17" s="3165" t="s">
        <v>1826</v>
      </c>
      <c r="L17" s="3166"/>
      <c r="M17" s="3167"/>
      <c r="N17" s="3165" t="s">
        <v>1827</v>
      </c>
      <c r="O17" s="3166"/>
      <c r="P17" s="3167"/>
      <c r="R17" s="1825" t="s">
        <v>1828</v>
      </c>
      <c r="S17" s="60"/>
    </row>
    <row r="18" spans="1:19" ht="15">
      <c r="A18" s="1831"/>
      <c r="B18" s="1844"/>
      <c r="C18" s="1845"/>
      <c r="D18" s="1846"/>
      <c r="E18" s="1847" t="s">
        <v>1829</v>
      </c>
      <c r="F18" s="1848" t="s">
        <v>1830</v>
      </c>
      <c r="G18" s="1849" t="s">
        <v>1831</v>
      </c>
      <c r="H18" s="1172" t="s">
        <v>1832</v>
      </c>
      <c r="I18" s="1850" t="s">
        <v>1833</v>
      </c>
      <c r="J18" s="1300"/>
      <c r="K18" s="1172" t="s">
        <v>1834</v>
      </c>
      <c r="L18" s="1851" t="s">
        <v>1835</v>
      </c>
      <c r="M18" s="964" t="s">
        <v>1836</v>
      </c>
      <c r="N18" s="1172" t="s">
        <v>1834</v>
      </c>
      <c r="O18" s="1851" t="s">
        <v>1835</v>
      </c>
      <c r="P18" s="964" t="s">
        <v>1836</v>
      </c>
      <c r="R18" s="1157" t="s">
        <v>1837</v>
      </c>
      <c r="S18" s="1157" t="s">
        <v>1838</v>
      </c>
    </row>
    <row r="19" spans="1:19">
      <c r="A19" s="1852"/>
      <c r="B19" s="50" t="s">
        <v>1811</v>
      </c>
      <c r="C19" s="3052" t="s">
        <v>3115</v>
      </c>
      <c r="D19" s="48">
        <f>ROUND($D$3*E19/$E$3,2)</f>
        <v>236852.67</v>
      </c>
      <c r="E19" s="56">
        <f t="shared" ref="E19:E26" si="1">SUM(F19:G19)</f>
        <v>114107.98000000001</v>
      </c>
      <c r="F19" s="3017">
        <f>'数据-基础表'!I5</f>
        <v>114107.98000000001</v>
      </c>
      <c r="G19" s="3018"/>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4"/>
      <c r="O19" s="1855"/>
      <c r="P19" s="1311">
        <f>N19+O19</f>
        <v>0</v>
      </c>
      <c r="R19" s="1157">
        <f t="shared" ref="R19:S26" si="5">D19+H19</f>
        <v>236852.67</v>
      </c>
      <c r="S19" s="1158">
        <f t="shared" si="5"/>
        <v>114107.98000000001</v>
      </c>
    </row>
    <row r="20" spans="1:19">
      <c r="A20" s="1856"/>
      <c r="B20" s="50" t="s">
        <v>1839</v>
      </c>
      <c r="C20" s="1853"/>
      <c r="D20" s="48">
        <f t="shared" ref="D20:D26" si="6">ROUND($D$3*E20/$E$3,2)</f>
        <v>0</v>
      </c>
      <c r="E20" s="56">
        <f t="shared" si="1"/>
        <v>0</v>
      </c>
      <c r="F20" s="3017"/>
      <c r="G20" s="3018"/>
      <c r="H20" s="679">
        <f t="shared" ref="H20:H26" si="7">ROUND($D$3*I20/$E$3,2)</f>
        <v>0</v>
      </c>
      <c r="I20" s="51">
        <f t="shared" si="2"/>
        <v>0</v>
      </c>
      <c r="J20" s="1300"/>
      <c r="K20" s="1299">
        <f t="shared" si="3"/>
        <v>0</v>
      </c>
      <c r="L20" s="1157">
        <f t="shared" si="4"/>
        <v>0</v>
      </c>
      <c r="M20" s="1311">
        <f t="shared" ref="M20:M26" si="8">K20+L20</f>
        <v>0</v>
      </c>
      <c r="N20" s="1854"/>
      <c r="O20" s="1855"/>
      <c r="P20" s="1311">
        <f t="shared" ref="P20:P26" si="9">N20+O20</f>
        <v>0</v>
      </c>
      <c r="R20" s="1157">
        <f t="shared" si="5"/>
        <v>0</v>
      </c>
      <c r="S20" s="1158">
        <f t="shared" si="5"/>
        <v>0</v>
      </c>
    </row>
    <row r="21" spans="1:19">
      <c r="A21" s="1856"/>
      <c r="B21" s="50" t="s">
        <v>1839</v>
      </c>
      <c r="C21" s="1853"/>
      <c r="D21" s="48">
        <f t="shared" si="6"/>
        <v>0</v>
      </c>
      <c r="E21" s="56">
        <f t="shared" si="1"/>
        <v>0</v>
      </c>
      <c r="F21" s="3017"/>
      <c r="G21" s="3018"/>
      <c r="H21" s="679">
        <f t="shared" si="7"/>
        <v>0</v>
      </c>
      <c r="I21" s="51">
        <f t="shared" si="2"/>
        <v>0</v>
      </c>
      <c r="J21" s="1300"/>
      <c r="K21" s="1299">
        <f t="shared" si="3"/>
        <v>0</v>
      </c>
      <c r="L21" s="1157">
        <f t="shared" si="4"/>
        <v>0</v>
      </c>
      <c r="M21" s="1311">
        <f t="shared" si="8"/>
        <v>0</v>
      </c>
      <c r="N21" s="1854"/>
      <c r="O21" s="1855"/>
      <c r="P21" s="1311">
        <f t="shared" si="9"/>
        <v>0</v>
      </c>
      <c r="R21" s="1157">
        <f t="shared" si="5"/>
        <v>0</v>
      </c>
      <c r="S21" s="1158">
        <f t="shared" si="5"/>
        <v>0</v>
      </c>
    </row>
    <row r="22" spans="1:19">
      <c r="A22" s="1856"/>
      <c r="B22" s="50" t="s">
        <v>1839</v>
      </c>
      <c r="C22" s="58"/>
      <c r="D22" s="48">
        <f t="shared" si="6"/>
        <v>0</v>
      </c>
      <c r="E22" s="56">
        <f t="shared" si="1"/>
        <v>0</v>
      </c>
      <c r="F22" s="3019"/>
      <c r="G22" s="3020"/>
      <c r="H22" s="679">
        <f t="shared" si="7"/>
        <v>0</v>
      </c>
      <c r="I22" s="51">
        <f t="shared" si="2"/>
        <v>0</v>
      </c>
      <c r="J22" s="1300"/>
      <c r="K22" s="1299">
        <f t="shared" si="3"/>
        <v>0</v>
      </c>
      <c r="L22" s="1157">
        <f t="shared" si="4"/>
        <v>0</v>
      </c>
      <c r="M22" s="1311">
        <f t="shared" si="8"/>
        <v>0</v>
      </c>
      <c r="N22" s="1854"/>
      <c r="O22" s="1855"/>
      <c r="P22" s="1311">
        <f t="shared" si="9"/>
        <v>0</v>
      </c>
      <c r="R22" s="1157">
        <f t="shared" si="5"/>
        <v>0</v>
      </c>
      <c r="S22" s="1158">
        <f t="shared" si="5"/>
        <v>0</v>
      </c>
    </row>
    <row r="23" spans="1:19">
      <c r="A23" s="1856"/>
      <c r="B23" s="50" t="s">
        <v>1839</v>
      </c>
      <c r="C23" s="58"/>
      <c r="D23" s="48">
        <f>ROUND($D$3*E23/$E$3,2)</f>
        <v>0</v>
      </c>
      <c r="E23" s="56">
        <f>SUM(F23:G23)</f>
        <v>0</v>
      </c>
      <c r="F23" s="3019"/>
      <c r="G23" s="3020"/>
      <c r="H23" s="679">
        <f>ROUND($D$3*I23/$E$3,2)</f>
        <v>0</v>
      </c>
      <c r="I23" s="51">
        <f t="shared" si="2"/>
        <v>0</v>
      </c>
      <c r="J23" s="1300"/>
      <c r="K23" s="1299">
        <f t="shared" si="3"/>
        <v>0</v>
      </c>
      <c r="L23" s="1157">
        <f t="shared" si="4"/>
        <v>0</v>
      </c>
      <c r="M23" s="1311">
        <f t="shared" si="8"/>
        <v>0</v>
      </c>
      <c r="N23" s="1854"/>
      <c r="O23" s="1855"/>
      <c r="P23" s="1311">
        <f t="shared" si="9"/>
        <v>0</v>
      </c>
      <c r="R23" s="1157">
        <f t="shared" si="5"/>
        <v>0</v>
      </c>
      <c r="S23" s="1158">
        <f t="shared" si="5"/>
        <v>0</v>
      </c>
    </row>
    <row r="24" spans="1:19">
      <c r="A24" s="1856"/>
      <c r="B24" s="50" t="s">
        <v>1839</v>
      </c>
      <c r="C24" s="58"/>
      <c r="D24" s="48">
        <f>ROUND($D$3*E24/$E$3,2)</f>
        <v>0</v>
      </c>
      <c r="E24" s="56">
        <f>SUM(F24:G24)</f>
        <v>0</v>
      </c>
      <c r="F24" s="3019"/>
      <c r="G24" s="3020"/>
      <c r="H24" s="679">
        <f>ROUND($D$3*I24/$E$3,2)</f>
        <v>0</v>
      </c>
      <c r="I24" s="51">
        <f t="shared" si="2"/>
        <v>0</v>
      </c>
      <c r="J24" s="1300"/>
      <c r="K24" s="1299">
        <f t="shared" si="3"/>
        <v>0</v>
      </c>
      <c r="L24" s="1157">
        <f t="shared" si="4"/>
        <v>0</v>
      </c>
      <c r="M24" s="1311">
        <f t="shared" si="8"/>
        <v>0</v>
      </c>
      <c r="N24" s="1854"/>
      <c r="O24" s="1855"/>
      <c r="P24" s="1311">
        <f t="shared" si="9"/>
        <v>0</v>
      </c>
      <c r="R24" s="1157">
        <f t="shared" si="5"/>
        <v>0</v>
      </c>
      <c r="S24" s="1158">
        <f t="shared" si="5"/>
        <v>0</v>
      </c>
    </row>
    <row r="25" spans="1:19">
      <c r="A25" s="1856"/>
      <c r="B25" s="50" t="s">
        <v>1839</v>
      </c>
      <c r="C25" s="58"/>
      <c r="D25" s="48">
        <f t="shared" si="6"/>
        <v>0</v>
      </c>
      <c r="E25" s="56">
        <f t="shared" si="1"/>
        <v>0</v>
      </c>
      <c r="F25" s="3019"/>
      <c r="G25" s="3020"/>
      <c r="H25" s="47">
        <f t="shared" si="7"/>
        <v>0</v>
      </c>
      <c r="I25" s="51">
        <f t="shared" si="2"/>
        <v>0</v>
      </c>
      <c r="J25" s="1300"/>
      <c r="K25" s="1299">
        <f t="shared" si="3"/>
        <v>0</v>
      </c>
      <c r="L25" s="1157">
        <f t="shared" si="4"/>
        <v>0</v>
      </c>
      <c r="M25" s="1311">
        <f t="shared" si="8"/>
        <v>0</v>
      </c>
      <c r="N25" s="1854"/>
      <c r="O25" s="1855"/>
      <c r="P25" s="1311">
        <f t="shared" si="9"/>
        <v>0</v>
      </c>
      <c r="R25" s="1157">
        <f t="shared" si="5"/>
        <v>0</v>
      </c>
      <c r="S25" s="1158">
        <f t="shared" si="5"/>
        <v>0</v>
      </c>
    </row>
    <row r="26" spans="1:19">
      <c r="A26" s="1856"/>
      <c r="B26" s="50" t="s">
        <v>1839</v>
      </c>
      <c r="C26" s="59"/>
      <c r="D26" s="48">
        <f t="shared" si="6"/>
        <v>0</v>
      </c>
      <c r="E26" s="56">
        <f t="shared" si="1"/>
        <v>0</v>
      </c>
      <c r="F26" s="3019"/>
      <c r="G26" s="3020"/>
      <c r="H26" s="47">
        <f t="shared" si="7"/>
        <v>0</v>
      </c>
      <c r="I26" s="51">
        <f t="shared" si="2"/>
        <v>0</v>
      </c>
      <c r="J26" s="1300"/>
      <c r="K26" s="1306">
        <f t="shared" si="3"/>
        <v>0</v>
      </c>
      <c r="L26" s="1307">
        <f t="shared" si="4"/>
        <v>0</v>
      </c>
      <c r="M26" s="63">
        <f t="shared" si="8"/>
        <v>0</v>
      </c>
      <c r="N26" s="1857"/>
      <c r="O26" s="1858"/>
      <c r="P26" s="63">
        <f t="shared" si="9"/>
        <v>0</v>
      </c>
      <c r="R26" s="1157">
        <f t="shared" si="5"/>
        <v>0</v>
      </c>
      <c r="S26" s="1158">
        <f t="shared" si="5"/>
        <v>0</v>
      </c>
    </row>
    <row r="27" spans="1:19" ht="15.75" thickBot="1">
      <c r="A27" s="1856"/>
      <c r="B27" s="48"/>
      <c r="C27" s="1859" t="s">
        <v>1840</v>
      </c>
      <c r="D27" s="1301">
        <f>SUM(D19:D26)</f>
        <v>236852.67</v>
      </c>
      <c r="E27" s="1302">
        <f>IF(SUM(E19:E26)='数据-基础表'!BA5,SUM(E19:E26),IF(F27="地上面积有误","面积有误","地下面积有误"))</f>
        <v>114107.98000000001</v>
      </c>
      <c r="F27" s="1301">
        <f>IF(SUM(F19:F26)=E8,SUM(F19:F26),"地上面积有误")</f>
        <v>114107.98000000001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236852.67</v>
      </c>
      <c r="S27" s="1157">
        <f>IF(SUM(S19:S26)=$E$3,SUM(S19:S26),SUM(S19:S26)&amp;"误差"&amp;ROUND(SUM(S19:S26)-E3,2))</f>
        <v>114107.98000000001</v>
      </c>
    </row>
    <row r="28" spans="1:19">
      <c r="A28" s="1856"/>
      <c r="B28" s="50" t="s">
        <v>1841</v>
      </c>
      <c r="C28" s="1169" t="s">
        <v>1842</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56"/>
      <c r="B29" s="50" t="s">
        <v>1841</v>
      </c>
      <c r="C29" s="1860" t="s">
        <v>1843</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56"/>
      <c r="B30" s="50"/>
      <c r="C30" s="1861" t="s">
        <v>1840</v>
      </c>
      <c r="D30" s="1301">
        <f>SUM(D28:D29)</f>
        <v>0</v>
      </c>
      <c r="E30" s="1301">
        <f>SUM(E28:E29)</f>
        <v>0</v>
      </c>
      <c r="F30" s="1301">
        <f>SUM(F28:F29)</f>
        <v>0</v>
      </c>
      <c r="G30" s="1303">
        <f>SUM(G28:G29)</f>
        <v>0</v>
      </c>
      <c r="H30" s="2877"/>
      <c r="I30" s="2877"/>
      <c r="J30" s="2877"/>
      <c r="K30" s="2877"/>
      <c r="L30" s="2877"/>
      <c r="M30" s="2877"/>
      <c r="N30" s="2877"/>
      <c r="O30" s="2877"/>
      <c r="P30" s="2877"/>
    </row>
    <row r="31" spans="1:19" ht="15.75" thickBot="1">
      <c r="A31" s="1862"/>
      <c r="B31" s="1863"/>
      <c r="C31" s="944" t="s">
        <v>1844</v>
      </c>
      <c r="D31" s="685">
        <f>D27+D30</f>
        <v>236852.67</v>
      </c>
      <c r="E31" s="685">
        <f>E27+E30</f>
        <v>114107.98000000001</v>
      </c>
      <c r="F31" s="686">
        <f>F27+F30</f>
        <v>114107.98000000001</v>
      </c>
      <c r="G31" s="687">
        <f>G27+G30</f>
        <v>0</v>
      </c>
      <c r="H31" s="2877"/>
      <c r="I31" s="2877"/>
      <c r="J31" s="2877"/>
      <c r="K31" s="2877"/>
      <c r="L31" s="2877"/>
      <c r="M31" s="2877"/>
      <c r="N31" s="2877"/>
      <c r="O31" s="2877"/>
      <c r="P31" s="2877"/>
    </row>
    <row r="32" spans="1:19">
      <c r="A32" s="1828"/>
      <c r="B32" s="1828" t="s">
        <v>1845</v>
      </c>
      <c r="C32" s="1828"/>
      <c r="D32" s="1828"/>
      <c r="E32" s="1184">
        <f>SUMIF(C19:C26,"*住宅*",E19:E26)</f>
        <v>0</v>
      </c>
      <c r="F32" s="1828"/>
      <c r="G32" s="1828"/>
      <c r="H32" s="2877"/>
      <c r="I32" s="2877"/>
      <c r="J32" s="2877"/>
      <c r="K32" s="2877"/>
      <c r="L32" s="2877"/>
      <c r="M32" s="2877"/>
      <c r="N32" s="2877"/>
      <c r="O32" s="2877"/>
      <c r="P32" s="2877"/>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7.7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1"/>
      <c r="AO1" s="2891"/>
      <c r="AP1" s="2891"/>
      <c r="AQ1" s="2891"/>
      <c r="AR1" s="2891"/>
    </row>
    <row r="2" spans="1:67" s="1744" customFormat="1" ht="15.75" thickBot="1">
      <c r="A2" s="1869" t="s">
        <v>1847</v>
      </c>
      <c r="B2" s="1176">
        <f>项目基本情况!D3</f>
        <v>44580</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3"/>
      <c r="AO2" s="2893"/>
      <c r="AP2" s="2893"/>
      <c r="AQ2" s="2893"/>
      <c r="AR2" s="2893"/>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3"/>
      <c r="AO3" s="2893"/>
      <c r="AP3" s="2893"/>
      <c r="AQ3" s="2893"/>
      <c r="AR3" s="2893"/>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76"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3"/>
      <c r="AO4" s="2893"/>
      <c r="AP4" s="2893"/>
      <c r="AQ4" s="2893"/>
      <c r="AR4" s="2893"/>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3116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仓储</v>
      </c>
      <c r="B6" s="1899" t="str">
        <f>IF(A6=0,"","经营性")</f>
        <v>经营性</v>
      </c>
      <c r="C6" s="1900" t="s">
        <v>6</v>
      </c>
      <c r="D6" s="967">
        <f>SUMIF(项目基本情况!D$12:I$12,C6,项目基本情况!D$14:I$14)</f>
        <v>50</v>
      </c>
      <c r="E6" s="966">
        <f>IF(B6="","",SUMIF(项目基本情况!D$12:I$12,C6,项目基本情况!D$13:I$13))</f>
        <v>57180</v>
      </c>
      <c r="F6" s="68">
        <f>SUMIF(项目基本情况!D$12:I$12,C6,项目基本情况!D$15:I$15)</f>
        <v>34.520000000000003</v>
      </c>
      <c r="G6" s="69">
        <f>IF(ISERROR(ROUND(POWER(1+H6,D6-F6)*(POWER(1+H6,F6)-1)/(POWER(1+H6,D6)-1),3)),0,ROUND(POWER(1+H6,D6-F6)*(POWER(1+H6,F6)-1)/(POWER(1+H6,D6)-1),3))</f>
        <v>0.89200000000000002</v>
      </c>
      <c r="H6" s="741">
        <v>0.05</v>
      </c>
      <c r="I6" s="741">
        <v>5.5E-2</v>
      </c>
      <c r="J6" s="70">
        <v>8.5000000000000006E-2</v>
      </c>
      <c r="K6" s="1161">
        <f>SUMIF('数据-汇总表'!C$19:C$33,A6,'数据-汇总表'!E$19:E$33)</f>
        <v>114107.98000000001</v>
      </c>
      <c r="L6" s="742">
        <v>2500</v>
      </c>
      <c r="M6" s="71">
        <f t="shared" ref="M6:M14" si="0">ROUND(K6*L6/10000,0)</f>
        <v>28527</v>
      </c>
      <c r="N6" s="740">
        <f>ROUND(((1-(2022-2009)/60)+85%)/2,2)</f>
        <v>0.82</v>
      </c>
      <c r="O6" s="71" t="str">
        <f>IF($N$5="成新度","——",ROUND(M6*N6,0))</f>
        <v>——</v>
      </c>
      <c r="P6" s="72" t="str">
        <f>IF($N$5="成新度","——",M6-O6)</f>
        <v>——</v>
      </c>
      <c r="Q6" s="743">
        <v>0.2</v>
      </c>
      <c r="R6" s="73">
        <f ca="1">SUMIF('数据-汇总表'!C$19:C$33,A6,'数据-汇总表'!R$19:R$27)</f>
        <v>236852.67</v>
      </c>
      <c r="S6" s="54">
        <f>IF('数据-汇总表'!$I$17="按面积比例",SUMIF('数据-汇总表'!C$19:C$33,A6,'数据-汇总表'!K$19:K$33),SUMIF('数据-汇总表'!C$19:C$33,A6,'数据-汇总表'!N$19:N$33))</f>
        <v>0</v>
      </c>
      <c r="T6" s="1333">
        <f>ROUND($L$14*S6/10000,0)</f>
        <v>0</v>
      </c>
      <c r="U6" s="74">
        <v>4.8</v>
      </c>
      <c r="V6" s="75">
        <v>2.5000000000000001E-2</v>
      </c>
      <c r="W6" s="75">
        <v>0.1</v>
      </c>
      <c r="X6" s="1171"/>
      <c r="Y6" s="76">
        <f>N6</f>
        <v>0.82</v>
      </c>
      <c r="Z6" s="77"/>
      <c r="AA6" s="70"/>
      <c r="AB6" s="70"/>
      <c r="AC6" s="1171"/>
      <c r="AD6" s="78"/>
      <c r="AE6" s="1172">
        <f ca="1">IF(AN6="",0,SUMIF(INDIRECT("'"&amp;AN6&amp;"'"&amp;"!E:E"),$AE$5,INDIRECT("'"&amp;AN6&amp;"'"&amp;"!F:F")))</f>
        <v>34.520000000000003</v>
      </c>
      <c r="AF6" s="1532"/>
      <c r="AG6" s="143">
        <f>IF(AF6="",0,AE6-AF6)</f>
        <v>0</v>
      </c>
      <c r="AH6" s="79"/>
      <c r="AI6" s="81">
        <v>365</v>
      </c>
      <c r="AJ6" s="82"/>
      <c r="AK6" s="83">
        <v>0.01</v>
      </c>
      <c r="AL6" s="84">
        <v>1.5E-3</v>
      </c>
      <c r="AM6" s="85">
        <v>1.4999999999999999E-2</v>
      </c>
      <c r="AN6" s="1901" t="s">
        <v>3117</v>
      </c>
      <c r="AO6" s="55">
        <f ca="1">SUMIF(INDIRECT("'"&amp;AN6&amp;"'"&amp;"!A:A"),"总价",INDIRECT("'"&amp;AN6&amp;"'"&amp;"!B:B"))</f>
        <v>298414</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1"/>
      <c r="AJ14" s="713"/>
      <c r="AK14" s="1173"/>
      <c r="AL14" s="1174"/>
      <c r="AM14" s="1175"/>
      <c r="AN14" s="2891"/>
      <c r="AO14" s="2893"/>
      <c r="AP14" s="2893"/>
      <c r="AQ14" s="2893"/>
      <c r="AR14" s="2893"/>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1"/>
      <c r="AJ15" s="713"/>
      <c r="AK15" s="1173"/>
      <c r="AL15" s="1174"/>
      <c r="AM15" s="1175"/>
      <c r="AN15" s="2891"/>
      <c r="AO15" s="2893"/>
      <c r="AP15" s="2893"/>
      <c r="AQ15" s="2893"/>
      <c r="AR15" s="2893"/>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0.89200000000000002</v>
      </c>
      <c r="H16" s="95">
        <f>ROUND(SUMPRODUCT(H6:H13,K6:K13)/SUMPRODUCT((H6:H13&gt;0)*(K6:K13)),3)</f>
        <v>0.05</v>
      </c>
      <c r="I16" s="96"/>
      <c r="J16" s="96"/>
      <c r="K16" s="97">
        <f>SUM(K6:K15)</f>
        <v>114107.98000000001</v>
      </c>
      <c r="L16" s="98">
        <f>ROUND(M16*10000/SUM(K6:K14),0)</f>
        <v>2500</v>
      </c>
      <c r="M16" s="98">
        <f>SUM(M6:M14)</f>
        <v>28527</v>
      </c>
      <c r="N16" s="99">
        <f>ROUND(SUMPRODUCT(M6:M14,N6:N14)/M16,3)</f>
        <v>0.82</v>
      </c>
      <c r="O16" s="98">
        <f>SUM(O6:O14)</f>
        <v>0</v>
      </c>
      <c r="P16" s="98">
        <f>SUM(P6:P14)</f>
        <v>0</v>
      </c>
      <c r="Q16" s="100">
        <f>ROUND(SUMPRODUCT(Q6:Q13,K6:K13)/SUMPRODUCT((Q6:Q13&gt;0)*(K6:K13)),2)</f>
        <v>0.2</v>
      </c>
      <c r="R16" s="1165">
        <f ca="1">SUM(R6:R13)</f>
        <v>236852.67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1896</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8" t="s">
        <v>1897</v>
      </c>
      <c r="B19" s="108">
        <v>0</v>
      </c>
      <c r="C19" s="3021" t="s">
        <v>3050</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9" t="s">
        <v>1898</v>
      </c>
      <c r="B20" s="109">
        <v>1.5</v>
      </c>
      <c r="C20" s="3022" t="s">
        <v>3048</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10" t="s">
        <v>1899</v>
      </c>
      <c r="B21" s="109">
        <f>B20</f>
        <v>1.5</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9" t="s">
        <v>1900</v>
      </c>
      <c r="B22" s="110">
        <f>B19+B20</f>
        <v>1.5</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10" t="s">
        <v>1901</v>
      </c>
      <c r="B23" s="110">
        <f>B19+B21</f>
        <v>1.5</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11" t="s">
        <v>1902</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42"/>
      <c r="B25" s="1873"/>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9" t="s">
        <v>1903</v>
      </c>
      <c r="B26" s="1912" t="s">
        <v>1904</v>
      </c>
      <c r="C26" s="2897" t="s">
        <v>1905</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14" customFormat="1" ht="27.75">
      <c r="A27" s="1913" t="s">
        <v>1906</v>
      </c>
      <c r="B27" s="112">
        <v>160</v>
      </c>
      <c r="C27" s="3023" t="s">
        <v>3052</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2282</v>
      </c>
      <c r="C29" s="3024" t="s">
        <v>3039</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25" t="s">
        <v>3040</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25" t="s">
        <v>3041</v>
      </c>
      <c r="D34" s="2904" t="s">
        <v>3049</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25" t="s">
        <v>3042</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25" t="s">
        <v>3043</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7" t="s">
        <v>1916</v>
      </c>
      <c r="B37" s="120">
        <v>0.02</v>
      </c>
      <c r="C37" s="3025" t="s">
        <v>3044</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5" t="s">
        <v>1917</v>
      </c>
      <c r="B38" s="118">
        <v>0.02</v>
      </c>
      <c r="C38" s="3025" t="s">
        <v>3044</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8" t="s">
        <v>1918</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6" t="s">
        <v>3169</v>
      </c>
      <c r="B40" s="3446">
        <v>4.2999999999999997E-2</v>
      </c>
      <c r="C40" s="3035">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13" t="s">
        <v>1919</v>
      </c>
      <c r="B41" s="121">
        <f>B42+B43</f>
        <v>5.6000000000000001E-2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9" t="s">
        <v>1920</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9" t="s">
        <v>1921</v>
      </c>
      <c r="B43" s="123">
        <f>B42*(B44+B45+B46)+B47</f>
        <v>6.000000000000001E-3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20" t="s">
        <v>1922</v>
      </c>
      <c r="B44" s="124">
        <v>7.0000000000000007E-2</v>
      </c>
      <c r="C44" s="3025" t="s">
        <v>3053</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20" t="s">
        <v>1923</v>
      </c>
      <c r="B45" s="122">
        <v>0.03</v>
      </c>
      <c r="C45" s="3024" t="s">
        <v>3045</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20" t="s">
        <v>1924</v>
      </c>
      <c r="B46" s="122">
        <v>0.02</v>
      </c>
      <c r="C46" s="3024" t="s">
        <v>3046</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21" t="s">
        <v>1925</v>
      </c>
      <c r="B47" s="125">
        <v>0</v>
      </c>
      <c r="C47" s="3027" t="s">
        <v>3054</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22" t="s">
        <v>1926</v>
      </c>
      <c r="B48" s="126">
        <v>0.03</v>
      </c>
      <c r="C48" s="3024" t="s">
        <v>3045</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8" t="s">
        <v>1927</v>
      </c>
      <c r="B49" s="122">
        <v>5.0000000000000001E-4</v>
      </c>
      <c r="C49" s="3024" t="s">
        <v>3047</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23" t="s">
        <v>1928</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6" t="s">
        <v>1929</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23" t="s">
        <v>1930</v>
      </c>
      <c r="B52" s="129">
        <f>SUMIF(A54:A63,B53,B54:B63)</f>
        <v>1.5</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5" t="s">
        <v>1931</v>
      </c>
      <c r="B53" s="1924" t="s">
        <v>56</v>
      </c>
      <c r="C53" s="2879" t="s">
        <v>1932</v>
      </c>
      <c r="D53" s="3026" t="s">
        <v>3051</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5" t="s">
        <v>1933</v>
      </c>
      <c r="B54" s="80"/>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25" t="s">
        <v>1934</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25" t="s">
        <v>1935</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25" t="s">
        <v>1936</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25" t="s">
        <v>1937</v>
      </c>
      <c r="B58" s="80"/>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5" t="s">
        <v>1938</v>
      </c>
      <c r="B59" s="80">
        <f>C59</f>
        <v>1.5</v>
      </c>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5" t="s">
        <v>1939</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5" t="s">
        <v>1940</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5" t="s">
        <v>1941</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6" t="s">
        <v>1942</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901"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901"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901"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901"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901"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7"/>
    <col min="30" max="16384" width="9" style="1872"/>
  </cols>
  <sheetData>
    <row r="1" spans="1:29" s="2674" customFormat="1" ht="18.75" thickBot="1">
      <c r="A1" s="3180" t="s">
        <v>3031</v>
      </c>
      <c r="B1" s="3181"/>
      <c r="C1" s="3181"/>
      <c r="D1" s="3181"/>
      <c r="E1" s="3181"/>
      <c r="F1" s="3181"/>
      <c r="G1" s="3181"/>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3026</v>
      </c>
      <c r="D2" s="2678"/>
      <c r="E2" s="2675"/>
      <c r="F2" s="2679"/>
      <c r="G2" s="2677" t="s">
        <v>3027</v>
      </c>
      <c r="H2" s="907"/>
      <c r="I2" s="907"/>
      <c r="J2" s="907"/>
      <c r="K2" s="907"/>
      <c r="L2" s="907"/>
      <c r="M2" s="907"/>
      <c r="N2" s="907"/>
      <c r="O2" s="907"/>
      <c r="P2" s="907"/>
      <c r="Q2" s="907"/>
      <c r="R2" s="907"/>
    </row>
    <row r="3" spans="1:29" ht="48">
      <c r="A3" s="2658" t="s">
        <v>3028</v>
      </c>
      <c r="B3" s="2680" t="s">
        <v>2997</v>
      </c>
      <c r="C3" s="2681" t="s">
        <v>3029</v>
      </c>
      <c r="D3" s="2682"/>
      <c r="E3" s="2659" t="s">
        <v>3028</v>
      </c>
      <c r="F3" s="2683" t="s">
        <v>2998</v>
      </c>
      <c r="G3" s="2684" t="s">
        <v>3030</v>
      </c>
      <c r="H3" s="907"/>
      <c r="I3" s="907"/>
      <c r="J3" s="907"/>
      <c r="K3" s="907"/>
      <c r="L3" s="907"/>
      <c r="M3" s="907"/>
      <c r="N3" s="907"/>
      <c r="O3" s="907"/>
      <c r="P3" s="907"/>
      <c r="Q3" s="907"/>
      <c r="R3" s="907"/>
    </row>
    <row r="4" spans="1:29" ht="36.75">
      <c r="A4" s="2659"/>
      <c r="B4" s="329" t="s">
        <v>2999</v>
      </c>
      <c r="C4" s="2685" t="s">
        <v>3000</v>
      </c>
      <c r="D4" s="2682"/>
      <c r="E4" s="2686"/>
      <c r="F4" s="1557" t="s">
        <v>3001</v>
      </c>
      <c r="G4" s="2687" t="s">
        <v>3002</v>
      </c>
      <c r="H4" s="907"/>
      <c r="I4" s="907"/>
      <c r="J4" s="907"/>
      <c r="K4" s="907"/>
      <c r="L4" s="907"/>
      <c r="M4" s="907"/>
      <c r="N4" s="907"/>
      <c r="O4" s="907"/>
      <c r="P4" s="907"/>
      <c r="Q4" s="907"/>
      <c r="R4" s="907"/>
    </row>
    <row r="5" spans="1:29" ht="36.75">
      <c r="A5" s="2659"/>
      <c r="B5" s="329" t="s">
        <v>3003</v>
      </c>
      <c r="C5" s="2685" t="s">
        <v>3004</v>
      </c>
      <c r="D5" s="2682"/>
      <c r="E5" s="2686"/>
      <c r="F5" s="329" t="s">
        <v>3005</v>
      </c>
      <c r="G5" s="2687" t="s">
        <v>3006</v>
      </c>
      <c r="H5" s="907"/>
      <c r="I5" s="907"/>
      <c r="J5" s="907"/>
      <c r="K5" s="907"/>
      <c r="L5" s="907"/>
      <c r="M5" s="907"/>
      <c r="N5" s="907"/>
      <c r="O5" s="907"/>
      <c r="P5" s="907"/>
      <c r="Q5" s="907"/>
      <c r="R5" s="907"/>
    </row>
    <row r="6" spans="1:29" ht="36">
      <c r="A6" s="2659"/>
      <c r="B6" s="329" t="s">
        <v>3007</v>
      </c>
      <c r="C6" s="2687" t="s">
        <v>3002</v>
      </c>
      <c r="D6" s="2682"/>
      <c r="E6" s="2686"/>
      <c r="F6" s="329" t="s">
        <v>3008</v>
      </c>
      <c r="G6" s="2687" t="s">
        <v>3009</v>
      </c>
      <c r="H6" s="907"/>
      <c r="I6" s="907"/>
      <c r="J6" s="907"/>
      <c r="K6" s="907"/>
      <c r="L6" s="907"/>
      <c r="M6" s="907"/>
      <c r="N6" s="907"/>
      <c r="O6" s="907"/>
      <c r="P6" s="907"/>
      <c r="Q6" s="907"/>
      <c r="R6" s="907"/>
    </row>
    <row r="7" spans="1:29" ht="24.75" thickBot="1">
      <c r="A7" s="2659"/>
      <c r="B7" s="329" t="s">
        <v>3005</v>
      </c>
      <c r="C7" s="2687" t="s">
        <v>3006</v>
      </c>
      <c r="D7" s="2688"/>
      <c r="E7" s="2689"/>
      <c r="F7" s="2690" t="s">
        <v>3010</v>
      </c>
      <c r="G7" s="2691" t="s">
        <v>3011</v>
      </c>
      <c r="H7" s="907"/>
      <c r="I7" s="907"/>
      <c r="J7" s="907"/>
      <c r="K7" s="907"/>
      <c r="L7" s="907"/>
      <c r="M7" s="907"/>
      <c r="N7" s="907"/>
      <c r="O7" s="907"/>
      <c r="P7" s="907"/>
      <c r="Q7" s="907"/>
      <c r="R7" s="907"/>
    </row>
    <row r="8" spans="1:29">
      <c r="A8" s="2659"/>
      <c r="B8" s="329" t="s">
        <v>3008</v>
      </c>
      <c r="C8" s="2687" t="s">
        <v>3009</v>
      </c>
      <c r="D8" s="2688"/>
      <c r="E8" s="2688"/>
      <c r="F8" s="2692"/>
      <c r="G8" s="2692"/>
      <c r="H8" s="907"/>
      <c r="I8" s="907"/>
      <c r="J8" s="907"/>
      <c r="K8" s="907"/>
      <c r="L8" s="907"/>
      <c r="M8" s="907"/>
      <c r="N8" s="907"/>
      <c r="O8" s="907"/>
      <c r="P8" s="907"/>
      <c r="Q8" s="907"/>
      <c r="R8" s="907"/>
    </row>
    <row r="9" spans="1:29" ht="24">
      <c r="A9" s="2659"/>
      <c r="B9" s="329" t="s">
        <v>3012</v>
      </c>
      <c r="C9" s="2685" t="s">
        <v>3013</v>
      </c>
      <c r="D9" s="2682"/>
      <c r="E9" s="2688"/>
      <c r="F9" s="2692"/>
      <c r="G9" s="2692"/>
      <c r="H9" s="907"/>
      <c r="I9" s="907"/>
      <c r="J9" s="907"/>
      <c r="K9" s="907"/>
      <c r="L9" s="907"/>
      <c r="M9" s="907"/>
      <c r="N9" s="907"/>
      <c r="O9" s="907"/>
      <c r="P9" s="907"/>
      <c r="Q9" s="907"/>
      <c r="R9" s="907"/>
    </row>
    <row r="10" spans="1:29" s="2698" customFormat="1" ht="15" thickBot="1">
      <c r="A10" s="2660"/>
      <c r="B10" s="2693" t="s">
        <v>3014</v>
      </c>
      <c r="C10" s="2694"/>
      <c r="D10" s="2682"/>
      <c r="E10" s="2682"/>
      <c r="F10" s="2692"/>
      <c r="G10" s="2692"/>
      <c r="H10" s="2695"/>
      <c r="I10" s="2696"/>
      <c r="J10" s="2697"/>
      <c r="K10" s="2695"/>
      <c r="L10" s="2696"/>
      <c r="M10" s="2697"/>
      <c r="N10" s="2695"/>
      <c r="O10" s="2696"/>
      <c r="P10" s="2697"/>
      <c r="Q10" s="2695"/>
      <c r="R10" s="2696"/>
      <c r="S10" s="907"/>
      <c r="T10" s="907"/>
      <c r="U10" s="907"/>
      <c r="V10" s="907"/>
      <c r="W10" s="907"/>
      <c r="X10" s="907"/>
      <c r="Y10" s="907"/>
      <c r="Z10" s="907"/>
      <c r="AA10" s="907"/>
      <c r="AB10" s="907"/>
      <c r="AC10" s="907"/>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7"/>
      <c r="T11" s="907"/>
      <c r="U11" s="907"/>
      <c r="V11" s="907"/>
      <c r="W11" s="907"/>
      <c r="X11" s="907"/>
      <c r="Y11" s="907"/>
      <c r="Z11" s="907"/>
      <c r="AA11" s="907"/>
      <c r="AB11" s="907"/>
      <c r="AC11" s="907"/>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3032</v>
      </c>
      <c r="B13" s="2701"/>
      <c r="C13" s="2701"/>
      <c r="D13" s="2699"/>
      <c r="E13" s="2701"/>
      <c r="F13" s="2701"/>
      <c r="G13" s="2701"/>
    </row>
    <row r="14" spans="1:29" ht="15" thickBot="1">
      <c r="A14" s="2711"/>
      <c r="B14" s="2711"/>
      <c r="C14" s="2712" t="s">
        <v>3015</v>
      </c>
      <c r="D14" s="2682"/>
      <c r="E14" s="2713"/>
      <c r="F14" s="2713"/>
      <c r="G14" s="2677" t="s">
        <v>3016</v>
      </c>
    </row>
    <row r="15" spans="1:29" ht="51">
      <c r="A15" s="2661" t="s">
        <v>3017</v>
      </c>
      <c r="B15" s="2714" t="s">
        <v>2997</v>
      </c>
      <c r="C15" s="2715" t="str">
        <f>C3</f>
        <v>估价对象周边居住用地比例、居住小区规模和社区发展完善程度，综合评价居住社区成熟度一般</v>
      </c>
      <c r="D15" s="2682"/>
      <c r="E15" s="2662" t="s">
        <v>3018</v>
      </c>
      <c r="F15" s="2714" t="s">
        <v>3019</v>
      </c>
      <c r="G15" s="2716" t="str">
        <f>G3</f>
        <v>估价对象位于XX开发区，园区建设成熟度XX，产业集聚程度XX</v>
      </c>
    </row>
    <row r="16" spans="1:29" ht="38.25">
      <c r="A16" s="2663"/>
      <c r="B16" s="2717" t="s">
        <v>2999</v>
      </c>
      <c r="C16" s="2718" t="str">
        <f>C4</f>
        <v>估价对象位于XX商圈，周边商业氛围成熟，人流量大，商业繁华度好</v>
      </c>
      <c r="D16" s="2682"/>
      <c r="E16" s="2664"/>
      <c r="F16" s="2719" t="s">
        <v>3001</v>
      </c>
      <c r="G16" s="2720" t="str">
        <f>G4</f>
        <v>估价对象周边道路状况、公共交通通达情况、停车便捷程度，综合评价交通便捷度较好</v>
      </c>
    </row>
    <row r="17" spans="1:18" ht="38.25">
      <c r="A17" s="2663"/>
      <c r="B17" s="2717" t="s">
        <v>3003</v>
      </c>
      <c r="C17" s="2718" t="str">
        <f>C5</f>
        <v>估价对象位于XX商圈，周边办公楼项目较多，入驻率高，办公集聚程度较好</v>
      </c>
      <c r="D17" s="2688"/>
      <c r="E17" s="2664"/>
      <c r="F17" s="2719" t="s">
        <v>3020</v>
      </c>
      <c r="G17" s="2721"/>
    </row>
    <row r="18" spans="1:18" ht="38.25">
      <c r="A18" s="2663"/>
      <c r="B18" s="2719" t="s">
        <v>3007</v>
      </c>
      <c r="C18" s="2720" t="str">
        <f>C6</f>
        <v>估价对象周边道路状况、公共交通通达情况、停车便捷程度，综合评价交通便捷度较好</v>
      </c>
      <c r="D18" s="2688"/>
      <c r="E18" s="2664"/>
      <c r="F18" s="2719" t="s">
        <v>3010</v>
      </c>
      <c r="G18" s="2720" t="str">
        <f>G7</f>
        <v>该园区内是否有污染型企业，绿化情况，卫生条件，整体环境状况判断</v>
      </c>
    </row>
    <row r="19" spans="1:18" ht="25.5">
      <c r="A19" s="2663"/>
      <c r="B19" s="2719" t="s">
        <v>3021</v>
      </c>
      <c r="C19" s="2721"/>
      <c r="D19" s="2682"/>
      <c r="E19" s="2664"/>
      <c r="F19" s="329" t="s">
        <v>3005</v>
      </c>
      <c r="G19" s="2720" t="str">
        <f>G5</f>
        <v>估价对象所在区域公共配套设施齐备情况</v>
      </c>
    </row>
    <row r="20" spans="1:18" ht="25.5">
      <c r="A20" s="2663"/>
      <c r="B20" s="2719" t="s">
        <v>3022</v>
      </c>
      <c r="C20" s="2718" t="str">
        <f>C9</f>
        <v>区域自然环境：；人文环境；综合评价环境状况一般</v>
      </c>
      <c r="D20" s="2688"/>
      <c r="E20" s="2664"/>
      <c r="F20" s="329" t="s">
        <v>3008</v>
      </c>
      <c r="G20" s="2720" t="str">
        <f>G6</f>
        <v>估价对象所在区域基础设施水平</v>
      </c>
    </row>
    <row r="21" spans="1:18" ht="25.5">
      <c r="A21" s="2663"/>
      <c r="B21" s="329" t="s">
        <v>3005</v>
      </c>
      <c r="C21" s="2720" t="str">
        <f>C7</f>
        <v>估价对象所在区域公共配套设施齐备情况</v>
      </c>
      <c r="D21" s="2682"/>
      <c r="E21" s="2664"/>
      <c r="F21" s="2719" t="s">
        <v>3023</v>
      </c>
      <c r="G21" s="2722"/>
    </row>
    <row r="22" spans="1:18" ht="13.5" customHeight="1">
      <c r="A22" s="2663"/>
      <c r="B22" s="329" t="s">
        <v>3008</v>
      </c>
      <c r="C22" s="2720" t="str">
        <f>C8</f>
        <v>估价对象所在区域基础设施水平</v>
      </c>
      <c r="D22" s="2682"/>
      <c r="E22" s="2664"/>
      <c r="F22" s="2719" t="s">
        <v>3014</v>
      </c>
      <c r="G22" s="2721"/>
    </row>
    <row r="23" spans="1:18" s="907" customFormat="1" ht="15" thickBot="1">
      <c r="A23" s="2663"/>
      <c r="B23" s="2719" t="s">
        <v>3023</v>
      </c>
      <c r="C23" s="2722"/>
      <c r="D23" s="1927"/>
      <c r="E23" s="2665"/>
      <c r="F23" s="2723" t="s">
        <v>3024</v>
      </c>
      <c r="G23" s="2724"/>
      <c r="H23" s="2708"/>
      <c r="I23" s="2709"/>
      <c r="J23" s="2708"/>
      <c r="K23" s="2708"/>
      <c r="L23" s="2709"/>
      <c r="M23" s="2708"/>
      <c r="N23" s="2708"/>
      <c r="O23" s="2709"/>
      <c r="P23" s="2708"/>
      <c r="Q23" s="2708"/>
      <c r="R23" s="2710"/>
    </row>
    <row r="24" spans="1:18" s="907" customFormat="1" ht="15" thickBot="1">
      <c r="A24" s="2666"/>
      <c r="B24" s="2723" t="s">
        <v>3025</v>
      </c>
      <c r="C24" s="2725">
        <f>C10</f>
        <v>0</v>
      </c>
      <c r="D24" s="1927"/>
      <c r="E24" s="2656"/>
      <c r="F24" s="2656"/>
      <c r="G24" s="2726"/>
      <c r="H24" s="2708"/>
      <c r="I24" s="2709"/>
      <c r="J24" s="2708"/>
      <c r="K24" s="2708"/>
      <c r="L24" s="2709"/>
      <c r="M24" s="2708"/>
      <c r="N24" s="2708"/>
      <c r="O24" s="2709"/>
      <c r="P24" s="2708"/>
      <c r="Q24" s="2708"/>
      <c r="R24" s="2710"/>
    </row>
    <row r="25" spans="1:18" s="907" customFormat="1">
      <c r="B25" s="2708"/>
      <c r="C25" s="2708"/>
      <c r="D25" s="2708"/>
      <c r="H25" s="2708"/>
      <c r="I25" s="2709"/>
      <c r="J25" s="2708"/>
      <c r="K25" s="2708"/>
      <c r="L25" s="2709"/>
      <c r="M25" s="2708"/>
      <c r="N25" s="2708"/>
      <c r="O25" s="2709"/>
      <c r="P25" s="2708"/>
      <c r="Q25" s="2708"/>
      <c r="R25" s="2710"/>
    </row>
    <row r="26" spans="1:18" s="907" customFormat="1">
      <c r="B26" s="2708"/>
      <c r="C26" s="2708"/>
      <c r="D26" s="2708"/>
      <c r="H26" s="2708"/>
      <c r="I26" s="2709"/>
      <c r="J26" s="2708"/>
      <c r="K26" s="2708"/>
      <c r="L26" s="2709"/>
      <c r="M26" s="2708"/>
      <c r="N26" s="2708"/>
      <c r="O26" s="2709"/>
      <c r="P26" s="2708"/>
      <c r="Q26" s="2708"/>
      <c r="R26" s="2710"/>
    </row>
    <row r="27" spans="1:18" s="907" customFormat="1">
      <c r="B27" s="2708"/>
      <c r="C27" s="2708"/>
      <c r="D27" s="2708"/>
      <c r="H27" s="2708"/>
      <c r="I27" s="2709"/>
      <c r="J27" s="2708"/>
      <c r="K27" s="2708"/>
      <c r="L27" s="2709"/>
      <c r="M27" s="2708"/>
      <c r="N27" s="2708"/>
      <c r="O27" s="2709"/>
      <c r="P27" s="2708"/>
      <c r="Q27" s="2708"/>
      <c r="R27" s="2710"/>
    </row>
    <row r="28" spans="1:18" s="907" customFormat="1">
      <c r="B28" s="2708"/>
      <c r="C28" s="2708"/>
      <c r="D28" s="2708"/>
      <c r="H28" s="2708"/>
      <c r="I28" s="2709"/>
      <c r="J28" s="2708"/>
      <c r="K28" s="2708"/>
      <c r="L28" s="2709"/>
      <c r="M28" s="2708"/>
      <c r="N28" s="2708"/>
      <c r="O28" s="2709"/>
      <c r="P28" s="2708"/>
      <c r="Q28" s="2708"/>
      <c r="R28" s="2710"/>
    </row>
    <row r="29" spans="1:18" s="907" customFormat="1">
      <c r="B29" s="2708"/>
      <c r="C29" s="2708"/>
      <c r="D29" s="2708"/>
      <c r="H29" s="2708"/>
      <c r="I29" s="2709"/>
      <c r="J29" s="2708"/>
      <c r="K29" s="2708"/>
      <c r="L29" s="2709"/>
      <c r="M29" s="2708"/>
      <c r="N29" s="2708"/>
      <c r="O29" s="2709"/>
      <c r="P29" s="2708"/>
      <c r="Q29" s="2708"/>
      <c r="R29" s="2710"/>
    </row>
    <row r="30" spans="1:18" s="907" customFormat="1">
      <c r="B30" s="2708"/>
      <c r="C30" s="2708"/>
      <c r="D30" s="2708"/>
      <c r="H30" s="2708"/>
      <c r="I30" s="2709"/>
      <c r="J30" s="2708"/>
      <c r="K30" s="2708"/>
      <c r="L30" s="2709"/>
      <c r="M30" s="2708"/>
      <c r="N30" s="2708"/>
      <c r="O30" s="2709"/>
      <c r="P30" s="2708"/>
      <c r="Q30" s="2708"/>
      <c r="R30" s="2710"/>
    </row>
    <row r="31" spans="1:18" s="907" customFormat="1">
      <c r="B31" s="2708"/>
      <c r="C31" s="2708"/>
      <c r="D31" s="2708"/>
      <c r="H31" s="2708"/>
      <c r="I31" s="2709"/>
      <c r="J31" s="2708"/>
      <c r="K31" s="2708"/>
      <c r="L31" s="2709"/>
      <c r="M31" s="2708"/>
      <c r="N31" s="2708"/>
      <c r="O31" s="2709"/>
      <c r="P31" s="2708"/>
      <c r="Q31" s="2708"/>
      <c r="R31" s="2710"/>
    </row>
    <row r="32" spans="1:18" s="907" customFormat="1">
      <c r="B32" s="2708"/>
      <c r="C32" s="2708"/>
      <c r="D32" s="2708"/>
      <c r="H32" s="2708"/>
      <c r="I32" s="2709"/>
      <c r="J32" s="2708"/>
      <c r="K32" s="2708"/>
      <c r="L32" s="2709"/>
      <c r="M32" s="2708"/>
      <c r="N32" s="2708"/>
      <c r="O32" s="2709"/>
      <c r="P32" s="2708"/>
      <c r="Q32" s="2708"/>
      <c r="R32" s="2710"/>
    </row>
    <row r="33" spans="2:18" s="907" customFormat="1">
      <c r="B33" s="2708"/>
      <c r="C33" s="2708"/>
      <c r="D33" s="2708"/>
      <c r="H33" s="2708"/>
      <c r="I33" s="2709"/>
      <c r="J33" s="2708"/>
      <c r="K33" s="2708"/>
      <c r="L33" s="2709"/>
      <c r="M33" s="2708"/>
      <c r="N33" s="2708"/>
      <c r="O33" s="2709"/>
      <c r="P33" s="2708"/>
      <c r="Q33" s="2708"/>
      <c r="R33" s="2710"/>
    </row>
    <row r="34" spans="2:18" s="907" customFormat="1">
      <c r="B34" s="2708"/>
      <c r="C34" s="2708"/>
      <c r="D34" s="2708"/>
      <c r="H34" s="2708"/>
      <c r="I34" s="2709"/>
      <c r="J34" s="2708"/>
      <c r="K34" s="2708"/>
      <c r="L34" s="2709"/>
      <c r="M34" s="2708"/>
      <c r="N34" s="2708"/>
      <c r="O34" s="2709"/>
      <c r="P34" s="2708"/>
      <c r="Q34" s="2708"/>
      <c r="R34" s="2710"/>
    </row>
    <row r="35" spans="2:18" s="907" customFormat="1">
      <c r="B35" s="2708"/>
      <c r="C35" s="2708"/>
      <c r="D35" s="2708"/>
      <c r="H35" s="2708"/>
      <c r="I35" s="2709"/>
      <c r="J35" s="2708"/>
      <c r="K35" s="2708"/>
      <c r="L35" s="2709"/>
      <c r="M35" s="2708"/>
      <c r="N35" s="2708"/>
      <c r="O35" s="2709"/>
      <c r="P35" s="2708"/>
      <c r="Q35" s="2708"/>
      <c r="R35" s="2710"/>
    </row>
    <row r="36" spans="2:18" s="907" customFormat="1">
      <c r="B36" s="2708"/>
      <c r="C36" s="2708"/>
      <c r="D36" s="2708"/>
      <c r="H36" s="2708"/>
      <c r="I36" s="2709"/>
      <c r="J36" s="2708"/>
      <c r="K36" s="2708"/>
      <c r="L36" s="2709"/>
      <c r="M36" s="2708"/>
      <c r="N36" s="2708"/>
      <c r="O36" s="2709"/>
      <c r="P36" s="2708"/>
      <c r="Q36" s="2708"/>
      <c r="R36" s="2710"/>
    </row>
    <row r="37" spans="2:18" s="907" customFormat="1">
      <c r="B37" s="2708"/>
      <c r="C37" s="2708"/>
      <c r="D37" s="2708"/>
      <c r="H37" s="2708"/>
      <c r="I37" s="2709"/>
      <c r="J37" s="2708"/>
      <c r="K37" s="2708"/>
      <c r="L37" s="2709"/>
      <c r="M37" s="2708"/>
      <c r="N37" s="2708"/>
      <c r="O37" s="2709"/>
      <c r="P37" s="2708"/>
      <c r="Q37" s="2708"/>
      <c r="R37" s="2710"/>
    </row>
    <row r="38" spans="2:18" s="907" customFormat="1">
      <c r="B38" s="2708"/>
      <c r="C38" s="2708"/>
      <c r="D38" s="2708"/>
      <c r="E38" s="2708"/>
      <c r="F38" s="2708"/>
      <c r="G38" s="2709"/>
      <c r="H38" s="2708"/>
      <c r="I38" s="2709"/>
      <c r="J38" s="2708"/>
      <c r="K38" s="2708"/>
      <c r="L38" s="2709"/>
      <c r="M38" s="2708"/>
      <c r="N38" s="2708"/>
      <c r="O38" s="2709"/>
      <c r="P38" s="2708"/>
      <c r="Q38" s="2708"/>
      <c r="R38" s="2710"/>
    </row>
    <row r="39" spans="2:18" s="907" customFormat="1">
      <c r="B39" s="2708"/>
      <c r="C39" s="2708"/>
      <c r="D39" s="2708"/>
      <c r="E39" s="2708"/>
      <c r="F39" s="2708"/>
      <c r="G39" s="2709"/>
      <c r="H39" s="2708"/>
      <c r="I39" s="2709"/>
      <c r="J39" s="2708"/>
      <c r="K39" s="2708"/>
      <c r="L39" s="2709"/>
      <c r="M39" s="2708"/>
      <c r="N39" s="2708"/>
      <c r="O39" s="2709"/>
      <c r="P39" s="2708"/>
      <c r="Q39" s="2708"/>
      <c r="R39" s="2710"/>
    </row>
    <row r="40" spans="2:18" s="907" customFormat="1">
      <c r="B40" s="2708"/>
      <c r="C40" s="2708"/>
      <c r="D40" s="2708"/>
      <c r="E40" s="2708"/>
      <c r="F40" s="2708"/>
      <c r="G40" s="2709"/>
      <c r="H40" s="2708"/>
      <c r="I40" s="2709"/>
      <c r="J40" s="2708"/>
      <c r="K40" s="2708"/>
      <c r="L40" s="2709"/>
      <c r="M40" s="2708"/>
      <c r="N40" s="2708"/>
      <c r="O40" s="2709"/>
      <c r="P40" s="2708"/>
      <c r="Q40" s="2708"/>
      <c r="R40" s="2710"/>
    </row>
    <row r="41" spans="2:18" s="907" customFormat="1">
      <c r="B41" s="2708"/>
      <c r="C41" s="2708"/>
      <c r="D41" s="2708"/>
      <c r="E41" s="2708"/>
      <c r="F41" s="2708"/>
      <c r="G41" s="2709"/>
      <c r="H41" s="2708"/>
      <c r="I41" s="2709"/>
      <c r="J41" s="2708"/>
      <c r="K41" s="2708"/>
      <c r="L41" s="2709"/>
      <c r="M41" s="2708"/>
      <c r="N41" s="2708"/>
      <c r="O41" s="2709"/>
      <c r="P41" s="2708"/>
      <c r="Q41" s="2708"/>
      <c r="R41" s="2710"/>
    </row>
    <row r="42" spans="2:18" s="907" customFormat="1">
      <c r="B42" s="2708"/>
      <c r="C42" s="2708"/>
      <c r="D42" s="2708"/>
      <c r="E42" s="2708"/>
      <c r="F42" s="2708"/>
      <c r="G42" s="2709"/>
      <c r="H42" s="2708"/>
      <c r="I42" s="2709"/>
      <c r="J42" s="2708"/>
      <c r="K42" s="2708"/>
      <c r="L42" s="2709"/>
      <c r="M42" s="2708"/>
      <c r="N42" s="2708"/>
      <c r="O42" s="2709"/>
      <c r="P42" s="2708"/>
      <c r="Q42" s="2708"/>
      <c r="R42" s="2710"/>
    </row>
    <row r="43" spans="2:18" s="907" customFormat="1">
      <c r="B43" s="2708"/>
      <c r="C43" s="2708"/>
      <c r="D43" s="2708"/>
      <c r="E43" s="2708"/>
      <c r="F43" s="2708"/>
      <c r="G43" s="2709"/>
      <c r="H43" s="2708"/>
      <c r="I43" s="2709"/>
      <c r="J43" s="2708"/>
      <c r="K43" s="2708"/>
      <c r="L43" s="2709"/>
      <c r="M43" s="2708"/>
      <c r="N43" s="2708"/>
      <c r="O43" s="2709"/>
      <c r="P43" s="2708"/>
      <c r="Q43" s="2708"/>
      <c r="R43" s="2710"/>
    </row>
    <row r="44" spans="2:18" s="907" customFormat="1">
      <c r="B44" s="2708"/>
      <c r="C44" s="2708"/>
      <c r="D44" s="2708"/>
      <c r="E44" s="2708"/>
      <c r="F44" s="2708"/>
      <c r="G44" s="2709"/>
      <c r="H44" s="2708"/>
      <c r="I44" s="2709"/>
      <c r="J44" s="2708"/>
      <c r="K44" s="2708"/>
      <c r="L44" s="2709"/>
      <c r="M44" s="2708"/>
      <c r="N44" s="2708"/>
      <c r="O44" s="2709"/>
      <c r="P44" s="2708"/>
      <c r="Q44" s="2708"/>
      <c r="R44" s="2710"/>
    </row>
    <row r="45" spans="2:18" s="907" customFormat="1">
      <c r="B45" s="2708"/>
      <c r="C45" s="2708"/>
      <c r="D45" s="2708"/>
      <c r="E45" s="2708"/>
      <c r="F45" s="2708"/>
      <c r="G45" s="2709"/>
      <c r="H45" s="2708"/>
      <c r="I45" s="2709"/>
      <c r="J45" s="2708"/>
      <c r="K45" s="2708"/>
      <c r="L45" s="2709"/>
      <c r="M45" s="2708"/>
      <c r="N45" s="2708"/>
      <c r="O45" s="2709"/>
      <c r="P45" s="2708"/>
      <c r="Q45" s="2708"/>
      <c r="R45" s="2710"/>
    </row>
    <row r="46" spans="2:18" s="907" customFormat="1">
      <c r="B46" s="2708"/>
      <c r="C46" s="2708"/>
      <c r="D46" s="2708"/>
      <c r="E46" s="2708"/>
      <c r="F46" s="2708"/>
      <c r="G46" s="2709"/>
      <c r="H46" s="2708"/>
      <c r="I46" s="2709"/>
      <c r="J46" s="2708"/>
      <c r="K46" s="2708"/>
      <c r="L46" s="2709"/>
      <c r="M46" s="2708"/>
      <c r="N46" s="2708"/>
      <c r="O46" s="2709"/>
      <c r="P46" s="2708"/>
      <c r="Q46" s="2708"/>
      <c r="R46" s="2710"/>
    </row>
    <row r="47" spans="2:18" s="907" customFormat="1">
      <c r="B47" s="2708"/>
      <c r="C47" s="2708"/>
      <c r="D47" s="2708"/>
      <c r="E47" s="2708"/>
      <c r="F47" s="2708"/>
      <c r="G47" s="2709"/>
      <c r="H47" s="2708"/>
      <c r="I47" s="2709"/>
      <c r="J47" s="2708"/>
      <c r="K47" s="2708"/>
      <c r="L47" s="2709"/>
      <c r="M47" s="2708"/>
      <c r="N47" s="2708"/>
      <c r="O47" s="2709"/>
      <c r="P47" s="2708"/>
      <c r="Q47" s="2708"/>
      <c r="R47" s="2710"/>
    </row>
    <row r="48" spans="2:18" s="907" customFormat="1">
      <c r="B48" s="2708"/>
      <c r="C48" s="2708"/>
      <c r="D48" s="2708"/>
      <c r="E48" s="2708"/>
      <c r="F48" s="2708"/>
      <c r="G48" s="2709"/>
      <c r="H48" s="2708"/>
      <c r="I48" s="2709"/>
      <c r="J48" s="2708"/>
      <c r="K48" s="2708"/>
      <c r="L48" s="2709"/>
      <c r="M48" s="2708"/>
      <c r="N48" s="2708"/>
      <c r="O48" s="2709"/>
      <c r="P48" s="2708"/>
      <c r="Q48" s="2708"/>
      <c r="R48" s="2710"/>
    </row>
    <row r="49" spans="2:18" s="907" customFormat="1">
      <c r="B49" s="2708"/>
      <c r="C49" s="2708"/>
      <c r="D49" s="2708"/>
      <c r="E49" s="2708"/>
      <c r="F49" s="2708"/>
      <c r="G49" s="2709"/>
      <c r="H49" s="2708"/>
      <c r="I49" s="2709"/>
      <c r="J49" s="2708"/>
      <c r="K49" s="2708"/>
      <c r="L49" s="2709"/>
      <c r="M49" s="2708"/>
      <c r="N49" s="2708"/>
      <c r="O49" s="2709"/>
      <c r="P49" s="2708"/>
      <c r="Q49" s="2708"/>
      <c r="R49" s="2710"/>
    </row>
    <row r="50" spans="2:18" s="907" customFormat="1">
      <c r="B50" s="2708"/>
      <c r="C50" s="2708"/>
      <c r="D50" s="2708"/>
      <c r="E50" s="2708"/>
      <c r="F50" s="2708"/>
      <c r="G50" s="2709"/>
      <c r="H50" s="2708"/>
      <c r="I50" s="2709"/>
      <c r="J50" s="2708"/>
      <c r="K50" s="2708"/>
      <c r="L50" s="2709"/>
      <c r="M50" s="2708"/>
      <c r="N50" s="2708"/>
      <c r="O50" s="2709"/>
      <c r="P50" s="2708"/>
      <c r="Q50" s="2708"/>
      <c r="R50" s="2710"/>
    </row>
    <row r="51" spans="2:18" s="907" customFormat="1">
      <c r="B51" s="2708"/>
      <c r="C51" s="2708"/>
      <c r="D51" s="2708"/>
      <c r="E51" s="2708"/>
      <c r="F51" s="2708"/>
      <c r="G51" s="2709"/>
      <c r="H51" s="2708"/>
      <c r="I51" s="2709"/>
      <c r="J51" s="2708"/>
      <c r="K51" s="2708"/>
      <c r="L51" s="2709"/>
      <c r="M51" s="2708"/>
      <c r="N51" s="2708"/>
      <c r="O51" s="2709"/>
      <c r="P51" s="2708"/>
      <c r="Q51" s="2708"/>
      <c r="R51" s="2710"/>
    </row>
    <row r="52" spans="2:18" s="907" customFormat="1">
      <c r="B52" s="2708"/>
      <c r="C52" s="2708"/>
      <c r="D52" s="2708"/>
      <c r="E52" s="2708"/>
      <c r="F52" s="2708"/>
      <c r="G52" s="2709"/>
      <c r="H52" s="2708"/>
      <c r="I52" s="2709"/>
      <c r="J52" s="2708"/>
      <c r="K52" s="2708"/>
      <c r="L52" s="2709"/>
      <c r="M52" s="2708"/>
      <c r="N52" s="2708"/>
      <c r="O52" s="2709"/>
      <c r="P52" s="2708"/>
      <c r="Q52" s="2708"/>
      <c r="R52" s="2710"/>
    </row>
    <row r="53" spans="2:18" s="907" customFormat="1">
      <c r="B53" s="2708"/>
      <c r="C53" s="2708"/>
      <c r="D53" s="2708"/>
      <c r="E53" s="2708"/>
      <c r="F53" s="2708"/>
      <c r="G53" s="2709"/>
      <c r="H53" s="2708"/>
      <c r="I53" s="2709"/>
      <c r="J53" s="2708"/>
      <c r="K53" s="2708"/>
      <c r="L53" s="2709"/>
      <c r="M53" s="2708"/>
      <c r="N53" s="2708"/>
      <c r="O53" s="2709"/>
      <c r="P53" s="2708"/>
      <c r="Q53" s="2708"/>
      <c r="R53" s="2710"/>
    </row>
    <row r="54" spans="2:18" s="907" customFormat="1">
      <c r="B54" s="2708"/>
      <c r="C54" s="2708"/>
      <c r="D54" s="2708"/>
      <c r="E54" s="2708"/>
      <c r="F54" s="2708"/>
      <c r="G54" s="2709"/>
      <c r="H54" s="2708"/>
      <c r="I54" s="2709"/>
      <c r="J54" s="2708"/>
      <c r="K54" s="2708"/>
      <c r="L54" s="2709"/>
      <c r="M54" s="2708"/>
      <c r="N54" s="2708"/>
      <c r="O54" s="2709"/>
      <c r="P54" s="2708"/>
      <c r="Q54" s="2708"/>
      <c r="R54" s="2710"/>
    </row>
    <row r="55" spans="2:18" s="907" customFormat="1">
      <c r="B55" s="2708"/>
      <c r="C55" s="2708"/>
      <c r="D55" s="2708"/>
      <c r="E55" s="2708"/>
      <c r="F55" s="2708"/>
      <c r="G55" s="2709"/>
      <c r="H55" s="2708"/>
      <c r="I55" s="2709"/>
      <c r="J55" s="2708"/>
      <c r="K55" s="2708"/>
      <c r="L55" s="2709"/>
      <c r="M55" s="2708"/>
      <c r="N55" s="2708"/>
      <c r="O55" s="2709"/>
      <c r="P55" s="2708"/>
      <c r="Q55" s="2708"/>
      <c r="R55" s="2710"/>
    </row>
    <row r="56" spans="2:18" s="907" customFormat="1">
      <c r="B56" s="2708"/>
      <c r="C56" s="2708"/>
      <c r="D56" s="2708"/>
      <c r="E56" s="2708"/>
      <c r="F56" s="2708"/>
      <c r="G56" s="2709"/>
      <c r="H56" s="2708"/>
      <c r="I56" s="2709"/>
      <c r="J56" s="2708"/>
      <c r="K56" s="2708"/>
      <c r="L56" s="2709"/>
      <c r="M56" s="2708"/>
      <c r="N56" s="2708"/>
      <c r="O56" s="2709"/>
      <c r="P56" s="2708"/>
      <c r="Q56" s="2708"/>
      <c r="R56" s="2710"/>
    </row>
    <row r="57" spans="2:18" s="907" customFormat="1">
      <c r="B57" s="2708"/>
      <c r="C57" s="2708"/>
      <c r="D57" s="2708"/>
      <c r="E57" s="2708"/>
      <c r="F57" s="2708"/>
      <c r="G57" s="2709"/>
      <c r="H57" s="2708"/>
      <c r="I57" s="2709"/>
      <c r="J57" s="2708"/>
      <c r="K57" s="2708"/>
      <c r="L57" s="2709"/>
      <c r="M57" s="2708"/>
      <c r="N57" s="2708"/>
      <c r="O57" s="2709"/>
      <c r="P57" s="2708"/>
      <c r="Q57" s="2708"/>
      <c r="R57" s="2710"/>
    </row>
    <row r="58" spans="2:18" s="907" customFormat="1">
      <c r="B58" s="2708"/>
      <c r="C58" s="2708"/>
      <c r="D58" s="2708"/>
      <c r="E58" s="2708"/>
      <c r="F58" s="2708"/>
      <c r="G58" s="2709"/>
      <c r="H58" s="2708"/>
      <c r="I58" s="2709"/>
      <c r="J58" s="2708"/>
      <c r="K58" s="2708"/>
      <c r="L58" s="2709"/>
      <c r="M58" s="2708"/>
      <c r="N58" s="2708"/>
      <c r="O58" s="2709"/>
      <c r="P58" s="2708"/>
      <c r="Q58" s="2708"/>
      <c r="R58" s="2710"/>
    </row>
    <row r="59" spans="2:18" s="907" customFormat="1">
      <c r="B59" s="2708"/>
      <c r="C59" s="2708"/>
      <c r="D59" s="2708"/>
      <c r="E59" s="2708"/>
      <c r="F59" s="2708"/>
      <c r="G59" s="2709"/>
      <c r="H59" s="2708"/>
      <c r="I59" s="2709"/>
      <c r="J59" s="2708"/>
      <c r="K59" s="2708"/>
      <c r="L59" s="2709"/>
      <c r="M59" s="2708"/>
      <c r="N59" s="2708"/>
      <c r="O59" s="2709"/>
      <c r="P59" s="2708"/>
      <c r="Q59" s="2708"/>
      <c r="R59" s="2710"/>
    </row>
    <row r="60" spans="2:18" s="907" customFormat="1">
      <c r="B60" s="2708"/>
      <c r="C60" s="2708"/>
      <c r="D60" s="2708"/>
      <c r="E60" s="2708"/>
      <c r="F60" s="2708"/>
      <c r="G60" s="2709"/>
      <c r="H60" s="2708"/>
      <c r="I60" s="2709"/>
      <c r="J60" s="2708"/>
      <c r="K60" s="2708"/>
      <c r="L60" s="2709"/>
      <c r="M60" s="2708"/>
      <c r="N60" s="2708"/>
      <c r="O60" s="2709"/>
      <c r="P60" s="2708"/>
      <c r="Q60" s="2708"/>
      <c r="R60" s="2710"/>
    </row>
    <row r="61" spans="2:18" s="907" customFormat="1">
      <c r="B61" s="2708"/>
      <c r="C61" s="2708"/>
      <c r="D61" s="2708"/>
      <c r="E61" s="2708"/>
      <c r="F61" s="2708"/>
      <c r="G61" s="2709"/>
      <c r="H61" s="2708"/>
      <c r="I61" s="2709"/>
      <c r="J61" s="2708"/>
      <c r="K61" s="2708"/>
      <c r="L61" s="2709"/>
      <c r="M61" s="2708"/>
      <c r="N61" s="2708"/>
      <c r="O61" s="2709"/>
      <c r="P61" s="2708"/>
      <c r="Q61" s="2708"/>
      <c r="R61" s="2710"/>
    </row>
    <row r="62" spans="2:18" s="907" customFormat="1">
      <c r="B62" s="2708"/>
      <c r="C62" s="2708"/>
      <c r="D62" s="2708"/>
      <c r="E62" s="2708"/>
      <c r="F62" s="2708"/>
      <c r="G62" s="2709"/>
      <c r="H62" s="2708"/>
      <c r="I62" s="2709"/>
      <c r="J62" s="2708"/>
      <c r="K62" s="2708"/>
      <c r="L62" s="2709"/>
      <c r="M62" s="2708"/>
      <c r="N62" s="2708"/>
      <c r="O62" s="2709"/>
      <c r="P62" s="2708"/>
      <c r="Q62" s="2708"/>
      <c r="R62" s="2710"/>
    </row>
    <row r="63" spans="2:18" s="907" customFormat="1">
      <c r="B63" s="2708"/>
      <c r="C63" s="2708"/>
      <c r="D63" s="2708"/>
      <c r="E63" s="2708"/>
      <c r="F63" s="2708"/>
      <c r="G63" s="2709"/>
      <c r="H63" s="2708"/>
      <c r="I63" s="2709"/>
      <c r="J63" s="2708"/>
      <c r="K63" s="2708"/>
      <c r="L63" s="2709"/>
      <c r="M63" s="2708"/>
      <c r="N63" s="2708"/>
      <c r="O63" s="2709"/>
      <c r="P63" s="2708"/>
      <c r="Q63" s="2708"/>
      <c r="R63" s="2710"/>
    </row>
    <row r="64" spans="2:18" s="907" customFormat="1">
      <c r="B64" s="2708"/>
      <c r="C64" s="2708"/>
      <c r="D64" s="2708"/>
      <c r="E64" s="2708"/>
      <c r="F64" s="2708"/>
      <c r="G64" s="2709"/>
      <c r="H64" s="2708"/>
      <c r="I64" s="2709"/>
      <c r="J64" s="2708"/>
      <c r="K64" s="2708"/>
      <c r="L64" s="2709"/>
      <c r="M64" s="2708"/>
      <c r="N64" s="2708"/>
      <c r="O64" s="2709"/>
      <c r="P64" s="2708"/>
      <c r="Q64" s="2708"/>
      <c r="R64" s="2710"/>
    </row>
    <row r="65" spans="2:18" s="907" customFormat="1">
      <c r="B65" s="2708"/>
      <c r="C65" s="2708"/>
      <c r="D65" s="2708"/>
      <c r="E65" s="2708"/>
      <c r="F65" s="2708"/>
      <c r="G65" s="2709"/>
      <c r="H65" s="2708"/>
      <c r="I65" s="2709"/>
      <c r="J65" s="2708"/>
      <c r="K65" s="2708"/>
      <c r="L65" s="2709"/>
      <c r="M65" s="2708"/>
      <c r="N65" s="2708"/>
      <c r="O65" s="2709"/>
      <c r="P65" s="2708"/>
      <c r="Q65" s="2708"/>
      <c r="R65" s="2710"/>
    </row>
    <row r="66" spans="2:18" s="907" customFormat="1">
      <c r="B66" s="2708"/>
      <c r="C66" s="2708"/>
      <c r="D66" s="2708"/>
      <c r="E66" s="2708"/>
      <c r="F66" s="2708"/>
      <c r="G66" s="2709"/>
      <c r="H66" s="2708"/>
      <c r="I66" s="2709"/>
      <c r="J66" s="2708"/>
      <c r="K66" s="2708"/>
      <c r="L66" s="2709"/>
      <c r="M66" s="2708"/>
      <c r="N66" s="2708"/>
      <c r="O66" s="2709"/>
      <c r="P66" s="2708"/>
      <c r="Q66" s="2708"/>
      <c r="R66" s="2710"/>
    </row>
    <row r="67" spans="2:18" s="907" customFormat="1">
      <c r="B67" s="2708"/>
      <c r="C67" s="2708"/>
      <c r="D67" s="2708"/>
      <c r="E67" s="2708"/>
      <c r="F67" s="2708"/>
      <c r="G67" s="2709"/>
      <c r="H67" s="2708"/>
      <c r="I67" s="2709"/>
      <c r="J67" s="2708"/>
      <c r="K67" s="2708"/>
      <c r="L67" s="2709"/>
      <c r="M67" s="2708"/>
      <c r="N67" s="2708"/>
      <c r="O67" s="2709"/>
      <c r="P67" s="2708"/>
      <c r="Q67" s="2708"/>
      <c r="R67" s="2710"/>
    </row>
    <row r="68" spans="2:18" s="907" customFormat="1">
      <c r="B68" s="2708"/>
      <c r="C68" s="2708"/>
      <c r="D68" s="2708"/>
      <c r="E68" s="2708"/>
      <c r="F68" s="2708"/>
      <c r="G68" s="2709"/>
      <c r="H68" s="2708"/>
      <c r="I68" s="2709"/>
      <c r="J68" s="2708"/>
      <c r="K68" s="2708"/>
      <c r="L68" s="2709"/>
      <c r="M68" s="2708"/>
      <c r="N68" s="2708"/>
      <c r="O68" s="2709"/>
      <c r="P68" s="2708"/>
      <c r="Q68" s="2708"/>
      <c r="R68" s="2710"/>
    </row>
    <row r="69" spans="2:18" s="907" customFormat="1">
      <c r="B69" s="2708"/>
      <c r="C69" s="2708"/>
      <c r="D69" s="2708"/>
      <c r="E69" s="2708"/>
      <c r="F69" s="2708"/>
      <c r="G69" s="2709"/>
      <c r="H69" s="2708"/>
      <c r="I69" s="2709"/>
      <c r="J69" s="2708"/>
      <c r="K69" s="2708"/>
      <c r="L69" s="2709"/>
      <c r="M69" s="2708"/>
      <c r="N69" s="2708"/>
      <c r="O69" s="2709"/>
      <c r="P69" s="2708"/>
      <c r="Q69" s="2708"/>
      <c r="R69" s="2710"/>
    </row>
    <row r="70" spans="2:18" s="907" customFormat="1">
      <c r="B70" s="2708"/>
      <c r="C70" s="2708"/>
      <c r="D70" s="2708"/>
      <c r="E70" s="2708"/>
      <c r="F70" s="2708"/>
      <c r="G70" s="2709"/>
      <c r="H70" s="2708"/>
      <c r="I70" s="2709"/>
      <c r="J70" s="2708"/>
      <c r="K70" s="2708"/>
      <c r="L70" s="2709"/>
      <c r="M70" s="2708"/>
      <c r="N70" s="2708"/>
      <c r="O70" s="2709"/>
      <c r="P70" s="2708"/>
      <c r="Q70" s="2708"/>
      <c r="R70" s="2710"/>
    </row>
    <row r="71" spans="2:18" s="907" customFormat="1">
      <c r="B71" s="2708"/>
      <c r="C71" s="2708"/>
      <c r="D71" s="2708"/>
      <c r="E71" s="2708"/>
      <c r="F71" s="2708"/>
      <c r="G71" s="2709"/>
      <c r="H71" s="2708"/>
      <c r="I71" s="2709"/>
      <c r="J71" s="2708"/>
      <c r="K71" s="2708"/>
      <c r="L71" s="2709"/>
      <c r="M71" s="2708"/>
      <c r="N71" s="2708"/>
      <c r="O71" s="2709"/>
      <c r="P71" s="2708"/>
      <c r="Q71" s="2708"/>
      <c r="R71" s="2710"/>
    </row>
    <row r="72" spans="2:18" s="907" customFormat="1">
      <c r="B72" s="2708"/>
      <c r="C72" s="2708"/>
      <c r="D72" s="2708"/>
      <c r="E72" s="2708"/>
      <c r="F72" s="2708"/>
      <c r="G72" s="2709"/>
      <c r="H72" s="2708"/>
      <c r="I72" s="2709"/>
      <c r="J72" s="2708"/>
      <c r="K72" s="2708"/>
      <c r="L72" s="2709"/>
      <c r="M72" s="2708"/>
      <c r="N72" s="2708"/>
      <c r="O72" s="2709"/>
      <c r="P72" s="2708"/>
      <c r="Q72" s="2708"/>
      <c r="R72" s="2710"/>
    </row>
    <row r="73" spans="2:18" s="907" customFormat="1">
      <c r="B73" s="2708"/>
      <c r="C73" s="2708"/>
      <c r="D73" s="2708"/>
      <c r="E73" s="2708"/>
      <c r="F73" s="2708"/>
      <c r="G73" s="2709"/>
      <c r="H73" s="2708"/>
      <c r="I73" s="2709"/>
      <c r="J73" s="2708"/>
      <c r="K73" s="2708"/>
      <c r="L73" s="2709"/>
      <c r="M73" s="2708"/>
      <c r="N73" s="2708"/>
      <c r="O73" s="2709"/>
      <c r="P73" s="2708"/>
      <c r="Q73" s="2708"/>
      <c r="R73" s="2710"/>
    </row>
    <row r="74" spans="2:18" s="907" customFormat="1">
      <c r="B74" s="2708"/>
      <c r="C74" s="2708"/>
      <c r="D74" s="2708"/>
      <c r="E74" s="2708"/>
      <c r="F74" s="2708"/>
      <c r="G74" s="2709"/>
      <c r="H74" s="2708"/>
      <c r="I74" s="2709"/>
      <c r="J74" s="2708"/>
      <c r="K74" s="2708"/>
      <c r="L74" s="2709"/>
      <c r="M74" s="2708"/>
      <c r="N74" s="2708"/>
      <c r="O74" s="2709"/>
      <c r="P74" s="2708"/>
      <c r="Q74" s="2708"/>
      <c r="R74" s="2710"/>
    </row>
    <row r="75" spans="2:18" s="907" customFormat="1">
      <c r="B75" s="2708"/>
      <c r="C75" s="2708"/>
      <c r="D75" s="2708"/>
      <c r="E75" s="2708"/>
      <c r="F75" s="2708"/>
      <c r="G75" s="2709"/>
      <c r="H75" s="2708"/>
      <c r="I75" s="2709"/>
      <c r="J75" s="2708"/>
      <c r="K75" s="2708"/>
      <c r="L75" s="2709"/>
      <c r="M75" s="2708"/>
      <c r="N75" s="2708"/>
      <c r="O75" s="2709"/>
      <c r="P75" s="2708"/>
      <c r="Q75" s="2708"/>
      <c r="R75" s="2710"/>
    </row>
    <row r="76" spans="2:18" s="907" customFormat="1">
      <c r="B76" s="2708"/>
      <c r="C76" s="2708"/>
      <c r="D76" s="2708"/>
      <c r="E76" s="2708"/>
      <c r="F76" s="2708"/>
      <c r="G76" s="2709"/>
      <c r="H76" s="2708"/>
      <c r="I76" s="2709"/>
      <c r="J76" s="2708"/>
      <c r="K76" s="2708"/>
      <c r="L76" s="2709"/>
      <c r="M76" s="2708"/>
      <c r="N76" s="2708"/>
      <c r="O76" s="2709"/>
      <c r="P76" s="2708"/>
      <c r="Q76" s="2708"/>
      <c r="R76" s="2710"/>
    </row>
    <row r="77" spans="2:18" s="907" customFormat="1">
      <c r="B77" s="2708"/>
      <c r="C77" s="2708"/>
      <c r="D77" s="2708"/>
      <c r="E77" s="2708"/>
      <c r="F77" s="2708"/>
      <c r="G77" s="2709"/>
      <c r="H77" s="2708"/>
      <c r="I77" s="2709"/>
      <c r="J77" s="2708"/>
      <c r="K77" s="2708"/>
      <c r="L77" s="2709"/>
      <c r="M77" s="2708"/>
      <c r="N77" s="2708"/>
      <c r="O77" s="2709"/>
      <c r="P77" s="2708"/>
      <c r="Q77" s="2708"/>
      <c r="R77" s="2710"/>
    </row>
    <row r="78" spans="2:18" s="907" customFormat="1">
      <c r="B78" s="2708"/>
      <c r="C78" s="2708"/>
      <c r="D78" s="2708"/>
      <c r="E78" s="2708"/>
      <c r="F78" s="2708"/>
      <c r="G78" s="2709"/>
      <c r="H78" s="2708"/>
      <c r="I78" s="2709"/>
      <c r="J78" s="2708"/>
      <c r="K78" s="2708"/>
      <c r="L78" s="2709"/>
      <c r="M78" s="2708"/>
      <c r="N78" s="2708"/>
      <c r="O78" s="2709"/>
      <c r="P78" s="2708"/>
      <c r="Q78" s="2708"/>
      <c r="R78" s="2710"/>
    </row>
    <row r="79" spans="2:18" s="907" customFormat="1">
      <c r="B79" s="2708"/>
      <c r="C79" s="2708"/>
      <c r="D79" s="2708"/>
      <c r="E79" s="2708"/>
      <c r="F79" s="2708"/>
      <c r="G79" s="2709"/>
      <c r="H79" s="2708"/>
      <c r="I79" s="2709"/>
      <c r="J79" s="2708"/>
      <c r="K79" s="2708"/>
      <c r="L79" s="2709"/>
      <c r="M79" s="2708"/>
      <c r="N79" s="2708"/>
      <c r="O79" s="2709"/>
      <c r="P79" s="2708"/>
      <c r="Q79" s="2708"/>
      <c r="R79" s="2710"/>
    </row>
    <row r="80" spans="2:18" s="907" customFormat="1">
      <c r="B80" s="2708"/>
      <c r="C80" s="2708"/>
      <c r="D80" s="2708"/>
      <c r="E80" s="2708"/>
      <c r="F80" s="2708"/>
      <c r="G80" s="2709"/>
      <c r="H80" s="2708"/>
      <c r="I80" s="2709"/>
      <c r="J80" s="2708"/>
      <c r="K80" s="2708"/>
      <c r="L80" s="2709"/>
      <c r="M80" s="2708"/>
      <c r="N80" s="2708"/>
      <c r="O80" s="2709"/>
      <c r="P80" s="2708"/>
      <c r="Q80" s="2708"/>
      <c r="R80" s="2710"/>
    </row>
    <row r="81" spans="2:18" s="907" customFormat="1">
      <c r="B81" s="2708"/>
      <c r="C81" s="2708"/>
      <c r="D81" s="2708"/>
      <c r="E81" s="2708"/>
      <c r="F81" s="2708"/>
      <c r="G81" s="2709"/>
      <c r="H81" s="2708"/>
      <c r="I81" s="2709"/>
      <c r="J81" s="2708"/>
      <c r="K81" s="2708"/>
      <c r="L81" s="2709"/>
      <c r="M81" s="2708"/>
      <c r="N81" s="2708"/>
      <c r="O81" s="2709"/>
      <c r="P81" s="2708"/>
      <c r="Q81" s="2708"/>
      <c r="R81" s="2710"/>
    </row>
    <row r="82" spans="2:18" s="907" customFormat="1">
      <c r="B82" s="2708"/>
      <c r="C82" s="2708"/>
      <c r="D82" s="2708"/>
      <c r="E82" s="2708"/>
      <c r="F82" s="2708"/>
      <c r="G82" s="2709"/>
      <c r="H82" s="2708"/>
      <c r="I82" s="2709"/>
      <c r="J82" s="2708"/>
      <c r="K82" s="2708"/>
      <c r="L82" s="2709"/>
      <c r="M82" s="2708"/>
      <c r="N82" s="2708"/>
      <c r="O82" s="2709"/>
      <c r="P82" s="2708"/>
      <c r="Q82" s="2708"/>
      <c r="R82" s="2710"/>
    </row>
    <row r="83" spans="2:18" s="907" customFormat="1">
      <c r="B83" s="2708"/>
      <c r="C83" s="2708"/>
      <c r="D83" s="2708"/>
      <c r="E83" s="2708"/>
      <c r="F83" s="2708"/>
      <c r="G83" s="2709"/>
      <c r="H83" s="2708"/>
      <c r="I83" s="2709"/>
      <c r="J83" s="2708"/>
      <c r="K83" s="2708"/>
      <c r="L83" s="2709"/>
      <c r="M83" s="2708"/>
      <c r="N83" s="2708"/>
      <c r="O83" s="2709"/>
      <c r="P83" s="2708"/>
      <c r="Q83" s="2708"/>
      <c r="R83" s="2710"/>
    </row>
    <row r="84" spans="2:18" s="907" customFormat="1">
      <c r="B84" s="2708"/>
      <c r="C84" s="2708"/>
      <c r="D84" s="2708"/>
      <c r="E84" s="2708"/>
      <c r="F84" s="2708"/>
      <c r="G84" s="2709"/>
      <c r="H84" s="2708"/>
      <c r="I84" s="2709"/>
      <c r="J84" s="2708"/>
      <c r="K84" s="2708"/>
      <c r="L84" s="2709"/>
      <c r="M84" s="2708"/>
      <c r="N84" s="2708"/>
      <c r="O84" s="2709"/>
      <c r="P84" s="2708"/>
      <c r="Q84" s="2708"/>
      <c r="R84" s="2710"/>
    </row>
    <row r="85" spans="2:18" s="907" customFormat="1">
      <c r="B85" s="2708"/>
      <c r="C85" s="2708"/>
      <c r="D85" s="2708"/>
      <c r="E85" s="2708"/>
      <c r="F85" s="2708"/>
      <c r="G85" s="2709"/>
      <c r="H85" s="2708"/>
      <c r="I85" s="2709"/>
      <c r="J85" s="2708"/>
      <c r="K85" s="2708"/>
      <c r="L85" s="2709"/>
      <c r="M85" s="2708"/>
      <c r="N85" s="2708"/>
      <c r="O85" s="2709"/>
      <c r="P85" s="2708"/>
      <c r="Q85" s="2708"/>
      <c r="R85" s="2710"/>
    </row>
    <row r="86" spans="2:18" s="907" customFormat="1">
      <c r="B86" s="2708"/>
      <c r="C86" s="2708"/>
      <c r="D86" s="2708"/>
      <c r="E86" s="2708"/>
      <c r="F86" s="2708"/>
      <c r="G86" s="2709"/>
      <c r="H86" s="2708"/>
      <c r="I86" s="2709"/>
      <c r="J86" s="2708"/>
      <c r="K86" s="2708"/>
      <c r="L86" s="2709"/>
      <c r="M86" s="2708"/>
      <c r="N86" s="2708"/>
      <c r="O86" s="2709"/>
      <c r="P86" s="2708"/>
      <c r="Q86" s="2708"/>
      <c r="R86" s="2710"/>
    </row>
    <row r="87" spans="2:18" s="907" customFormat="1">
      <c r="B87" s="2708"/>
      <c r="C87" s="2708"/>
      <c r="D87" s="2708"/>
      <c r="E87" s="2708"/>
      <c r="F87" s="2708"/>
      <c r="G87" s="2709"/>
      <c r="H87" s="2708"/>
      <c r="I87" s="2709"/>
      <c r="J87" s="2708"/>
      <c r="K87" s="2708"/>
      <c r="L87" s="2709"/>
      <c r="M87" s="2708"/>
      <c r="N87" s="2708"/>
      <c r="O87" s="2709"/>
      <c r="P87" s="2708"/>
      <c r="Q87" s="2708"/>
      <c r="R87" s="2710"/>
    </row>
    <row r="88" spans="2:18" s="907" customFormat="1">
      <c r="B88" s="2708"/>
      <c r="C88" s="2708"/>
      <c r="D88" s="2708"/>
      <c r="E88" s="2708"/>
      <c r="F88" s="2708"/>
      <c r="G88" s="2709"/>
      <c r="H88" s="2708"/>
      <c r="I88" s="2709"/>
      <c r="J88" s="2708"/>
      <c r="K88" s="2708"/>
      <c r="L88" s="2709"/>
      <c r="M88" s="2708"/>
      <c r="N88" s="2708"/>
      <c r="O88" s="2709"/>
      <c r="P88" s="2708"/>
      <c r="Q88" s="2708"/>
      <c r="R88" s="2710"/>
    </row>
    <row r="89" spans="2:18" s="907" customFormat="1">
      <c r="B89" s="2708"/>
      <c r="C89" s="2708"/>
      <c r="D89" s="2708"/>
      <c r="E89" s="2708"/>
      <c r="F89" s="2708"/>
      <c r="G89" s="2709"/>
      <c r="H89" s="2708"/>
      <c r="I89" s="2709"/>
      <c r="J89" s="2708"/>
      <c r="K89" s="2708"/>
      <c r="L89" s="2709"/>
      <c r="M89" s="2708"/>
      <c r="N89" s="2708"/>
      <c r="O89" s="2709"/>
      <c r="P89" s="2708"/>
      <c r="Q89" s="2708"/>
      <c r="R89" s="2710"/>
    </row>
    <row r="90" spans="2:18" s="907" customFormat="1">
      <c r="B90" s="2708"/>
      <c r="C90" s="2708"/>
      <c r="D90" s="2708"/>
      <c r="E90" s="2708"/>
      <c r="F90" s="2708"/>
      <c r="G90" s="2709"/>
      <c r="H90" s="2708"/>
      <c r="I90" s="2709"/>
      <c r="J90" s="2708"/>
      <c r="K90" s="2708"/>
      <c r="L90" s="2709"/>
      <c r="M90" s="2708"/>
      <c r="N90" s="2708"/>
      <c r="O90" s="2709"/>
      <c r="P90" s="2708"/>
      <c r="Q90" s="2708"/>
      <c r="R90" s="2710"/>
    </row>
    <row r="91" spans="2:18" s="907" customFormat="1">
      <c r="B91" s="2708"/>
      <c r="C91" s="2708"/>
      <c r="D91" s="2708"/>
      <c r="E91" s="2708"/>
      <c r="F91" s="2708"/>
      <c r="G91" s="2709"/>
      <c r="H91" s="2708"/>
      <c r="I91" s="2709"/>
      <c r="J91" s="2708"/>
      <c r="K91" s="2708"/>
      <c r="L91" s="2709"/>
      <c r="M91" s="2708"/>
      <c r="N91" s="2708"/>
      <c r="O91" s="2709"/>
      <c r="P91" s="2708"/>
      <c r="Q91" s="2708"/>
      <c r="R91" s="2710"/>
    </row>
    <row r="92" spans="2:18" s="907" customFormat="1">
      <c r="B92" s="2708"/>
      <c r="C92" s="2708"/>
      <c r="D92" s="2708"/>
      <c r="E92" s="2708"/>
      <c r="F92" s="2708"/>
      <c r="G92" s="2709"/>
      <c r="H92" s="2708"/>
      <c r="I92" s="2709"/>
      <c r="J92" s="2708"/>
      <c r="K92" s="2708"/>
      <c r="L92" s="2709"/>
      <c r="M92" s="2708"/>
      <c r="N92" s="2708"/>
      <c r="O92" s="2709"/>
      <c r="P92" s="2708"/>
      <c r="Q92" s="2708"/>
      <c r="R92" s="2710"/>
    </row>
    <row r="93" spans="2:18" s="907" customFormat="1">
      <c r="B93" s="2708"/>
      <c r="C93" s="2708"/>
      <c r="D93" s="2708"/>
      <c r="E93" s="2708"/>
      <c r="F93" s="2708"/>
      <c r="G93" s="2709"/>
      <c r="H93" s="2708"/>
      <c r="I93" s="2709"/>
      <c r="J93" s="2708"/>
      <c r="K93" s="2708"/>
      <c r="L93" s="2709"/>
      <c r="M93" s="2708"/>
      <c r="N93" s="2708"/>
      <c r="O93" s="2709"/>
      <c r="P93" s="2708"/>
      <c r="Q93" s="2708"/>
      <c r="R93" s="2710"/>
    </row>
    <row r="94" spans="2:18" s="907" customFormat="1">
      <c r="B94" s="2708"/>
      <c r="C94" s="2708"/>
      <c r="D94" s="2708"/>
      <c r="E94" s="2708"/>
      <c r="F94" s="2708"/>
      <c r="G94" s="2709"/>
      <c r="H94" s="2708"/>
      <c r="I94" s="2709"/>
      <c r="J94" s="2708"/>
      <c r="K94" s="2708"/>
      <c r="L94" s="2709"/>
      <c r="M94" s="2708"/>
      <c r="N94" s="2708"/>
      <c r="O94" s="2709"/>
      <c r="P94" s="2708"/>
      <c r="Q94" s="2708"/>
      <c r="R94" s="2710"/>
    </row>
    <row r="95" spans="2:18" s="907" customFormat="1">
      <c r="B95" s="2708"/>
      <c r="C95" s="2708"/>
      <c r="D95" s="2708"/>
      <c r="E95" s="2708"/>
      <c r="F95" s="2708"/>
      <c r="G95" s="2709"/>
      <c r="H95" s="2708"/>
      <c r="I95" s="2709"/>
      <c r="J95" s="2708"/>
      <c r="K95" s="2708"/>
      <c r="L95" s="2709"/>
      <c r="M95" s="2708"/>
      <c r="N95" s="2708"/>
      <c r="O95" s="2709"/>
      <c r="P95" s="2708"/>
      <c r="Q95" s="2708"/>
      <c r="R95" s="2710"/>
    </row>
    <row r="96" spans="2:18" s="907" customFormat="1">
      <c r="B96" s="2708"/>
      <c r="C96" s="2708"/>
      <c r="D96" s="2708"/>
      <c r="E96" s="2708"/>
      <c r="F96" s="2708"/>
      <c r="G96" s="2709"/>
      <c r="H96" s="2708"/>
      <c r="I96" s="2709"/>
      <c r="J96" s="2708"/>
      <c r="K96" s="2708"/>
      <c r="L96" s="2709"/>
      <c r="M96" s="2708"/>
      <c r="N96" s="2708"/>
      <c r="O96" s="2709"/>
      <c r="P96" s="2708"/>
      <c r="Q96" s="2708"/>
      <c r="R96" s="2710"/>
    </row>
    <row r="97" spans="2:18" s="907" customFormat="1">
      <c r="B97" s="2708"/>
      <c r="C97" s="2708"/>
      <c r="D97" s="2708"/>
      <c r="E97" s="2708"/>
      <c r="F97" s="2708"/>
      <c r="G97" s="2709"/>
      <c r="H97" s="2708"/>
      <c r="I97" s="2709"/>
      <c r="J97" s="2708"/>
      <c r="K97" s="2708"/>
      <c r="L97" s="2709"/>
      <c r="M97" s="2708"/>
      <c r="N97" s="2708"/>
      <c r="O97" s="2709"/>
      <c r="P97" s="2708"/>
      <c r="Q97" s="2708"/>
      <c r="R97" s="2710"/>
    </row>
    <row r="98" spans="2:18" s="907" customFormat="1">
      <c r="B98" s="2708"/>
      <c r="C98" s="2708"/>
      <c r="D98" s="2708"/>
      <c r="E98" s="2708"/>
      <c r="F98" s="2708"/>
      <c r="G98" s="2709"/>
      <c r="H98" s="2708"/>
      <c r="I98" s="2709"/>
      <c r="J98" s="2708"/>
      <c r="K98" s="2708"/>
      <c r="L98" s="2709"/>
      <c r="M98" s="2708"/>
      <c r="N98" s="2708"/>
      <c r="O98" s="2709"/>
      <c r="P98" s="2708"/>
      <c r="Q98" s="2708"/>
      <c r="R98" s="2710"/>
    </row>
    <row r="99" spans="2:18" s="907" customFormat="1">
      <c r="B99" s="2708"/>
      <c r="C99" s="2708"/>
      <c r="D99" s="2708"/>
      <c r="E99" s="2708"/>
      <c r="F99" s="2708"/>
      <c r="G99" s="2709"/>
      <c r="H99" s="2708"/>
      <c r="I99" s="2709"/>
      <c r="J99" s="2708"/>
      <c r="K99" s="2708"/>
      <c r="L99" s="2709"/>
      <c r="M99" s="2708"/>
      <c r="N99" s="2708"/>
      <c r="O99" s="2709"/>
      <c r="P99" s="2708"/>
      <c r="Q99" s="2708"/>
      <c r="R99" s="2710"/>
    </row>
    <row r="100" spans="2:18" s="907" customFormat="1">
      <c r="B100" s="2708"/>
      <c r="C100" s="2708"/>
      <c r="D100" s="2708"/>
      <c r="E100" s="2708"/>
      <c r="F100" s="2708"/>
      <c r="G100" s="2709"/>
      <c r="H100" s="2708"/>
      <c r="I100" s="2709"/>
      <c r="J100" s="2708"/>
      <c r="K100" s="2708"/>
      <c r="L100" s="2709"/>
      <c r="M100" s="2708"/>
      <c r="N100" s="2708"/>
      <c r="O100" s="2709"/>
      <c r="P100" s="2708"/>
      <c r="Q100" s="2708"/>
      <c r="R100" s="2710"/>
    </row>
    <row r="101" spans="2:18" s="907" customFormat="1">
      <c r="B101" s="2708"/>
      <c r="C101" s="2708"/>
      <c r="D101" s="2708"/>
      <c r="E101" s="2708"/>
      <c r="F101" s="2708"/>
      <c r="G101" s="2709"/>
      <c r="H101" s="2708"/>
      <c r="I101" s="2709"/>
      <c r="J101" s="2708"/>
      <c r="K101" s="2708"/>
      <c r="L101" s="2709"/>
      <c r="M101" s="2708"/>
      <c r="N101" s="2708"/>
      <c r="O101" s="2709"/>
      <c r="P101" s="2708"/>
      <c r="Q101" s="2708"/>
      <c r="R101" s="2710"/>
    </row>
    <row r="102" spans="2:18" s="907" customFormat="1">
      <c r="B102" s="2708"/>
      <c r="C102" s="2708"/>
      <c r="D102" s="2708"/>
      <c r="E102" s="2708"/>
      <c r="F102" s="2708"/>
      <c r="G102" s="2709"/>
      <c r="H102" s="2708"/>
      <c r="I102" s="2709"/>
      <c r="J102" s="2708"/>
      <c r="K102" s="2708"/>
      <c r="L102" s="2709"/>
      <c r="M102" s="2708"/>
      <c r="N102" s="2708"/>
      <c r="O102" s="2709"/>
      <c r="P102" s="2708"/>
      <c r="Q102" s="2708"/>
      <c r="R102" s="2710"/>
    </row>
    <row r="103" spans="2:18" s="907" customFormat="1">
      <c r="B103" s="2708"/>
      <c r="C103" s="2708"/>
      <c r="D103" s="2708"/>
      <c r="E103" s="2708"/>
      <c r="F103" s="2708"/>
      <c r="G103" s="2709"/>
      <c r="H103" s="2708"/>
      <c r="I103" s="2709"/>
      <c r="J103" s="2708"/>
      <c r="K103" s="2708"/>
      <c r="L103" s="2709"/>
      <c r="M103" s="2708"/>
      <c r="N103" s="2708"/>
      <c r="O103" s="2709"/>
      <c r="P103" s="2708"/>
      <c r="Q103" s="2708"/>
      <c r="R103" s="2710"/>
    </row>
    <row r="104" spans="2:18" s="907" customFormat="1">
      <c r="B104" s="2708"/>
      <c r="C104" s="2708"/>
      <c r="D104" s="2708"/>
      <c r="E104" s="2708"/>
      <c r="F104" s="2708"/>
      <c r="G104" s="2709"/>
      <c r="H104" s="2708"/>
      <c r="I104" s="2709"/>
      <c r="J104" s="2708"/>
      <c r="K104" s="2708"/>
      <c r="L104" s="2709"/>
      <c r="M104" s="2708"/>
      <c r="N104" s="2708"/>
      <c r="O104" s="2709"/>
      <c r="P104" s="2708"/>
      <c r="Q104" s="2708"/>
      <c r="R104" s="2710"/>
    </row>
    <row r="105" spans="2:18" s="907" customFormat="1">
      <c r="B105" s="2708"/>
      <c r="C105" s="2708"/>
      <c r="D105" s="2708"/>
      <c r="E105" s="2708"/>
      <c r="F105" s="2708"/>
      <c r="G105" s="2709"/>
      <c r="H105" s="2708"/>
      <c r="I105" s="2709"/>
      <c r="J105" s="2708"/>
      <c r="K105" s="2708"/>
      <c r="L105" s="2709"/>
      <c r="M105" s="2708"/>
      <c r="N105" s="2708"/>
      <c r="O105" s="2709"/>
      <c r="P105" s="2708"/>
      <c r="Q105" s="2708"/>
      <c r="R105" s="2710"/>
    </row>
    <row r="106" spans="2:18" s="907" customFormat="1">
      <c r="B106" s="2708"/>
      <c r="C106" s="2708"/>
      <c r="D106" s="2708"/>
      <c r="E106" s="2708"/>
      <c r="F106" s="2708"/>
      <c r="G106" s="2709"/>
      <c r="H106" s="2708"/>
      <c r="I106" s="2709"/>
      <c r="J106" s="2708"/>
      <c r="K106" s="2708"/>
      <c r="L106" s="2709"/>
      <c r="M106" s="2708"/>
      <c r="N106" s="2708"/>
      <c r="O106" s="2709"/>
      <c r="P106" s="2708"/>
      <c r="Q106" s="2708"/>
      <c r="R106" s="2710"/>
    </row>
    <row r="107" spans="2:18" s="907" customFormat="1">
      <c r="B107" s="2708"/>
      <c r="C107" s="2708"/>
      <c r="D107" s="2708"/>
      <c r="E107" s="2708"/>
      <c r="F107" s="2708"/>
      <c r="G107" s="2709"/>
      <c r="H107" s="2708"/>
      <c r="I107" s="2709"/>
      <c r="J107" s="2708"/>
      <c r="K107" s="2708"/>
      <c r="L107" s="2709"/>
      <c r="M107" s="2708"/>
      <c r="N107" s="2708"/>
      <c r="O107" s="2709"/>
      <c r="P107" s="2708"/>
      <c r="Q107" s="2708"/>
      <c r="R107" s="2710"/>
    </row>
    <row r="108" spans="2:18" s="907" customFormat="1">
      <c r="B108" s="2708"/>
      <c r="C108" s="2708"/>
      <c r="D108" s="2708"/>
      <c r="E108" s="2708"/>
      <c r="F108" s="2708"/>
      <c r="G108" s="2709"/>
      <c r="H108" s="2708"/>
      <c r="I108" s="2709"/>
      <c r="J108" s="2708"/>
      <c r="K108" s="2708"/>
      <c r="L108" s="2709"/>
      <c r="M108" s="2708"/>
      <c r="N108" s="2708"/>
      <c r="O108" s="2709"/>
      <c r="P108" s="2708"/>
      <c r="Q108" s="2708"/>
      <c r="R108" s="2710"/>
    </row>
    <row r="109" spans="2:18" s="907" customFormat="1">
      <c r="B109" s="2708"/>
      <c r="C109" s="2708"/>
      <c r="D109" s="2708"/>
      <c r="E109" s="2708"/>
      <c r="F109" s="2708"/>
      <c r="G109" s="2709"/>
      <c r="H109" s="2708"/>
      <c r="I109" s="2709"/>
      <c r="J109" s="2708"/>
      <c r="K109" s="2708"/>
      <c r="L109" s="2709"/>
      <c r="M109" s="2708"/>
      <c r="N109" s="2708"/>
      <c r="O109" s="2709"/>
      <c r="P109" s="2708"/>
      <c r="Q109" s="2708"/>
      <c r="R109" s="2710"/>
    </row>
    <row r="110" spans="2:18" s="907" customFormat="1">
      <c r="B110" s="2708"/>
      <c r="C110" s="2708"/>
      <c r="D110" s="2708"/>
      <c r="E110" s="2708"/>
      <c r="F110" s="2708"/>
      <c r="G110" s="2709"/>
      <c r="H110" s="2708"/>
      <c r="I110" s="2709"/>
      <c r="J110" s="2708"/>
      <c r="K110" s="2708"/>
      <c r="L110" s="2709"/>
      <c r="M110" s="2708"/>
      <c r="N110" s="2708"/>
      <c r="O110" s="2709"/>
      <c r="P110" s="2708"/>
      <c r="Q110" s="2708"/>
      <c r="R110" s="2710"/>
    </row>
    <row r="111" spans="2:18" s="907" customFormat="1">
      <c r="B111" s="2708"/>
      <c r="C111" s="2708"/>
      <c r="D111" s="2708"/>
      <c r="E111" s="2708"/>
      <c r="F111" s="2708"/>
      <c r="G111" s="2709"/>
      <c r="H111" s="2708"/>
      <c r="I111" s="2709"/>
      <c r="J111" s="2708"/>
      <c r="K111" s="2708"/>
      <c r="L111" s="2709"/>
      <c r="M111" s="2708"/>
      <c r="N111" s="2708"/>
      <c r="O111" s="2709"/>
      <c r="P111" s="2708"/>
      <c r="Q111" s="2708"/>
      <c r="R111" s="2710"/>
    </row>
    <row r="112" spans="2:18" s="907" customFormat="1">
      <c r="B112" s="2708"/>
      <c r="C112" s="2708"/>
      <c r="D112" s="2708"/>
      <c r="E112" s="2708"/>
      <c r="F112" s="2708"/>
      <c r="G112" s="2709"/>
      <c r="H112" s="2708"/>
      <c r="I112" s="2709"/>
      <c r="J112" s="2708"/>
      <c r="K112" s="2708"/>
      <c r="L112" s="2709"/>
      <c r="M112" s="2708"/>
      <c r="N112" s="2708"/>
      <c r="O112" s="2709"/>
      <c r="P112" s="2708"/>
      <c r="Q112" s="2708"/>
      <c r="R112" s="2710"/>
    </row>
    <row r="113" spans="2:18" s="907" customFormat="1">
      <c r="B113" s="2708"/>
      <c r="C113" s="2708"/>
      <c r="D113" s="2708"/>
      <c r="E113" s="2708"/>
      <c r="F113" s="2708"/>
      <c r="G113" s="2709"/>
      <c r="H113" s="2708"/>
      <c r="I113" s="2709"/>
      <c r="J113" s="2708"/>
      <c r="K113" s="2708"/>
      <c r="L113" s="2709"/>
      <c r="M113" s="2708"/>
      <c r="N113" s="2708"/>
      <c r="O113" s="2709"/>
      <c r="P113" s="2708"/>
      <c r="Q113" s="2708"/>
      <c r="R113" s="2710"/>
    </row>
    <row r="114" spans="2:18" s="907" customFormat="1">
      <c r="B114" s="2708"/>
      <c r="C114" s="2708"/>
      <c r="D114" s="2708"/>
      <c r="E114" s="2708"/>
      <c r="F114" s="2708"/>
      <c r="G114" s="2709"/>
      <c r="H114" s="2708"/>
      <c r="I114" s="2709"/>
      <c r="J114" s="2708"/>
      <c r="K114" s="2708"/>
      <c r="L114" s="2709"/>
      <c r="M114" s="2708"/>
      <c r="N114" s="2708"/>
      <c r="O114" s="2709"/>
      <c r="P114" s="2708"/>
      <c r="Q114" s="2708"/>
      <c r="R114" s="2710"/>
    </row>
    <row r="115" spans="2:18" s="907" customFormat="1">
      <c r="B115" s="2708"/>
      <c r="C115" s="2708"/>
      <c r="D115" s="2708"/>
      <c r="E115" s="2708"/>
      <c r="F115" s="2708"/>
      <c r="G115" s="2709"/>
      <c r="H115" s="2708"/>
      <c r="I115" s="2709"/>
      <c r="J115" s="2708"/>
      <c r="K115" s="2708"/>
      <c r="L115" s="2709"/>
      <c r="M115" s="2708"/>
      <c r="N115" s="2708"/>
      <c r="O115" s="2709"/>
      <c r="P115" s="2708"/>
      <c r="Q115" s="2708"/>
      <c r="R115" s="2710"/>
    </row>
    <row r="116" spans="2:18" s="907" customFormat="1">
      <c r="B116" s="2708"/>
      <c r="C116" s="2708"/>
      <c r="D116" s="2708"/>
      <c r="E116" s="2708"/>
      <c r="F116" s="2708"/>
      <c r="G116" s="2709"/>
      <c r="H116" s="2708"/>
      <c r="I116" s="2709"/>
      <c r="J116" s="2708"/>
      <c r="K116" s="2708"/>
      <c r="L116" s="2709"/>
      <c r="M116" s="2708"/>
      <c r="N116" s="2708"/>
      <c r="O116" s="2709"/>
      <c r="P116" s="2708"/>
      <c r="Q116" s="2708"/>
      <c r="R116" s="2710"/>
    </row>
    <row r="117" spans="2:18" s="907" customFormat="1">
      <c r="B117" s="2708"/>
      <c r="C117" s="2708"/>
      <c r="D117" s="2708"/>
      <c r="E117" s="2708"/>
      <c r="F117" s="2708"/>
      <c r="G117" s="2709"/>
      <c r="H117" s="2708"/>
      <c r="I117" s="2709"/>
      <c r="J117" s="2708"/>
      <c r="K117" s="2708"/>
      <c r="L117" s="2709"/>
      <c r="M117" s="2708"/>
      <c r="N117" s="2708"/>
      <c r="O117" s="2709"/>
      <c r="P117" s="2708"/>
      <c r="Q117" s="2708"/>
      <c r="R117" s="2710"/>
    </row>
    <row r="118" spans="2:18" s="907" customFormat="1">
      <c r="B118" s="2708"/>
      <c r="C118" s="2708"/>
      <c r="D118" s="2708"/>
      <c r="E118" s="2708"/>
      <c r="F118" s="2708"/>
      <c r="G118" s="2709"/>
      <c r="H118" s="2708"/>
      <c r="I118" s="2709"/>
      <c r="J118" s="2708"/>
      <c r="K118" s="2708"/>
      <c r="L118" s="2709"/>
      <c r="M118" s="2708"/>
      <c r="N118" s="2708"/>
      <c r="O118" s="2709"/>
      <c r="P118" s="2708"/>
      <c r="Q118" s="2708"/>
      <c r="R118" s="2710"/>
    </row>
    <row r="119" spans="2:18" s="907" customFormat="1">
      <c r="B119" s="2708"/>
      <c r="C119" s="2708"/>
      <c r="D119" s="2708"/>
      <c r="E119" s="2708"/>
      <c r="F119" s="2708"/>
      <c r="G119" s="2709"/>
      <c r="H119" s="2708"/>
      <c r="I119" s="2709"/>
      <c r="J119" s="2708"/>
      <c r="K119" s="2708"/>
      <c r="L119" s="2709"/>
      <c r="M119" s="2708"/>
      <c r="N119" s="2708"/>
      <c r="O119" s="2709"/>
      <c r="P119" s="2708"/>
      <c r="Q119" s="2708"/>
      <c r="R119" s="2710"/>
    </row>
    <row r="120" spans="2:18" s="907" customFormat="1">
      <c r="B120" s="2708"/>
      <c r="C120" s="2708"/>
      <c r="D120" s="2708"/>
      <c r="E120" s="2708"/>
      <c r="F120" s="2708"/>
      <c r="G120" s="2709"/>
      <c r="H120" s="2708"/>
      <c r="I120" s="2709"/>
      <c r="J120" s="2708"/>
      <c r="K120" s="2708"/>
      <c r="L120" s="2709"/>
      <c r="M120" s="2708"/>
      <c r="N120" s="2708"/>
      <c r="O120" s="2709"/>
      <c r="P120" s="2708"/>
      <c r="Q120" s="2708"/>
      <c r="R120" s="2710"/>
    </row>
    <row r="121" spans="2:18" s="907" customFormat="1">
      <c r="B121" s="2708"/>
      <c r="C121" s="2708"/>
      <c r="D121" s="2708"/>
      <c r="E121" s="2708"/>
      <c r="F121" s="2708"/>
      <c r="G121" s="2709"/>
      <c r="H121" s="2708"/>
      <c r="I121" s="2709"/>
      <c r="J121" s="2708"/>
      <c r="K121" s="2708"/>
      <c r="L121" s="2709"/>
      <c r="M121" s="2708"/>
      <c r="N121" s="2708"/>
      <c r="O121" s="2709"/>
      <c r="P121" s="2708"/>
      <c r="Q121" s="2708"/>
      <c r="R121" s="2710"/>
    </row>
    <row r="122" spans="2:18" s="907" customFormat="1">
      <c r="B122" s="2708"/>
      <c r="C122" s="2708"/>
      <c r="D122" s="2708"/>
      <c r="E122" s="2708"/>
      <c r="F122" s="2708"/>
      <c r="G122" s="2709"/>
      <c r="H122" s="2708"/>
      <c r="I122" s="2709"/>
      <c r="J122" s="2708"/>
      <c r="K122" s="2708"/>
      <c r="L122" s="2709"/>
      <c r="M122" s="2708"/>
      <c r="N122" s="2708"/>
      <c r="O122" s="2709"/>
      <c r="P122" s="2708"/>
      <c r="Q122" s="2708"/>
      <c r="R122" s="2710"/>
    </row>
    <row r="123" spans="2:18" s="907" customFormat="1">
      <c r="B123" s="2708"/>
      <c r="C123" s="2708"/>
      <c r="D123" s="2708"/>
      <c r="E123" s="2708"/>
      <c r="F123" s="2708"/>
      <c r="G123" s="2709"/>
      <c r="H123" s="2708"/>
      <c r="I123" s="2709"/>
      <c r="J123" s="2708"/>
      <c r="K123" s="2708"/>
      <c r="L123" s="2709"/>
      <c r="M123" s="2708"/>
      <c r="N123" s="2708"/>
      <c r="O123" s="2709"/>
      <c r="P123" s="2708"/>
      <c r="Q123" s="2708"/>
      <c r="R123" s="2710"/>
    </row>
    <row r="124" spans="2:18" s="907" customFormat="1">
      <c r="B124" s="2708"/>
      <c r="C124" s="2708"/>
      <c r="D124" s="2708"/>
      <c r="E124" s="2708"/>
      <c r="F124" s="2708"/>
      <c r="G124" s="2709"/>
      <c r="H124" s="2708"/>
      <c r="I124" s="2709"/>
      <c r="J124" s="2708"/>
      <c r="K124" s="2708"/>
      <c r="L124" s="2709"/>
      <c r="M124" s="2708"/>
      <c r="N124" s="2708"/>
      <c r="O124" s="2709"/>
      <c r="P124" s="2708"/>
      <c r="Q124" s="2708"/>
      <c r="R124" s="2710"/>
    </row>
    <row r="125" spans="2:18" s="907" customFormat="1">
      <c r="B125" s="2708"/>
      <c r="C125" s="2708"/>
      <c r="D125" s="2708"/>
      <c r="E125" s="2708"/>
      <c r="F125" s="2708"/>
      <c r="G125" s="2709"/>
      <c r="H125" s="2708"/>
      <c r="I125" s="2709"/>
      <c r="J125" s="2708"/>
      <c r="K125" s="2708"/>
      <c r="L125" s="2709"/>
      <c r="M125" s="2708"/>
      <c r="N125" s="2708"/>
      <c r="O125" s="2709"/>
      <c r="P125" s="2708"/>
      <c r="Q125" s="2708"/>
      <c r="R125" s="2710"/>
    </row>
    <row r="126" spans="2:18" s="907" customFormat="1">
      <c r="B126" s="2708"/>
      <c r="C126" s="2708"/>
      <c r="D126" s="2708"/>
      <c r="E126" s="2708"/>
      <c r="F126" s="2708"/>
      <c r="G126" s="2709"/>
      <c r="H126" s="2708"/>
      <c r="I126" s="2709"/>
      <c r="J126" s="2708"/>
      <c r="K126" s="2708"/>
      <c r="L126" s="2709"/>
      <c r="M126" s="2708"/>
      <c r="N126" s="2708"/>
      <c r="O126" s="2709"/>
      <c r="P126" s="2708"/>
      <c r="Q126" s="2708"/>
      <c r="R126" s="2710"/>
    </row>
    <row r="127" spans="2:18" s="907" customFormat="1">
      <c r="B127" s="2708"/>
      <c r="C127" s="2708"/>
      <c r="D127" s="2708"/>
      <c r="E127" s="2708"/>
      <c r="F127" s="2708"/>
      <c r="G127" s="2709"/>
      <c r="H127" s="2708"/>
      <c r="I127" s="2709"/>
      <c r="J127" s="2708"/>
      <c r="K127" s="2708"/>
      <c r="L127" s="2709"/>
      <c r="M127" s="2708"/>
      <c r="N127" s="2708"/>
      <c r="O127" s="2709"/>
      <c r="P127" s="2708"/>
      <c r="Q127" s="2708"/>
      <c r="R127" s="2710"/>
    </row>
    <row r="128" spans="2:18" s="907" customFormat="1">
      <c r="B128" s="2708"/>
      <c r="C128" s="2708"/>
      <c r="D128" s="2708"/>
      <c r="E128" s="2708"/>
      <c r="F128" s="2708"/>
      <c r="G128" s="2709"/>
      <c r="H128" s="2708"/>
      <c r="I128" s="2709"/>
      <c r="J128" s="2708"/>
      <c r="K128" s="2708"/>
      <c r="L128" s="2709"/>
      <c r="M128" s="2708"/>
      <c r="N128" s="2708"/>
      <c r="O128" s="2709"/>
      <c r="P128" s="2708"/>
      <c r="Q128" s="2708"/>
      <c r="R128" s="2710"/>
    </row>
    <row r="129" spans="2:18" s="907" customFormat="1">
      <c r="B129" s="2708"/>
      <c r="C129" s="2708"/>
      <c r="D129" s="2708"/>
      <c r="E129" s="2708"/>
      <c r="F129" s="2708"/>
      <c r="G129" s="2709"/>
      <c r="H129" s="2708"/>
      <c r="I129" s="2709"/>
      <c r="J129" s="2708"/>
      <c r="K129" s="2708"/>
      <c r="L129" s="2709"/>
      <c r="M129" s="2708"/>
      <c r="N129" s="2708"/>
      <c r="O129" s="2709"/>
      <c r="P129" s="2708"/>
      <c r="Q129" s="2708"/>
      <c r="R129" s="2710"/>
    </row>
    <row r="130" spans="2:18" s="907" customFormat="1">
      <c r="B130" s="2708"/>
      <c r="C130" s="2708"/>
      <c r="D130" s="2708"/>
      <c r="E130" s="2708"/>
      <c r="F130" s="2708"/>
      <c r="G130" s="2709"/>
      <c r="H130" s="2708"/>
      <c r="I130" s="2709"/>
      <c r="J130" s="2708"/>
      <c r="K130" s="2708"/>
      <c r="L130" s="2709"/>
      <c r="M130" s="2708"/>
      <c r="N130" s="2708"/>
      <c r="O130" s="2709"/>
      <c r="P130" s="2708"/>
      <c r="Q130" s="2708"/>
      <c r="R130" s="2710"/>
    </row>
    <row r="131" spans="2:18" s="907" customFormat="1">
      <c r="B131" s="2708"/>
      <c r="C131" s="2708"/>
      <c r="D131" s="2708"/>
      <c r="E131" s="2708"/>
      <c r="F131" s="2708"/>
      <c r="G131" s="2709"/>
      <c r="H131" s="2708"/>
      <c r="I131" s="2709"/>
      <c r="J131" s="2708"/>
      <c r="K131" s="2708"/>
      <c r="L131" s="2709"/>
      <c r="M131" s="2708"/>
      <c r="N131" s="2708"/>
      <c r="O131" s="2709"/>
      <c r="P131" s="2708"/>
      <c r="Q131" s="2708"/>
      <c r="R131" s="2710"/>
    </row>
    <row r="132" spans="2:18" s="907" customFormat="1">
      <c r="B132" s="2708"/>
      <c r="C132" s="2708"/>
      <c r="D132" s="2708"/>
      <c r="E132" s="2708"/>
      <c r="F132" s="2708"/>
      <c r="G132" s="2709"/>
      <c r="H132" s="2708"/>
      <c r="I132" s="2709"/>
      <c r="J132" s="2708"/>
      <c r="K132" s="2708"/>
      <c r="L132" s="2709"/>
      <c r="M132" s="2708"/>
      <c r="N132" s="2708"/>
      <c r="O132" s="2709"/>
      <c r="P132" s="2708"/>
      <c r="Q132" s="2708"/>
      <c r="R132" s="2710"/>
    </row>
    <row r="133" spans="2:18" s="907" customFormat="1">
      <c r="B133" s="2708"/>
      <c r="C133" s="2708"/>
      <c r="D133" s="2708"/>
      <c r="E133" s="2708"/>
      <c r="F133" s="2708"/>
      <c r="G133" s="2709"/>
      <c r="H133" s="2708"/>
      <c r="I133" s="2709"/>
      <c r="J133" s="2708"/>
      <c r="K133" s="2708"/>
      <c r="L133" s="2709"/>
      <c r="M133" s="2708"/>
      <c r="N133" s="2708"/>
      <c r="O133" s="2709"/>
      <c r="P133" s="2708"/>
      <c r="Q133" s="2708"/>
      <c r="R133" s="2710"/>
    </row>
    <row r="134" spans="2:18" s="907" customFormat="1">
      <c r="B134" s="2708"/>
      <c r="C134" s="2708"/>
      <c r="D134" s="2708"/>
      <c r="E134" s="2708"/>
      <c r="F134" s="2708"/>
      <c r="G134" s="2709"/>
      <c r="H134" s="2708"/>
      <c r="I134" s="2709"/>
      <c r="J134" s="2708"/>
      <c r="K134" s="2708"/>
      <c r="L134" s="2709"/>
      <c r="M134" s="2708"/>
      <c r="N134" s="2708"/>
      <c r="O134" s="2709"/>
      <c r="P134" s="2708"/>
      <c r="Q134" s="2708"/>
      <c r="R134" s="2710"/>
    </row>
    <row r="135" spans="2:18" s="907" customFormat="1">
      <c r="B135" s="2708"/>
      <c r="C135" s="2708"/>
      <c r="D135" s="2708"/>
      <c r="E135" s="2708"/>
      <c r="F135" s="2708"/>
      <c r="G135" s="2709"/>
      <c r="H135" s="2708"/>
      <c r="I135" s="2709"/>
      <c r="J135" s="2708"/>
      <c r="K135" s="2708"/>
      <c r="L135" s="2709"/>
      <c r="M135" s="2708"/>
      <c r="N135" s="2708"/>
      <c r="O135" s="2709"/>
      <c r="P135" s="2708"/>
      <c r="Q135" s="2708"/>
      <c r="R135" s="2710"/>
    </row>
    <row r="136" spans="2:18" s="907" customFormat="1">
      <c r="B136" s="2708"/>
      <c r="C136" s="2708"/>
      <c r="D136" s="2708"/>
      <c r="E136" s="2708"/>
      <c r="F136" s="2708"/>
      <c r="G136" s="2709"/>
      <c r="H136" s="2708"/>
      <c r="I136" s="2709"/>
      <c r="J136" s="2708"/>
      <c r="K136" s="2708"/>
      <c r="L136" s="2709"/>
      <c r="M136" s="2708"/>
      <c r="N136" s="2708"/>
      <c r="O136" s="2709"/>
      <c r="P136" s="2708"/>
      <c r="Q136" s="2708"/>
      <c r="R136" s="2710"/>
    </row>
    <row r="137" spans="2:18" s="907" customFormat="1">
      <c r="B137" s="2708"/>
      <c r="C137" s="2708"/>
      <c r="D137" s="2708"/>
      <c r="E137" s="2708"/>
      <c r="F137" s="2708"/>
      <c r="G137" s="2709"/>
      <c r="H137" s="2708"/>
      <c r="I137" s="2709"/>
      <c r="J137" s="2708"/>
      <c r="K137" s="2708"/>
      <c r="L137" s="2709"/>
      <c r="M137" s="2708"/>
      <c r="N137" s="2708"/>
      <c r="O137" s="2709"/>
      <c r="P137" s="2708"/>
      <c r="Q137" s="2708"/>
      <c r="R137" s="2710"/>
    </row>
    <row r="138" spans="2:18" s="907" customFormat="1">
      <c r="B138" s="2708"/>
      <c r="C138" s="2708"/>
      <c r="D138" s="2708"/>
      <c r="E138" s="2708"/>
      <c r="F138" s="2708"/>
      <c r="G138" s="2709"/>
      <c r="H138" s="2708"/>
      <c r="I138" s="2709"/>
      <c r="J138" s="2708"/>
      <c r="K138" s="2708"/>
      <c r="L138" s="2709"/>
      <c r="M138" s="2708"/>
      <c r="N138" s="2708"/>
      <c r="O138" s="2709"/>
      <c r="P138" s="2708"/>
      <c r="Q138" s="2708"/>
      <c r="R138" s="2710"/>
    </row>
    <row r="139" spans="2:18" s="907" customFormat="1">
      <c r="B139" s="2708"/>
      <c r="C139" s="2708"/>
      <c r="D139" s="2708"/>
      <c r="E139" s="2708"/>
      <c r="F139" s="2708"/>
      <c r="G139" s="2709"/>
      <c r="H139" s="2708"/>
      <c r="I139" s="2709"/>
      <c r="J139" s="2708"/>
      <c r="K139" s="2708"/>
      <c r="L139" s="2709"/>
      <c r="M139" s="2708"/>
      <c r="N139" s="2708"/>
      <c r="O139" s="2709"/>
      <c r="P139" s="2708"/>
      <c r="Q139" s="2708"/>
      <c r="R139" s="2710"/>
    </row>
    <row r="140" spans="2:18" s="907" customFormat="1">
      <c r="B140" s="2708"/>
      <c r="C140" s="2708"/>
      <c r="D140" s="2708"/>
      <c r="E140" s="2708"/>
      <c r="F140" s="2708"/>
      <c r="G140" s="2709"/>
      <c r="H140" s="2708"/>
      <c r="I140" s="2709"/>
      <c r="J140" s="2708"/>
      <c r="K140" s="2708"/>
      <c r="L140" s="2709"/>
      <c r="M140" s="2708"/>
      <c r="N140" s="2708"/>
      <c r="O140" s="2709"/>
      <c r="P140" s="2708"/>
      <c r="Q140" s="2708"/>
      <c r="R140" s="2710"/>
    </row>
    <row r="141" spans="2:18" s="907" customFormat="1">
      <c r="B141" s="2708"/>
      <c r="C141" s="2708"/>
      <c r="D141" s="2708"/>
      <c r="E141" s="2708"/>
      <c r="F141" s="2708"/>
      <c r="G141" s="2709"/>
      <c r="H141" s="2708"/>
      <c r="I141" s="2709"/>
      <c r="J141" s="2708"/>
      <c r="K141" s="2708"/>
      <c r="L141" s="2709"/>
      <c r="M141" s="2708"/>
      <c r="N141" s="2708"/>
      <c r="O141" s="2709"/>
      <c r="P141" s="2708"/>
      <c r="Q141" s="2708"/>
      <c r="R141" s="2710"/>
    </row>
    <row r="142" spans="2:18" s="907" customFormat="1">
      <c r="B142" s="2708"/>
      <c r="C142" s="2708"/>
      <c r="D142" s="2708"/>
      <c r="E142" s="2708"/>
      <c r="F142" s="2708"/>
      <c r="G142" s="2709"/>
      <c r="H142" s="2708"/>
      <c r="I142" s="2709"/>
      <c r="J142" s="2708"/>
      <c r="K142" s="2708"/>
      <c r="L142" s="2709"/>
      <c r="M142" s="2708"/>
      <c r="N142" s="2708"/>
      <c r="O142" s="2709"/>
      <c r="P142" s="2708"/>
      <c r="Q142" s="2708"/>
      <c r="R142" s="2710"/>
    </row>
    <row r="143" spans="2:18" s="907" customFormat="1">
      <c r="B143" s="2708"/>
      <c r="C143" s="2708"/>
      <c r="D143" s="2708"/>
      <c r="E143" s="2708"/>
      <c r="F143" s="2708"/>
      <c r="G143" s="2709"/>
      <c r="H143" s="2708"/>
      <c r="I143" s="2709"/>
      <c r="J143" s="2708"/>
      <c r="K143" s="2708"/>
      <c r="L143" s="2709"/>
      <c r="M143" s="2708"/>
      <c r="N143" s="2708"/>
      <c r="O143" s="2709"/>
      <c r="P143" s="2708"/>
      <c r="Q143" s="2708"/>
      <c r="R143" s="2710"/>
    </row>
    <row r="144" spans="2:18" s="907" customFormat="1">
      <c r="B144" s="2708"/>
      <c r="C144" s="2708"/>
      <c r="D144" s="2708"/>
      <c r="E144" s="2708"/>
      <c r="F144" s="2708"/>
      <c r="G144" s="2709"/>
      <c r="H144" s="2708"/>
      <c r="I144" s="2709"/>
      <c r="J144" s="2708"/>
      <c r="K144" s="2708"/>
      <c r="L144" s="2709"/>
      <c r="M144" s="2708"/>
      <c r="N144" s="2708"/>
      <c r="O144" s="2709"/>
      <c r="P144" s="2708"/>
      <c r="Q144" s="2708"/>
      <c r="R144" s="2710"/>
    </row>
    <row r="145" spans="2:18" s="907" customFormat="1">
      <c r="B145" s="2708"/>
      <c r="C145" s="2708"/>
      <c r="D145" s="2708"/>
      <c r="E145" s="2708"/>
      <c r="F145" s="2708"/>
      <c r="G145" s="2709"/>
      <c r="H145" s="2708"/>
      <c r="I145" s="2709"/>
      <c r="J145" s="2708"/>
      <c r="K145" s="2708"/>
      <c r="L145" s="2709"/>
      <c r="M145" s="2708"/>
      <c r="N145" s="2708"/>
      <c r="O145" s="2709"/>
      <c r="P145" s="2708"/>
      <c r="Q145" s="2708"/>
      <c r="R145" s="2710"/>
    </row>
    <row r="146" spans="2:18" s="907" customFormat="1">
      <c r="B146" s="2708"/>
      <c r="C146" s="2708"/>
      <c r="D146" s="2708"/>
      <c r="E146" s="2708"/>
      <c r="F146" s="2708"/>
      <c r="G146" s="2709"/>
      <c r="H146" s="2708"/>
      <c r="I146" s="2709"/>
      <c r="J146" s="2708"/>
      <c r="K146" s="2708"/>
      <c r="L146" s="2709"/>
      <c r="M146" s="2708"/>
      <c r="N146" s="2708"/>
      <c r="O146" s="2709"/>
      <c r="P146" s="2708"/>
      <c r="Q146" s="2708"/>
      <c r="R146" s="2710"/>
    </row>
    <row r="147" spans="2:18" s="907" customFormat="1">
      <c r="B147" s="2708"/>
      <c r="C147" s="2708"/>
      <c r="D147" s="2708"/>
      <c r="E147" s="2708"/>
      <c r="F147" s="2708"/>
      <c r="G147" s="2709"/>
      <c r="H147" s="2708"/>
      <c r="I147" s="2709"/>
      <c r="J147" s="2708"/>
      <c r="K147" s="2708"/>
      <c r="L147" s="2709"/>
      <c r="M147" s="2708"/>
      <c r="N147" s="2708"/>
      <c r="O147" s="2709"/>
      <c r="P147" s="2708"/>
      <c r="Q147" s="2708"/>
      <c r="R147" s="2710"/>
    </row>
    <row r="148" spans="2:18" s="907" customFormat="1">
      <c r="B148" s="2708"/>
      <c r="C148" s="2708"/>
      <c r="D148" s="2708"/>
      <c r="E148" s="2708"/>
      <c r="F148" s="2708"/>
      <c r="G148" s="2709"/>
      <c r="H148" s="2708"/>
      <c r="I148" s="2709"/>
      <c r="J148" s="2708"/>
      <c r="K148" s="2708"/>
      <c r="L148" s="2709"/>
      <c r="M148" s="2708"/>
      <c r="N148" s="2708"/>
      <c r="O148" s="2709"/>
      <c r="P148" s="2708"/>
      <c r="Q148" s="2708"/>
      <c r="R148" s="2710"/>
    </row>
    <row r="149" spans="2:18" s="907" customFormat="1">
      <c r="B149" s="2708"/>
      <c r="C149" s="2708"/>
      <c r="D149" s="2708"/>
      <c r="E149" s="2708"/>
      <c r="F149" s="2708"/>
      <c r="G149" s="2709"/>
      <c r="H149" s="2708"/>
      <c r="I149" s="2709"/>
      <c r="J149" s="2708"/>
      <c r="K149" s="2708"/>
      <c r="L149" s="2709"/>
      <c r="M149" s="2708"/>
      <c r="N149" s="2708"/>
      <c r="O149" s="2709"/>
      <c r="P149" s="2708"/>
      <c r="Q149" s="2708"/>
      <c r="R149" s="2710"/>
    </row>
    <row r="150" spans="2:18" s="907" customFormat="1">
      <c r="B150" s="2708"/>
      <c r="C150" s="2708"/>
      <c r="D150" s="2708"/>
      <c r="E150" s="2708"/>
      <c r="F150" s="2708"/>
      <c r="G150" s="2709"/>
      <c r="H150" s="2708"/>
      <c r="I150" s="2709"/>
      <c r="J150" s="2708"/>
      <c r="K150" s="2708"/>
      <c r="L150" s="2709"/>
      <c r="M150" s="2708"/>
      <c r="N150" s="2708"/>
      <c r="O150" s="2709"/>
      <c r="P150" s="2708"/>
      <c r="Q150" s="2708"/>
      <c r="R150" s="2710"/>
    </row>
    <row r="151" spans="2:18" s="907" customFormat="1">
      <c r="B151" s="2708"/>
      <c r="C151" s="2708"/>
      <c r="D151" s="2708"/>
      <c r="E151" s="2708"/>
      <c r="F151" s="2708"/>
      <c r="G151" s="2709"/>
      <c r="H151" s="2708"/>
      <c r="I151" s="2709"/>
      <c r="J151" s="2708"/>
      <c r="K151" s="2708"/>
      <c r="L151" s="2709"/>
      <c r="M151" s="2708"/>
      <c r="N151" s="2708"/>
      <c r="O151" s="2709"/>
      <c r="P151" s="2708"/>
      <c r="Q151" s="2708"/>
      <c r="R151" s="2710"/>
    </row>
    <row r="152" spans="2:18" s="907" customFormat="1">
      <c r="B152" s="2708"/>
      <c r="C152" s="2708"/>
      <c r="D152" s="2708"/>
      <c r="E152" s="2708"/>
      <c r="F152" s="2708"/>
      <c r="G152" s="2709"/>
      <c r="H152" s="2708"/>
      <c r="I152" s="2709"/>
      <c r="J152" s="2708"/>
      <c r="K152" s="2708"/>
      <c r="L152" s="2709"/>
      <c r="M152" s="2708"/>
      <c r="N152" s="2708"/>
      <c r="O152" s="2709"/>
      <c r="P152" s="2708"/>
      <c r="Q152" s="2708"/>
      <c r="R152" s="2710"/>
    </row>
    <row r="153" spans="2:18" s="907" customFormat="1">
      <c r="B153" s="2708"/>
      <c r="C153" s="2708"/>
      <c r="D153" s="2708"/>
      <c r="E153" s="2708"/>
      <c r="F153" s="2708"/>
      <c r="G153" s="2709"/>
      <c r="H153" s="2708"/>
      <c r="I153" s="2709"/>
      <c r="J153" s="2708"/>
      <c r="K153" s="2708"/>
      <c r="L153" s="2709"/>
      <c r="M153" s="2708"/>
      <c r="N153" s="2708"/>
      <c r="O153" s="2709"/>
      <c r="P153" s="2708"/>
      <c r="Q153" s="2708"/>
      <c r="R153" s="2710"/>
    </row>
    <row r="154" spans="2:18" s="907" customFormat="1">
      <c r="B154" s="2708"/>
      <c r="C154" s="2708"/>
      <c r="D154" s="2708"/>
      <c r="E154" s="2708"/>
      <c r="F154" s="2708"/>
      <c r="G154" s="2709"/>
      <c r="H154" s="2708"/>
      <c r="I154" s="2709"/>
      <c r="J154" s="2708"/>
      <c r="K154" s="2708"/>
      <c r="L154" s="2709"/>
      <c r="M154" s="2708"/>
      <c r="N154" s="2708"/>
      <c r="O154" s="2709"/>
      <c r="P154" s="2708"/>
      <c r="Q154" s="2708"/>
      <c r="R154" s="2710"/>
    </row>
    <row r="155" spans="2:18" s="907" customFormat="1">
      <c r="B155" s="2708"/>
      <c r="C155" s="2708"/>
      <c r="D155" s="2708"/>
      <c r="E155" s="2708"/>
      <c r="F155" s="2708"/>
      <c r="G155" s="2709"/>
      <c r="H155" s="2708"/>
      <c r="I155" s="2709"/>
      <c r="J155" s="2708"/>
      <c r="K155" s="2708"/>
      <c r="L155" s="2709"/>
      <c r="M155" s="2708"/>
      <c r="N155" s="2708"/>
      <c r="O155" s="2709"/>
      <c r="P155" s="2708"/>
      <c r="Q155" s="2708"/>
      <c r="R155" s="2710"/>
    </row>
    <row r="156" spans="2:18" s="907" customFormat="1">
      <c r="B156" s="2708"/>
      <c r="C156" s="2708"/>
      <c r="D156" s="2708"/>
      <c r="E156" s="2708"/>
      <c r="F156" s="2708"/>
      <c r="G156" s="2709"/>
      <c r="H156" s="2708"/>
      <c r="I156" s="2709"/>
      <c r="J156" s="2708"/>
      <c r="K156" s="2708"/>
      <c r="L156" s="2709"/>
      <c r="M156" s="2708"/>
      <c r="N156" s="2708"/>
      <c r="O156" s="2709"/>
      <c r="P156" s="2708"/>
      <c r="Q156" s="2708"/>
      <c r="R156" s="2710"/>
    </row>
    <row r="157" spans="2:18" s="907" customFormat="1">
      <c r="B157" s="2708"/>
      <c r="C157" s="2708"/>
      <c r="D157" s="2708"/>
      <c r="E157" s="2708"/>
      <c r="F157" s="2708"/>
      <c r="G157" s="2709"/>
      <c r="H157" s="2708"/>
      <c r="I157" s="2709"/>
      <c r="J157" s="2708"/>
      <c r="K157" s="2708"/>
      <c r="L157" s="2709"/>
      <c r="M157" s="2708"/>
      <c r="N157" s="2708"/>
      <c r="O157" s="2709"/>
      <c r="P157" s="2708"/>
      <c r="Q157" s="2708"/>
      <c r="R157" s="2710"/>
    </row>
    <row r="158" spans="2:18" s="907" customFormat="1">
      <c r="B158" s="2708"/>
      <c r="C158" s="2708"/>
      <c r="D158" s="2708"/>
      <c r="E158" s="2708"/>
      <c r="F158" s="2708"/>
      <c r="G158" s="2709"/>
      <c r="H158" s="2708"/>
      <c r="I158" s="2709"/>
      <c r="J158" s="2708"/>
      <c r="K158" s="2708"/>
      <c r="L158" s="2709"/>
      <c r="M158" s="2708"/>
      <c r="N158" s="2708"/>
      <c r="O158" s="2709"/>
      <c r="P158" s="2708"/>
      <c r="Q158" s="2708"/>
      <c r="R158" s="2710"/>
    </row>
    <row r="159" spans="2:18" s="907" customFormat="1">
      <c r="B159" s="2708"/>
      <c r="C159" s="2708"/>
      <c r="D159" s="2708"/>
      <c r="E159" s="2708"/>
      <c r="F159" s="2708"/>
      <c r="G159" s="2709"/>
      <c r="H159" s="2708"/>
      <c r="I159" s="2709"/>
      <c r="J159" s="2708"/>
      <c r="K159" s="2708"/>
      <c r="L159" s="2709"/>
      <c r="M159" s="2708"/>
      <c r="N159" s="2708"/>
      <c r="O159" s="2709"/>
      <c r="P159" s="2708"/>
      <c r="Q159" s="2708"/>
      <c r="R159" s="2710"/>
    </row>
    <row r="160" spans="2:18" s="907" customFormat="1">
      <c r="B160" s="2708"/>
      <c r="C160" s="2708"/>
      <c r="D160" s="2708"/>
      <c r="E160" s="2708"/>
      <c r="F160" s="2708"/>
      <c r="G160" s="2709"/>
      <c r="H160" s="2708"/>
      <c r="I160" s="2709"/>
      <c r="J160" s="2708"/>
      <c r="K160" s="2708"/>
      <c r="L160" s="2709"/>
      <c r="M160" s="2708"/>
      <c r="N160" s="2708"/>
      <c r="O160" s="2709"/>
      <c r="P160" s="2708"/>
      <c r="Q160" s="2708"/>
      <c r="R160" s="2710"/>
    </row>
    <row r="161" spans="2:18" s="907" customFormat="1">
      <c r="B161" s="2708"/>
      <c r="C161" s="2708"/>
      <c r="D161" s="2708"/>
      <c r="E161" s="2708"/>
      <c r="F161" s="2708"/>
      <c r="G161" s="2709"/>
      <c r="H161" s="2708"/>
      <c r="I161" s="2709"/>
      <c r="J161" s="2708"/>
      <c r="K161" s="2708"/>
      <c r="L161" s="2709"/>
      <c r="M161" s="2708"/>
      <c r="N161" s="2708"/>
      <c r="O161" s="2709"/>
      <c r="P161" s="2708"/>
      <c r="Q161" s="2708"/>
      <c r="R161" s="2710"/>
    </row>
    <row r="162" spans="2:18" s="907" customFormat="1">
      <c r="B162" s="2708"/>
      <c r="C162" s="2708"/>
      <c r="D162" s="2708"/>
      <c r="E162" s="2708"/>
      <c r="F162" s="2708"/>
      <c r="G162" s="2709"/>
      <c r="H162" s="2708"/>
      <c r="I162" s="2709"/>
      <c r="J162" s="2708"/>
      <c r="K162" s="2708"/>
      <c r="L162" s="2709"/>
      <c r="M162" s="2708"/>
      <c r="N162" s="2708"/>
      <c r="O162" s="2709"/>
      <c r="P162" s="2708"/>
      <c r="Q162" s="2708"/>
      <c r="R162" s="2710"/>
    </row>
    <row r="163" spans="2:18" s="907" customFormat="1">
      <c r="B163" s="2708"/>
      <c r="C163" s="2708"/>
      <c r="D163" s="2708"/>
      <c r="E163" s="2708"/>
      <c r="F163" s="2708"/>
      <c r="G163" s="2709"/>
      <c r="H163" s="2708"/>
      <c r="I163" s="2709"/>
      <c r="J163" s="2708"/>
      <c r="K163" s="2708"/>
      <c r="L163" s="2709"/>
      <c r="M163" s="2708"/>
      <c r="N163" s="2708"/>
      <c r="O163" s="2709"/>
      <c r="P163" s="2708"/>
      <c r="Q163" s="2708"/>
      <c r="R163" s="2710"/>
    </row>
    <row r="164" spans="2:18" s="907" customFormat="1">
      <c r="B164" s="2708"/>
      <c r="C164" s="2708"/>
      <c r="D164" s="2708"/>
      <c r="E164" s="2708"/>
      <c r="F164" s="2708"/>
      <c r="G164" s="2709"/>
      <c r="H164" s="2708"/>
      <c r="I164" s="2709"/>
      <c r="J164" s="2708"/>
      <c r="K164" s="2708"/>
      <c r="L164" s="2709"/>
      <c r="M164" s="2708"/>
      <c r="N164" s="2708"/>
      <c r="O164" s="2709"/>
      <c r="P164" s="2708"/>
      <c r="Q164" s="2708"/>
      <c r="R164" s="2710"/>
    </row>
    <row r="165" spans="2:18" s="907" customFormat="1">
      <c r="B165" s="2708"/>
      <c r="C165" s="2708"/>
      <c r="D165" s="2708"/>
      <c r="E165" s="2708"/>
      <c r="F165" s="2708"/>
      <c r="G165" s="2709"/>
      <c r="H165" s="2708"/>
      <c r="I165" s="2709"/>
      <c r="J165" s="2708"/>
      <c r="K165" s="2708"/>
      <c r="L165" s="2709"/>
      <c r="M165" s="2708"/>
      <c r="N165" s="2708"/>
      <c r="O165" s="2709"/>
      <c r="P165" s="2708"/>
      <c r="Q165" s="2708"/>
      <c r="R165" s="2710"/>
    </row>
    <row r="166" spans="2:18" s="907" customFormat="1">
      <c r="B166" s="2708"/>
      <c r="C166" s="2708"/>
      <c r="D166" s="2708"/>
      <c r="E166" s="2708"/>
      <c r="F166" s="2708"/>
      <c r="G166" s="2709"/>
      <c r="H166" s="2708"/>
      <c r="I166" s="2709"/>
      <c r="J166" s="2708"/>
      <c r="K166" s="2708"/>
      <c r="L166" s="2709"/>
      <c r="M166" s="2708"/>
      <c r="N166" s="2708"/>
      <c r="O166" s="2709"/>
      <c r="P166" s="2708"/>
      <c r="Q166" s="2708"/>
      <c r="R166" s="2710"/>
    </row>
    <row r="167" spans="2:18" s="907" customFormat="1">
      <c r="B167" s="2708"/>
      <c r="C167" s="2708"/>
      <c r="D167" s="2708"/>
      <c r="E167" s="2708"/>
      <c r="F167" s="2708"/>
      <c r="G167" s="2709"/>
      <c r="H167" s="2708"/>
      <c r="I167" s="2709"/>
      <c r="J167" s="2708"/>
      <c r="K167" s="2708"/>
      <c r="L167" s="2709"/>
      <c r="M167" s="2708"/>
      <c r="N167" s="2708"/>
      <c r="O167" s="2709"/>
      <c r="P167" s="2708"/>
      <c r="Q167" s="2708"/>
      <c r="R167" s="2710"/>
    </row>
    <row r="168" spans="2:18" s="907" customFormat="1">
      <c r="B168" s="2708"/>
      <c r="C168" s="2708"/>
      <c r="D168" s="2708"/>
      <c r="E168" s="2708"/>
      <c r="F168" s="2708"/>
      <c r="G168" s="2709"/>
      <c r="H168" s="2708"/>
      <c r="I168" s="2709"/>
      <c r="J168" s="2708"/>
      <c r="K168" s="2708"/>
      <c r="L168" s="2709"/>
      <c r="M168" s="2708"/>
      <c r="N168" s="2708"/>
      <c r="O168" s="2709"/>
      <c r="P168" s="2708"/>
      <c r="Q168" s="2708"/>
      <c r="R168" s="2710"/>
    </row>
    <row r="169" spans="2:18" s="907" customFormat="1">
      <c r="B169" s="2708"/>
      <c r="C169" s="2708"/>
      <c r="D169" s="2708"/>
      <c r="E169" s="2708"/>
      <c r="F169" s="2708"/>
      <c r="G169" s="2709"/>
      <c r="H169" s="2708"/>
      <c r="I169" s="2709"/>
      <c r="J169" s="2708"/>
      <c r="K169" s="2708"/>
      <c r="L169" s="2709"/>
      <c r="M169" s="2708"/>
      <c r="N169" s="2708"/>
      <c r="O169" s="2709"/>
      <c r="P169" s="2708"/>
      <c r="Q169" s="2708"/>
      <c r="R169" s="2710"/>
    </row>
    <row r="170" spans="2:18" s="907" customFormat="1">
      <c r="B170" s="2708"/>
      <c r="C170" s="2708"/>
      <c r="D170" s="2708"/>
      <c r="E170" s="2708"/>
      <c r="F170" s="2708"/>
      <c r="G170" s="2709"/>
      <c r="H170" s="2708"/>
      <c r="I170" s="2709"/>
      <c r="J170" s="2708"/>
      <c r="K170" s="2708"/>
      <c r="L170" s="2709"/>
      <c r="M170" s="2708"/>
      <c r="N170" s="2708"/>
      <c r="O170" s="2709"/>
      <c r="P170" s="2708"/>
      <c r="Q170" s="2708"/>
      <c r="R170" s="2710"/>
    </row>
    <row r="171" spans="2:18" s="907" customFormat="1">
      <c r="B171" s="2708"/>
      <c r="C171" s="2708"/>
      <c r="D171" s="2708"/>
      <c r="E171" s="2708"/>
      <c r="F171" s="2708"/>
      <c r="G171" s="2709"/>
      <c r="H171" s="2708"/>
      <c r="I171" s="2709"/>
      <c r="J171" s="2708"/>
      <c r="K171" s="2708"/>
      <c r="L171" s="2709"/>
      <c r="M171" s="2708"/>
      <c r="N171" s="2708"/>
      <c r="O171" s="2709"/>
      <c r="P171" s="2708"/>
      <c r="Q171" s="2708"/>
      <c r="R171" s="2710"/>
    </row>
    <row r="172" spans="2:18" s="907" customFormat="1">
      <c r="B172" s="2708"/>
      <c r="C172" s="2708"/>
      <c r="D172" s="2708"/>
      <c r="E172" s="2708"/>
      <c r="F172" s="2708"/>
      <c r="G172" s="2709"/>
      <c r="H172" s="2708"/>
      <c r="I172" s="2709"/>
      <c r="J172" s="2708"/>
      <c r="K172" s="2708"/>
      <c r="L172" s="2709"/>
      <c r="M172" s="2708"/>
      <c r="N172" s="2708"/>
      <c r="O172" s="2709"/>
      <c r="P172" s="2708"/>
      <c r="Q172" s="2708"/>
      <c r="R172" s="2710"/>
    </row>
    <row r="173" spans="2:18" s="907" customFormat="1">
      <c r="B173" s="2708"/>
      <c r="C173" s="2708"/>
      <c r="D173" s="2708"/>
      <c r="E173" s="2708"/>
      <c r="F173" s="2708"/>
      <c r="G173" s="2709"/>
      <c r="H173" s="2708"/>
      <c r="I173" s="2709"/>
      <c r="J173" s="2708"/>
      <c r="K173" s="2708"/>
      <c r="L173" s="2709"/>
      <c r="M173" s="2708"/>
      <c r="N173" s="2708"/>
      <c r="O173" s="2709"/>
      <c r="P173" s="2708"/>
      <c r="Q173" s="2708"/>
      <c r="R173" s="2710"/>
    </row>
    <row r="174" spans="2:18" s="907" customFormat="1">
      <c r="B174" s="2708"/>
      <c r="C174" s="2708"/>
      <c r="D174" s="2708"/>
      <c r="E174" s="2708"/>
      <c r="F174" s="2708"/>
      <c r="G174" s="2709"/>
      <c r="H174" s="2708"/>
      <c r="I174" s="2709"/>
      <c r="J174" s="2708"/>
      <c r="K174" s="2708"/>
      <c r="L174" s="2709"/>
      <c r="M174" s="2708"/>
      <c r="N174" s="2708"/>
      <c r="O174" s="2709"/>
      <c r="P174" s="2708"/>
      <c r="Q174" s="2708"/>
      <c r="R174" s="2710"/>
    </row>
    <row r="175" spans="2:18" s="907" customFormat="1">
      <c r="B175" s="2708"/>
      <c r="C175" s="2708"/>
      <c r="D175" s="2708"/>
      <c r="E175" s="2708"/>
      <c r="F175" s="2708"/>
      <c r="G175" s="2709"/>
      <c r="H175" s="2708"/>
      <c r="I175" s="2709"/>
      <c r="J175" s="2708"/>
      <c r="K175" s="2708"/>
      <c r="L175" s="2709"/>
      <c r="M175" s="2708"/>
      <c r="N175" s="2708"/>
      <c r="O175" s="2709"/>
      <c r="P175" s="2708"/>
      <c r="Q175" s="2708"/>
      <c r="R175" s="2710"/>
    </row>
    <row r="176" spans="2:18" s="907" customFormat="1">
      <c r="B176" s="2708"/>
      <c r="C176" s="2708"/>
      <c r="D176" s="2708"/>
      <c r="E176" s="2708"/>
      <c r="F176" s="2708"/>
      <c r="G176" s="2709"/>
      <c r="H176" s="2708"/>
      <c r="I176" s="2709"/>
      <c r="J176" s="2708"/>
      <c r="K176" s="2708"/>
      <c r="L176" s="2709"/>
      <c r="M176" s="2708"/>
      <c r="N176" s="2708"/>
      <c r="O176" s="2709"/>
      <c r="P176" s="2708"/>
      <c r="Q176" s="2708"/>
      <c r="R176" s="2710"/>
    </row>
    <row r="177" spans="1:18" s="907" customFormat="1">
      <c r="B177" s="2708"/>
      <c r="C177" s="2708"/>
      <c r="D177" s="2708"/>
      <c r="E177" s="2708"/>
      <c r="F177" s="2708"/>
      <c r="G177" s="2709"/>
      <c r="H177" s="2708"/>
      <c r="I177" s="2709"/>
      <c r="J177" s="2708"/>
      <c r="K177" s="2708"/>
      <c r="L177" s="2709"/>
      <c r="M177" s="2708"/>
      <c r="N177" s="2708"/>
      <c r="O177" s="2709"/>
      <c r="P177" s="2708"/>
      <c r="Q177" s="2708"/>
      <c r="R177" s="2710"/>
    </row>
    <row r="178" spans="1:18" s="907" customFormat="1">
      <c r="B178" s="2708"/>
      <c r="C178" s="2708"/>
      <c r="D178" s="2708"/>
      <c r="E178" s="2708"/>
      <c r="F178" s="2708"/>
      <c r="G178" s="2709"/>
      <c r="H178" s="2708"/>
      <c r="I178" s="2709"/>
      <c r="J178" s="2708"/>
      <c r="K178" s="2708"/>
      <c r="L178" s="2709"/>
      <c r="M178" s="2708"/>
      <c r="N178" s="2708"/>
      <c r="O178" s="2709"/>
      <c r="P178" s="2708"/>
      <c r="Q178" s="2708"/>
      <c r="R178" s="2710"/>
    </row>
    <row r="179" spans="1:18" s="907" customFormat="1">
      <c r="B179" s="2708"/>
      <c r="C179" s="2708"/>
      <c r="D179" s="2708"/>
      <c r="E179" s="2708"/>
      <c r="F179" s="2708"/>
      <c r="G179" s="2709"/>
      <c r="H179" s="2708"/>
      <c r="I179" s="2709"/>
      <c r="J179" s="2708"/>
      <c r="K179" s="2708"/>
      <c r="L179" s="2709"/>
      <c r="M179" s="2708"/>
      <c r="N179" s="2708"/>
      <c r="O179" s="2709"/>
      <c r="P179" s="2708"/>
      <c r="Q179" s="2708"/>
      <c r="R179" s="2710"/>
    </row>
    <row r="180" spans="1:18" s="907" customFormat="1">
      <c r="B180" s="2708"/>
      <c r="C180" s="2708"/>
      <c r="D180" s="2708"/>
      <c r="E180" s="2708"/>
      <c r="F180" s="2708"/>
      <c r="G180" s="2709"/>
      <c r="H180" s="2708"/>
      <c r="I180" s="2709"/>
      <c r="J180" s="2708"/>
      <c r="K180" s="2708"/>
      <c r="L180" s="2709"/>
      <c r="M180" s="2708"/>
      <c r="N180" s="2708"/>
      <c r="O180" s="2709"/>
      <c r="P180" s="2708"/>
      <c r="Q180" s="2708"/>
      <c r="R180" s="2710"/>
    </row>
    <row r="181" spans="1:18" s="907" customFormat="1">
      <c r="B181" s="2708"/>
      <c r="C181" s="2708"/>
      <c r="D181" s="2708"/>
      <c r="E181" s="2708"/>
      <c r="F181" s="2708"/>
      <c r="G181" s="2709"/>
      <c r="H181" s="2708"/>
      <c r="I181" s="2709"/>
      <c r="J181" s="2708"/>
      <c r="K181" s="2708"/>
      <c r="L181" s="2709"/>
      <c r="M181" s="2708"/>
      <c r="N181" s="2708"/>
      <c r="O181" s="2709"/>
      <c r="P181" s="2708"/>
      <c r="Q181" s="2708"/>
      <c r="R181" s="2710"/>
    </row>
    <row r="182" spans="1:18" s="907" customFormat="1">
      <c r="B182" s="2708"/>
      <c r="C182" s="2708"/>
      <c r="D182" s="2708"/>
      <c r="E182" s="2708"/>
      <c r="F182" s="2708"/>
      <c r="G182" s="2709"/>
      <c r="H182" s="2708"/>
      <c r="I182" s="2709"/>
      <c r="J182" s="2708"/>
      <c r="K182" s="2708"/>
      <c r="L182" s="2709"/>
      <c r="M182" s="2708"/>
      <c r="N182" s="2708"/>
      <c r="O182" s="2709"/>
      <c r="P182" s="2708"/>
      <c r="Q182" s="2708"/>
      <c r="R182" s="2710"/>
    </row>
    <row r="183" spans="1:18" s="907" customFormat="1">
      <c r="B183" s="2708"/>
      <c r="C183" s="2708"/>
      <c r="D183" s="2708"/>
      <c r="E183" s="2708"/>
      <c r="F183" s="2708"/>
      <c r="G183" s="2709"/>
      <c r="H183" s="2708"/>
      <c r="I183" s="2709"/>
      <c r="J183" s="2708"/>
      <c r="K183" s="2708"/>
      <c r="L183" s="2709"/>
      <c r="M183" s="2708"/>
      <c r="N183" s="2708"/>
      <c r="O183" s="2709"/>
      <c r="P183" s="2708"/>
      <c r="Q183" s="2708"/>
      <c r="R183" s="2710"/>
    </row>
    <row r="184" spans="1:18" s="907" customFormat="1">
      <c r="B184" s="2708"/>
      <c r="C184" s="2708"/>
      <c r="D184" s="2708"/>
      <c r="E184" s="2708"/>
      <c r="F184" s="2708"/>
      <c r="G184" s="2709"/>
      <c r="H184" s="2708"/>
      <c r="I184" s="2709"/>
      <c r="J184" s="2708"/>
      <c r="K184" s="2708"/>
      <c r="L184" s="2709"/>
      <c r="M184" s="2708"/>
      <c r="N184" s="2708"/>
      <c r="O184" s="2709"/>
      <c r="P184" s="2708"/>
      <c r="Q184" s="2708"/>
      <c r="R184" s="2710"/>
    </row>
    <row r="185" spans="1:18" s="907"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7"/>
      <c r="B186" s="2708"/>
      <c r="C186" s="2708"/>
      <c r="E186" s="2708"/>
      <c r="F186" s="2708"/>
      <c r="G186" s="2709"/>
    </row>
    <row r="187" spans="1:18">
      <c r="A187" s="907"/>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abSelected="1" view="pageBreakPreview" zoomScale="80" zoomScaleNormal="80" zoomScaleSheetLayoutView="80" workbookViewId="0">
      <selection activeCell="F35" sqref="F35"/>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312856.63</v>
      </c>
      <c r="C1" s="2906"/>
      <c r="D1" s="2906"/>
      <c r="E1" s="2906"/>
      <c r="F1" s="2906"/>
      <c r="G1" s="2907"/>
      <c r="H1" s="2908"/>
      <c r="I1" s="2908"/>
      <c r="J1" s="2908"/>
      <c r="K1" s="2908"/>
    </row>
    <row r="2" spans="1:11" ht="16.5">
      <c r="A2" s="2729" t="s">
        <v>1319</v>
      </c>
      <c r="B2" s="2729">
        <f>SUM(C14:C23)</f>
        <v>559473.80000000005</v>
      </c>
      <c r="C2" s="2906"/>
      <c r="D2" s="2906"/>
      <c r="E2" s="2906"/>
      <c r="F2" s="2906"/>
      <c r="G2" s="2907"/>
      <c r="H2" s="2908"/>
      <c r="I2" s="2908"/>
      <c r="J2" s="2908"/>
      <c r="K2" s="2908"/>
    </row>
    <row r="3" spans="1:11" ht="16.5">
      <c r="A3" s="2729" t="s">
        <v>1328</v>
      </c>
      <c r="B3" s="2731">
        <f>项目基本情况!D3</f>
        <v>44580</v>
      </c>
      <c r="C3" s="2906"/>
      <c r="D3" s="2906"/>
      <c r="E3" s="2906"/>
      <c r="F3" s="2906"/>
      <c r="G3" s="2907"/>
      <c r="H3" s="2908"/>
      <c r="I3" s="2908"/>
      <c r="J3" s="2908"/>
      <c r="K3" s="2908"/>
    </row>
    <row r="4" spans="1:11" ht="33">
      <c r="A4" s="2729" t="s">
        <v>1327</v>
      </c>
      <c r="B4" s="2729" t="s">
        <v>1326</v>
      </c>
      <c r="C4" s="2729" t="s">
        <v>1325</v>
      </c>
      <c r="D4" s="2729" t="s">
        <v>1324</v>
      </c>
      <c r="E4" s="2906"/>
      <c r="F4" s="2907"/>
      <c r="G4" s="2907"/>
      <c r="H4" s="2908"/>
      <c r="I4" s="2908"/>
      <c r="J4" s="2908"/>
      <c r="K4" s="2908"/>
    </row>
    <row r="5" spans="1:11" ht="16.5">
      <c r="A5" s="2729" t="s">
        <v>1323</v>
      </c>
      <c r="B5" s="2729">
        <f ca="1">SUM(D14:D23)</f>
        <v>422752</v>
      </c>
      <c r="C5" s="2729">
        <f ca="1">ROUND(B5*10000/$B$1,0)</f>
        <v>13513</v>
      </c>
      <c r="D5" s="2729">
        <f ca="1">ROUND(B5*10000/$B$2,0)</f>
        <v>7556</v>
      </c>
      <c r="E5" s="2906"/>
      <c r="F5" s="2907"/>
      <c r="G5" s="2907"/>
      <c r="H5" s="2908"/>
      <c r="I5" s="2908"/>
      <c r="J5" s="2908"/>
      <c r="K5" s="2908"/>
    </row>
    <row r="6" spans="1:11" ht="16.5">
      <c r="A6" s="2729" t="s">
        <v>1322</v>
      </c>
      <c r="B6" s="2729">
        <f ca="1">SUM(G14:G23)</f>
        <v>422752</v>
      </c>
      <c r="C6" s="2729">
        <f ca="1">ROUND(B6*10000/$B$1,0)</f>
        <v>13513</v>
      </c>
      <c r="D6" s="2729">
        <f ca="1">ROUND(B6*10000/$B$2,0)</f>
        <v>7556</v>
      </c>
      <c r="E6" s="2906"/>
      <c r="F6" s="2907"/>
      <c r="G6" s="2907"/>
      <c r="H6" s="2908"/>
      <c r="I6" s="2908"/>
      <c r="J6" s="2908"/>
      <c r="K6" s="2908"/>
    </row>
    <row r="7" spans="1:11" ht="16.5">
      <c r="A7" s="2729" t="s">
        <v>1330</v>
      </c>
      <c r="B7" s="2729">
        <f>SUM(H14:H23)</f>
        <v>0</v>
      </c>
      <c r="C7" s="2729">
        <f>ROUND(B7*10000/$B$1,0)</f>
        <v>0</v>
      </c>
      <c r="D7" s="2729">
        <f>ROUND(B7*10000/$B$2,0)</f>
        <v>0</v>
      </c>
      <c r="E7" s="2906"/>
      <c r="F7" s="2907"/>
      <c r="G7" s="2907"/>
      <c r="H7" s="2908"/>
      <c r="I7" s="2908"/>
      <c r="J7" s="2908"/>
      <c r="K7" s="2908"/>
    </row>
    <row r="8" spans="1:11" ht="16.5">
      <c r="A8" s="2729" t="s">
        <v>1252</v>
      </c>
      <c r="B8" s="2729">
        <f ca="1">SUM(I14:I23)</f>
        <v>272315</v>
      </c>
      <c r="C8" s="2729">
        <f ca="1">ROUND(B8*10000/$B$1,0)</f>
        <v>8704</v>
      </c>
      <c r="D8" s="2729">
        <f ca="1">ROUND(B8*10000/$B$2,0)</f>
        <v>4867</v>
      </c>
      <c r="E8" s="2906"/>
      <c r="F8" s="2907"/>
      <c r="G8" s="2907"/>
      <c r="H8" s="2908"/>
      <c r="I8" s="2908"/>
      <c r="J8" s="2908"/>
      <c r="K8" s="2908"/>
    </row>
    <row r="9" spans="1:11" ht="16.5">
      <c r="A9" s="2729" t="s">
        <v>1321</v>
      </c>
      <c r="B9" s="2737"/>
      <c r="C9" s="2906"/>
      <c r="D9" s="2906"/>
      <c r="E9" s="2906"/>
      <c r="F9" s="2907"/>
      <c r="G9" s="2907"/>
      <c r="H9" s="2908"/>
      <c r="I9" s="2908"/>
      <c r="J9" s="2908"/>
      <c r="K9" s="2908"/>
    </row>
    <row r="10" spans="1:11" ht="16.5">
      <c r="A10" s="2729" t="s">
        <v>1320</v>
      </c>
      <c r="B10" s="2737"/>
      <c r="C10" s="2906"/>
      <c r="D10" s="2906"/>
      <c r="E10" s="2906"/>
      <c r="F10" s="2907"/>
      <c r="G10" s="2907"/>
      <c r="H10" s="2908"/>
      <c r="I10" s="2908"/>
      <c r="J10" s="2908"/>
      <c r="K10" s="2908"/>
    </row>
    <row r="11" spans="1:11" ht="16.5">
      <c r="A11" s="2729" t="s">
        <v>1336</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1335</v>
      </c>
      <c r="B13" s="2733" t="s">
        <v>1332</v>
      </c>
      <c r="C13" s="2733" t="s">
        <v>1334</v>
      </c>
      <c r="D13" s="2733" t="s">
        <v>1333</v>
      </c>
      <c r="E13" s="2729" t="s">
        <v>1325</v>
      </c>
      <c r="F13" s="2729" t="s">
        <v>1324</v>
      </c>
      <c r="G13" s="2733" t="s">
        <v>1318</v>
      </c>
      <c r="H13" s="2733" t="s">
        <v>1329</v>
      </c>
      <c r="I13" s="2733" t="s">
        <v>1317</v>
      </c>
      <c r="J13" s="2907"/>
      <c r="K13" s="2908"/>
    </row>
    <row r="14" spans="1:11" ht="16.5">
      <c r="A14" s="2734" t="s">
        <v>1316</v>
      </c>
      <c r="B14" s="2735">
        <f>结果表!B118</f>
        <v>114107.98000000001</v>
      </c>
      <c r="C14" s="2735">
        <f>结果表!C118</f>
        <v>236852.67</v>
      </c>
      <c r="D14" s="2735">
        <f ca="1">结果表!H118</f>
        <v>215785</v>
      </c>
      <c r="E14" s="2735">
        <f ca="1">ROUND(D14*10000/B14,0)</f>
        <v>18911</v>
      </c>
      <c r="F14" s="2735">
        <f ca="1">ROUND(D14*10000/C14,0)</f>
        <v>9111</v>
      </c>
      <c r="G14" s="2735">
        <f ca="1">结果表!D122</f>
        <v>215785</v>
      </c>
      <c r="H14" s="2735" t="str">
        <f>结果表!D124</f>
        <v>——</v>
      </c>
      <c r="I14" s="2735">
        <f ca="1">面积表!I29</f>
        <v>124432</v>
      </c>
      <c r="J14" s="2907"/>
      <c r="K14" s="2908"/>
    </row>
    <row r="15" spans="1:11" ht="16.5">
      <c r="A15" s="2734" t="s">
        <v>1315</v>
      </c>
      <c r="B15" s="2736">
        <f>[1]系统读取表!$B$14</f>
        <v>76920.23</v>
      </c>
      <c r="C15" s="2736">
        <f>[2]系统读取表!$C$14</f>
        <v>155302.53</v>
      </c>
      <c r="D15" s="2736">
        <f ca="1">[2]系统读取表!$D$14</f>
        <v>91541</v>
      </c>
      <c r="E15" s="2735">
        <f t="shared" ref="E15:E23" ca="1" si="0">ROUND(D15*10000/B15,0)</f>
        <v>11901</v>
      </c>
      <c r="F15" s="2735">
        <f t="shared" ref="F15:F23" ca="1" si="1">ROUND(D15*10000/C15,0)</f>
        <v>5894</v>
      </c>
      <c r="G15" s="1500">
        <f ca="1">[2]系统读取表!$G$14</f>
        <v>91541</v>
      </c>
      <c r="H15" s="1500" t="str">
        <f>[2]系统读取表!$H$14</f>
        <v>——</v>
      </c>
      <c r="I15" s="2736">
        <f ca="1">[2]系统读取表!$I$14</f>
        <v>62887</v>
      </c>
      <c r="J15" s="2907"/>
      <c r="K15" s="2908"/>
    </row>
    <row r="16" spans="1:11" ht="16.5">
      <c r="A16" s="2734" t="s">
        <v>1314</v>
      </c>
      <c r="B16" s="2736">
        <f>[3]系统读取表!$B$14</f>
        <v>121828.42000000001</v>
      </c>
      <c r="C16" s="2736">
        <f>[3]系统读取表!$C$14</f>
        <v>167318.6</v>
      </c>
      <c r="D16" s="2736">
        <f ca="1">[3]系统读取表!$D$14</f>
        <v>115426</v>
      </c>
      <c r="E16" s="2735">
        <f t="shared" ca="1" si="0"/>
        <v>9474</v>
      </c>
      <c r="F16" s="2735">
        <f t="shared" ca="1" si="1"/>
        <v>6899</v>
      </c>
      <c r="G16" s="1500">
        <f ca="1">[3]系统读取表!$G$14</f>
        <v>115426</v>
      </c>
      <c r="H16" s="1500" t="str">
        <f>[3]系统读取表!$H$14</f>
        <v>——</v>
      </c>
      <c r="I16" s="2736">
        <f ca="1">[3]系统读取表!$I$14</f>
        <v>84996</v>
      </c>
      <c r="J16" s="2908"/>
      <c r="K16" s="2908"/>
    </row>
    <row r="17" spans="1:11" ht="16.5">
      <c r="A17" s="2734" t="s">
        <v>1313</v>
      </c>
      <c r="B17" s="2736"/>
      <c r="C17" s="2736"/>
      <c r="D17" s="2736"/>
      <c r="E17" s="2735" t="e">
        <f t="shared" si="0"/>
        <v>#DIV/0!</v>
      </c>
      <c r="F17" s="2735" t="e">
        <f t="shared" si="1"/>
        <v>#DIV/0!</v>
      </c>
      <c r="G17" s="1500"/>
      <c r="H17" s="1500"/>
      <c r="I17" s="2736"/>
      <c r="J17" s="2908"/>
      <c r="K17" s="2908"/>
    </row>
    <row r="18" spans="1:11" ht="16.5">
      <c r="A18" s="2734" t="s">
        <v>1312</v>
      </c>
      <c r="B18" s="2736"/>
      <c r="C18" s="2736"/>
      <c r="D18" s="2736"/>
      <c r="E18" s="2735" t="e">
        <f t="shared" si="0"/>
        <v>#DIV/0!</v>
      </c>
      <c r="F18" s="2735" t="e">
        <f t="shared" si="1"/>
        <v>#DIV/0!</v>
      </c>
      <c r="G18" s="2736"/>
      <c r="H18" s="2736"/>
      <c r="I18" s="2736"/>
      <c r="J18" s="2908"/>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row r="30" spans="1:11" ht="14.25">
      <c r="A30" s="3182" t="s">
        <v>2129</v>
      </c>
      <c r="B30" s="3185" t="s">
        <v>2130</v>
      </c>
      <c r="C30" s="3185" t="s">
        <v>2131</v>
      </c>
      <c r="D30" s="3187" t="s">
        <v>2132</v>
      </c>
      <c r="E30" s="3188"/>
      <c r="F30" s="3189" t="s">
        <v>2133</v>
      </c>
      <c r="G30" s="3189"/>
      <c r="H30" s="3182" t="s">
        <v>2134</v>
      </c>
      <c r="I30" s="3182"/>
    </row>
    <row r="31" spans="1:11" ht="24.75" customHeight="1">
      <c r="A31" s="3182"/>
      <c r="B31" s="3186"/>
      <c r="C31" s="3186"/>
      <c r="D31" s="2817" t="s">
        <v>2135</v>
      </c>
      <c r="E31" s="2817" t="s">
        <v>2136</v>
      </c>
      <c r="F31" s="2817" t="s">
        <v>2135</v>
      </c>
      <c r="G31" s="2817" t="s">
        <v>2137</v>
      </c>
      <c r="H31" s="2817" t="s">
        <v>2135</v>
      </c>
      <c r="I31" s="2817" t="s">
        <v>2137</v>
      </c>
    </row>
    <row r="32" spans="1:11" ht="28.5" customHeight="1">
      <c r="A32" s="2817" t="e">
        <f>项目基本情况!#REF!</f>
        <v>#REF!</v>
      </c>
      <c r="B32" s="2817">
        <f>B1</f>
        <v>312856.63</v>
      </c>
      <c r="C32" s="2817">
        <f>B2</f>
        <v>559473.80000000005</v>
      </c>
      <c r="D32" s="2817">
        <f ca="1">结果表!D118+[2]结果表!$D$118+[3]结果表!$D$118</f>
        <v>323908</v>
      </c>
      <c r="E32" s="2817">
        <f ca="1">ROUND(D32/B32*10000,0)</f>
        <v>10353</v>
      </c>
      <c r="F32" s="2817">
        <f ca="1">结果表!F118+[2]结果表!$F$118+[3]结果表!$F$118</f>
        <v>98844</v>
      </c>
      <c r="G32" s="2817">
        <f ca="1">ROUND(F32/B32*10000,0)</f>
        <v>3159</v>
      </c>
      <c r="H32" s="2817">
        <f ca="1">D32+F32</f>
        <v>422752</v>
      </c>
      <c r="I32" s="2817">
        <f ca="1">ROUND(H32/B32*10000,0)</f>
        <v>13513</v>
      </c>
    </row>
    <row r="33" spans="1:9" ht="33" customHeight="1">
      <c r="A33" s="3182" t="s">
        <v>2138</v>
      </c>
      <c r="B33" s="3182"/>
      <c r="C33" s="3182"/>
      <c r="D33" s="3183" t="str">
        <f ca="1">NUMBERSTRING(INT(D32*10000),2)&amp;"元整"</f>
        <v>叁拾贰亿叁仟玖佰零捌万元整</v>
      </c>
      <c r="E33" s="3184"/>
      <c r="F33" s="3183" t="str">
        <f ca="1">NUMBERSTRING(INT(F32*10000),2)&amp;"元整"</f>
        <v>玖亿捌仟捌佰肆拾肆万元整</v>
      </c>
      <c r="G33" s="3184"/>
      <c r="H33" s="3183" t="str">
        <f ca="1">NUMBERSTRING(INT(H32*10000),2)&amp;"元整"</f>
        <v>肆拾贰亿贰仟柒佰伍拾贰万元整</v>
      </c>
      <c r="I33" s="3184"/>
    </row>
  </sheetData>
  <sheetProtection password="CEE9" sheet="1" objects="1" scenarios="1" formatCells="0" formatColumns="0" formatRows="0"/>
  <mergeCells count="10">
    <mergeCell ref="A33:C33"/>
    <mergeCell ref="D33:E33"/>
    <mergeCell ref="F33:G33"/>
    <mergeCell ref="H33:I33"/>
    <mergeCell ref="A30:A31"/>
    <mergeCell ref="B30:B31"/>
    <mergeCell ref="C30:C31"/>
    <mergeCell ref="D30:E30"/>
    <mergeCell ref="F30:G30"/>
    <mergeCell ref="H30:I30"/>
  </mergeCells>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C118" sqref="C118:I11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55" t="str">
        <f>项目基本情况!S2</f>
        <v>北京市房地产</v>
      </c>
      <c r="B2" s="3256"/>
      <c r="C2" s="3256"/>
      <c r="D2" s="3256"/>
      <c r="E2" s="3256"/>
      <c r="F2" s="3256"/>
      <c r="G2" s="3256"/>
      <c r="H2" s="3256"/>
      <c r="I2" s="3257"/>
    </row>
    <row r="3" spans="1:12" ht="12.75">
      <c r="A3" s="3259" t="s">
        <v>1950</v>
      </c>
      <c r="B3" s="3260"/>
      <c r="C3" s="3260"/>
      <c r="D3" s="3260"/>
      <c r="E3" s="3260"/>
      <c r="F3" s="3260"/>
      <c r="G3" s="3260"/>
      <c r="H3" s="3260"/>
      <c r="I3" s="3260"/>
    </row>
    <row r="4" spans="1:12" ht="14.25">
      <c r="A4" s="1940" t="s">
        <v>1951</v>
      </c>
      <c r="B4" s="1941" t="s">
        <v>1952</v>
      </c>
      <c r="C4" s="1942" t="s">
        <v>3136</v>
      </c>
      <c r="D4" s="1942" t="s">
        <v>3117</v>
      </c>
      <c r="E4" s="3264" t="s">
        <v>1953</v>
      </c>
      <c r="F4" s="3265"/>
      <c r="G4" s="3265"/>
      <c r="H4" s="3265"/>
      <c r="I4" s="326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5" t="s">
        <v>1954</v>
      </c>
      <c r="B5" s="3258">
        <v>25</v>
      </c>
      <c r="C5" s="3261"/>
      <c r="D5" s="3249"/>
      <c r="E5" s="136" t="s">
        <v>1955</v>
      </c>
      <c r="F5" s="1943"/>
      <c r="G5" s="1943"/>
      <c r="H5" s="1943"/>
      <c r="I5" s="1557"/>
    </row>
    <row r="6" spans="1:12" ht="12.75">
      <c r="A6" s="3205"/>
      <c r="B6" s="3258"/>
      <c r="C6" s="3263"/>
      <c r="D6" s="3249"/>
      <c r="E6" s="136" t="s">
        <v>1956</v>
      </c>
      <c r="F6" s="1943"/>
      <c r="G6" s="1943"/>
      <c r="H6" s="1943"/>
      <c r="I6" s="1557"/>
    </row>
    <row r="7" spans="1:12" ht="12.75">
      <c r="A7" s="3205"/>
      <c r="B7" s="3258"/>
      <c r="C7" s="3262"/>
      <c r="D7" s="3249"/>
      <c r="E7" s="136" t="s">
        <v>1957</v>
      </c>
      <c r="F7" s="1943"/>
      <c r="G7" s="1943"/>
      <c r="H7" s="1943"/>
      <c r="I7" s="1557"/>
    </row>
    <row r="8" spans="1:12" ht="12.75">
      <c r="A8" s="3205" t="s">
        <v>1958</v>
      </c>
      <c r="B8" s="3258">
        <v>15</v>
      </c>
      <c r="C8" s="3261"/>
      <c r="D8" s="3249"/>
      <c r="E8" s="136" t="s">
        <v>1959</v>
      </c>
      <c r="F8" s="1943"/>
      <c r="G8" s="1943"/>
      <c r="H8" s="1943"/>
      <c r="I8" s="1557"/>
    </row>
    <row r="9" spans="1:12" ht="12.75">
      <c r="A9" s="3205"/>
      <c r="B9" s="3258"/>
      <c r="C9" s="3262"/>
      <c r="D9" s="3249"/>
      <c r="E9" s="136" t="s">
        <v>1960</v>
      </c>
      <c r="F9" s="1943"/>
      <c r="G9" s="1943"/>
      <c r="H9" s="1943"/>
      <c r="I9" s="1557"/>
    </row>
    <row r="10" spans="1:12" ht="12.75">
      <c r="A10" s="3205" t="s">
        <v>1961</v>
      </c>
      <c r="B10" s="3258">
        <v>15</v>
      </c>
      <c r="C10" s="3261"/>
      <c r="D10" s="3249"/>
      <c r="E10" s="136" t="s">
        <v>1962</v>
      </c>
      <c r="F10" s="1943"/>
      <c r="G10" s="1943"/>
      <c r="H10" s="1943"/>
      <c r="I10" s="1557"/>
    </row>
    <row r="11" spans="1:12" ht="12.75">
      <c r="A11" s="3205"/>
      <c r="B11" s="3258"/>
      <c r="C11" s="3262"/>
      <c r="D11" s="3249"/>
      <c r="E11" s="136" t="s">
        <v>1963</v>
      </c>
      <c r="F11" s="1943"/>
      <c r="G11" s="1943"/>
      <c r="H11" s="1943"/>
      <c r="I11" s="1557"/>
    </row>
    <row r="12" spans="1:12" ht="12.75">
      <c r="A12" s="3205" t="s">
        <v>1964</v>
      </c>
      <c r="B12" s="3258">
        <v>15</v>
      </c>
      <c r="C12" s="3261"/>
      <c r="D12" s="3249"/>
      <c r="E12" s="136" t="s">
        <v>1965</v>
      </c>
      <c r="F12" s="1943"/>
      <c r="G12" s="1943"/>
      <c r="H12" s="1943"/>
      <c r="I12" s="1557"/>
    </row>
    <row r="13" spans="1:12" ht="12.75">
      <c r="A13" s="3205"/>
      <c r="B13" s="3258"/>
      <c r="C13" s="3262"/>
      <c r="D13" s="3249"/>
      <c r="E13" s="136" t="s">
        <v>1966</v>
      </c>
      <c r="F13" s="1943"/>
      <c r="G13" s="1943"/>
      <c r="H13" s="1943"/>
      <c r="I13" s="1557"/>
    </row>
    <row r="14" spans="1:12" ht="12.75">
      <c r="A14" s="3205" t="s">
        <v>1967</v>
      </c>
      <c r="B14" s="3258">
        <v>30</v>
      </c>
      <c r="C14" s="3261">
        <v>55</v>
      </c>
      <c r="D14" s="3249">
        <v>45</v>
      </c>
      <c r="E14" s="136" t="s">
        <v>1968</v>
      </c>
      <c r="F14" s="1943"/>
      <c r="G14" s="1943"/>
      <c r="H14" s="1943"/>
      <c r="I14" s="1557"/>
    </row>
    <row r="15" spans="1:12" ht="12.75">
      <c r="A15" s="3205"/>
      <c r="B15" s="3258"/>
      <c r="C15" s="3263"/>
      <c r="D15" s="3249"/>
      <c r="E15" s="136" t="s">
        <v>1969</v>
      </c>
      <c r="F15" s="1943"/>
      <c r="G15" s="1943"/>
      <c r="H15" s="1943"/>
      <c r="I15" s="1557"/>
    </row>
    <row r="16" spans="1:12" ht="12.75">
      <c r="A16" s="3205"/>
      <c r="B16" s="3258"/>
      <c r="C16" s="3262"/>
      <c r="D16" s="3249"/>
      <c r="E16" s="136" t="s">
        <v>1970</v>
      </c>
      <c r="F16" s="1943"/>
      <c r="G16" s="1943"/>
      <c r="H16" s="1943"/>
      <c r="I16" s="1557"/>
    </row>
    <row r="17" spans="1:36" ht="15">
      <c r="A17" s="1944" t="s">
        <v>1971</v>
      </c>
      <c r="B17" s="60"/>
      <c r="C17" s="137">
        <f>SUM(C5:C16)</f>
        <v>55</v>
      </c>
      <c r="D17" s="137">
        <f>SUM(D5:D16)</f>
        <v>45</v>
      </c>
      <c r="E17" s="134"/>
      <c r="F17" s="134"/>
      <c r="G17" s="134"/>
      <c r="H17" s="134"/>
      <c r="I17" s="134"/>
      <c r="K17" s="308"/>
      <c r="L17" s="308" t="s">
        <v>1972</v>
      </c>
      <c r="M17" s="308" t="s">
        <v>1973</v>
      </c>
    </row>
    <row r="18" spans="1:36" ht="31.9" customHeight="1" thickBot="1">
      <c r="A18" s="1945" t="s">
        <v>1974</v>
      </c>
      <c r="B18" s="1946"/>
      <c r="C18" s="138">
        <f>ROUND(C17/SUM(C17:D17),2)</f>
        <v>0.55000000000000004</v>
      </c>
      <c r="D18" s="138">
        <f>1-C18</f>
        <v>0.44999999999999996</v>
      </c>
      <c r="E18" s="3280" t="s">
        <v>2872</v>
      </c>
      <c r="F18" s="3281"/>
      <c r="G18" s="3281"/>
      <c r="H18" s="3281"/>
      <c r="I18" s="3281"/>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SUMIF(INDIRECT("'"&amp;C4&amp;"'"&amp;"!A:A"),结果表!B19,INDIRECT("'"&amp;C4&amp;"'"&amp;"!B:B"))</f>
        <v>148180</v>
      </c>
      <c r="D19" s="140">
        <f ca="1">SUMIF(INDIRECT("'"&amp;D4&amp;"'"&amp;"!A:A"),结果表!B19,INDIRECT("'"&amp;D4&amp;"'"&amp;"!B:B"))</f>
        <v>298414</v>
      </c>
      <c r="E19" s="1947" t="s">
        <v>1978</v>
      </c>
      <c r="F19" s="1948" t="s">
        <v>1977</v>
      </c>
      <c r="G19" s="141">
        <f ca="1">ROUND(C19*$C$18+D19*$D$18,0)</f>
        <v>215785</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SUMIF(INDIRECT("'"&amp;C4&amp;"'"&amp;"!A:A"),结果表!B20,INDIRECT("'"&amp;C4&amp;"'"&amp;"!B:B"))</f>
        <v>12986</v>
      </c>
      <c r="D20" s="143">
        <f ca="1">SUMIF(INDIRECT("'"&amp;D4&amp;"'"&amp;"!A:A"),结果表!B20,INDIRECT("'"&amp;D4&amp;"'"&amp;"!B:B"))</f>
        <v>26152</v>
      </c>
      <c r="E20" s="1950"/>
      <c r="F20" s="1157" t="s">
        <v>1981</v>
      </c>
      <c r="G20" s="144">
        <f ca="1">ROUND(C20*$C$18+D20*$D$18,0)</f>
        <v>18911</v>
      </c>
      <c r="H20" s="917" t="s">
        <v>1982</v>
      </c>
      <c r="I20" s="134"/>
    </row>
    <row r="21" spans="1:36" ht="15" customHeight="1" thickBot="1">
      <c r="A21" s="937"/>
      <c r="B21" s="1951" t="s">
        <v>1983</v>
      </c>
      <c r="C21" s="728">
        <f ca="1">ROUND(C19*10000/L19,0)</f>
        <v>6256</v>
      </c>
      <c r="D21" s="729">
        <f ca="1">ROUND(D19*10000/L19,0)</f>
        <v>12599</v>
      </c>
      <c r="E21" s="937"/>
      <c r="F21" s="1951" t="s">
        <v>1983</v>
      </c>
      <c r="G21" s="145">
        <f ca="1">ROUND(G19*10000/L19,0)</f>
        <v>9111</v>
      </c>
      <c r="H21" s="1952" t="s">
        <v>1982</v>
      </c>
      <c r="I21" s="134"/>
    </row>
    <row r="22" spans="1:36" ht="15" thickBot="1">
      <c r="A22" s="1874" t="s">
        <v>1984</v>
      </c>
      <c r="B22" s="1953"/>
      <c r="C22" s="1954"/>
      <c r="D22" s="730">
        <f ca="1">IF(C19&lt;D19,D19/C19-1,C19/D19-1)</f>
        <v>1.0138615197732488</v>
      </c>
      <c r="E22" s="134"/>
      <c r="F22" s="134"/>
      <c r="G22" s="134"/>
      <c r="H22" s="134"/>
      <c r="I22" s="134"/>
    </row>
    <row r="23" spans="1:36" ht="13.5" thickBot="1">
      <c r="A23" s="1933"/>
      <c r="B23" s="1933"/>
      <c r="C23" s="1933"/>
      <c r="D23" s="1933"/>
      <c r="E23" s="134"/>
      <c r="F23" s="134"/>
      <c r="G23" s="134"/>
      <c r="H23" s="134"/>
      <c r="I23" s="134"/>
    </row>
    <row r="24" spans="1:36" ht="14.25">
      <c r="A24" s="3273" t="s">
        <v>1985</v>
      </c>
      <c r="B24" s="1948" t="s">
        <v>1977</v>
      </c>
      <c r="C24" s="141">
        <f>IF(B30=0,0,D30)</f>
        <v>0</v>
      </c>
      <c r="D24" s="1955"/>
      <c r="E24" s="134"/>
      <c r="F24" s="134"/>
      <c r="G24" s="134"/>
      <c r="H24" s="134"/>
      <c r="I24" s="134"/>
    </row>
    <row r="25" spans="1:36" ht="14.25">
      <c r="A25" s="327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215785</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179599</v>
      </c>
      <c r="D34" s="970">
        <f ca="1">IF(C33="自定义",ROUND(C34/C32,3),IF(C33="收益比率",SUMIF(INDIRECT("'"&amp;D33&amp;"'"&amp;"!b:b"),"土地收益比率",INDIRECT("'"&amp;D33&amp;"'"&amp;"!c:c")),SUMIF(INDIRECT("'"&amp;D33&amp;"'"&amp;"!b:b"),"土地成本比率",INDIRECT("'"&amp;D33&amp;"'"&amp;"!c:c"))))</f>
        <v>0.83199999999999996</v>
      </c>
      <c r="E34" s="1969" t="s">
        <v>1995</v>
      </c>
      <c r="F34" s="1498">
        <f ca="1">G19-F35</f>
        <v>179599</v>
      </c>
      <c r="G34" s="134"/>
      <c r="H34" s="134"/>
      <c r="I34" s="134"/>
    </row>
    <row r="35" spans="1:15" ht="15.75" thickBot="1">
      <c r="A35" s="1970"/>
      <c r="B35" s="1971" t="s">
        <v>1996</v>
      </c>
      <c r="C35" s="1331">
        <f ca="1">IF(C33="自定义",F35,ROUND(C32*D35,0))</f>
        <v>36186</v>
      </c>
      <c r="D35" s="1332">
        <f ca="1">IF(C33="自定义",ROUND(C35/C32,3),IF(C33="收益比率",SUMIF(INDIRECT("'"&amp;D33&amp;"'"&amp;"!b:b"),"建筑物收益比率",INDIRECT("'"&amp;D33&amp;"'"&amp;"!c:c")),SUMIF(INDIRECT("'"&amp;D33&amp;"'"&amp;"!b:b"),"建筑物成本比率",INDIRECT("'"&amp;D33&amp;"'"&amp;"!c:c"))))</f>
        <v>0.16800000000000001</v>
      </c>
      <c r="E35" s="1972" t="s">
        <v>1997</v>
      </c>
      <c r="F35" s="159">
        <f ca="1">成本法!C51</f>
        <v>36186</v>
      </c>
      <c r="G35" s="134"/>
      <c r="H35" s="134"/>
      <c r="I35" s="134"/>
    </row>
    <row r="36" spans="1:15" ht="15.75" thickBot="1">
      <c r="A36" s="3250" t="s">
        <v>1998</v>
      </c>
      <c r="B36" s="1973" t="s">
        <v>1999</v>
      </c>
      <c r="C36" s="150"/>
      <c r="D36" s="1974"/>
      <c r="E36" s="1975"/>
      <c r="F36" s="1976"/>
      <c r="G36" s="134"/>
      <c r="H36" s="134"/>
      <c r="I36" s="134"/>
    </row>
    <row r="37" spans="1:15" ht="15.75" thickBot="1">
      <c r="A37" s="3251"/>
      <c r="B37" s="1860" t="s">
        <v>2000</v>
      </c>
      <c r="C37" s="152"/>
      <c r="D37" s="1300"/>
      <c r="E37" s="1300"/>
      <c r="F37" s="1976"/>
      <c r="G37" s="134"/>
      <c r="H37" s="134"/>
      <c r="I37" s="134"/>
    </row>
    <row r="38" spans="1:15" ht="15.75" thickBot="1">
      <c r="A38" s="3252"/>
      <c r="B38" s="1977" t="s">
        <v>2001</v>
      </c>
      <c r="C38" s="683"/>
      <c r="D38" s="1978" t="s">
        <v>2002</v>
      </c>
      <c r="E38" s="1300"/>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70" t="s">
        <v>2012</v>
      </c>
      <c r="B45" s="3271"/>
      <c r="C45" s="3272"/>
      <c r="D45" s="160">
        <f ca="1">ROUND(H101*F45,0)</f>
        <v>215785</v>
      </c>
      <c r="E45" s="161" t="s">
        <v>2013</v>
      </c>
      <c r="F45" s="162">
        <v>1</v>
      </c>
      <c r="G45" s="163" t="s">
        <v>2014</v>
      </c>
      <c r="H45" s="134"/>
      <c r="I45" s="134"/>
      <c r="J45" s="3192" t="s">
        <v>2015</v>
      </c>
      <c r="K45" s="3192"/>
      <c r="L45" s="3192"/>
      <c r="M45" s="3192"/>
      <c r="N45" s="3192"/>
      <c r="O45" s="3192"/>
    </row>
    <row r="46" spans="1:15" ht="14.25" customHeight="1">
      <c r="A46" s="3267" t="s">
        <v>2016</v>
      </c>
      <c r="B46" s="3268"/>
      <c r="C46" s="3268"/>
      <c r="D46" s="3268"/>
      <c r="E46" s="3268"/>
      <c r="F46" s="3268"/>
      <c r="G46" s="3269"/>
      <c r="H46" s="1992"/>
      <c r="I46" s="164"/>
      <c r="J46" s="2740">
        <v>1</v>
      </c>
      <c r="K46" s="3193" t="s">
        <v>2017</v>
      </c>
      <c r="L46" s="3193"/>
      <c r="M46" s="3194"/>
      <c r="N46" s="3194"/>
      <c r="O46" s="3194"/>
    </row>
    <row r="47" spans="1:15" ht="12" customHeight="1">
      <c r="A47" s="165" t="s">
        <v>2018</v>
      </c>
      <c r="B47" s="166"/>
      <c r="C47" s="167"/>
      <c r="D47" s="1246" t="s">
        <v>2019</v>
      </c>
      <c r="E47" s="308" t="s">
        <v>2020</v>
      </c>
      <c r="F47" s="168" t="s">
        <v>2021</v>
      </c>
      <c r="G47" s="2763" t="s">
        <v>2022</v>
      </c>
      <c r="H47" s="2764"/>
      <c r="I47" s="164"/>
      <c r="J47" s="2740">
        <v>2</v>
      </c>
      <c r="K47" s="3193" t="s">
        <v>2023</v>
      </c>
      <c r="L47" s="3193"/>
      <c r="M47" s="3195">
        <f>'数据-取费表'!B2</f>
        <v>44580</v>
      </c>
      <c r="N47" s="3195"/>
      <c r="O47" s="3195"/>
    </row>
    <row r="48" spans="1:15" ht="25.5">
      <c r="A48" s="3253" t="s">
        <v>2024</v>
      </c>
      <c r="B48" s="3254"/>
      <c r="C48" s="3254"/>
      <c r="D48" s="2538">
        <f ca="1">IF(H48="情况1",0,IF(H48="情况2",D52,IF(H48="情况3",D53,IF(H48="情况4",D54))))</f>
        <v>11509</v>
      </c>
      <c r="E48" s="2548" t="str">
        <f>IF(H48="情况4","(销售额-原购置价)×税（费）率","销售额×税（费）率")</f>
        <v>销售额×税（费）率</v>
      </c>
      <c r="F48" s="2765">
        <f>IF(H48="情况1","免征",'数据-取费表'!B41)</f>
        <v>5.6000000000000001E-2</v>
      </c>
      <c r="G48" s="2766" t="s">
        <v>2025</v>
      </c>
      <c r="H48" s="2767" t="s">
        <v>3154</v>
      </c>
      <c r="I48" s="1992"/>
      <c r="J48" s="2740">
        <v>3</v>
      </c>
      <c r="K48" s="3193" t="s">
        <v>2026</v>
      </c>
      <c r="L48" s="3193"/>
      <c r="M48" s="3196">
        <f ca="1">H101</f>
        <v>215785</v>
      </c>
      <c r="N48" s="3196"/>
      <c r="O48" s="3196"/>
    </row>
    <row r="49" spans="1:35" ht="25.5" customHeight="1">
      <c r="A49" s="2547" t="s">
        <v>2027</v>
      </c>
      <c r="B49" s="3237" t="s">
        <v>2028</v>
      </c>
      <c r="C49" s="3237"/>
      <c r="D49" s="1775">
        <v>0</v>
      </c>
      <c r="E49" s="330" t="s">
        <v>2029</v>
      </c>
      <c r="F49" s="2641" t="s">
        <v>34</v>
      </c>
      <c r="G49" s="3220"/>
      <c r="H49" s="2519" t="s">
        <v>2875</v>
      </c>
      <c r="I49" s="2520"/>
      <c r="J49" s="2740">
        <v>4</v>
      </c>
      <c r="K49" s="3193" t="str">
        <f>IF(项目基本情况!E8="房地产抵押价值","房地产抵押价值","抵押担保权已注销时的房地产抵押价值")</f>
        <v>房地产抵押价值</v>
      </c>
      <c r="L49" s="3193"/>
      <c r="M49" s="3196">
        <f ca="1">IF(项目基本情况!E8="房地产抵押价值",H107,H109)</f>
        <v>215785</v>
      </c>
      <c r="N49" s="3196"/>
      <c r="O49" s="3196"/>
    </row>
    <row r="50" spans="1:35" ht="25.5" customHeight="1">
      <c r="A50" s="2768"/>
      <c r="B50" s="3237" t="s">
        <v>2030</v>
      </c>
      <c r="C50" s="3237"/>
      <c r="D50" s="2769"/>
      <c r="E50" s="338"/>
      <c r="F50" s="2641"/>
      <c r="G50" s="3221"/>
      <c r="H50" s="2521" t="s">
        <v>2876</v>
      </c>
      <c r="I50" s="2520"/>
      <c r="J50" s="3192" t="s">
        <v>2031</v>
      </c>
      <c r="K50" s="3192"/>
      <c r="L50" s="3192"/>
      <c r="M50" s="3192"/>
      <c r="N50" s="3192"/>
      <c r="O50" s="3192"/>
    </row>
    <row r="51" spans="1:35" ht="20.45" customHeight="1">
      <c r="A51" s="2770"/>
      <c r="B51" s="3237" t="s">
        <v>2032</v>
      </c>
      <c r="C51" s="3237"/>
      <c r="D51" s="1246"/>
      <c r="E51" s="333"/>
      <c r="F51" s="2641"/>
      <c r="G51" s="3222"/>
      <c r="H51" s="2521" t="s">
        <v>2877</v>
      </c>
      <c r="I51" s="2520"/>
      <c r="J51" s="2741" t="s">
        <v>2033</v>
      </c>
      <c r="K51" s="3193" t="s">
        <v>2034</v>
      </c>
      <c r="L51" s="3193"/>
      <c r="M51" s="2741" t="s">
        <v>2035</v>
      </c>
      <c r="N51" s="2741" t="s">
        <v>2036</v>
      </c>
      <c r="O51" s="2741" t="s">
        <v>2037</v>
      </c>
    </row>
    <row r="52" spans="1:35" ht="24" customHeight="1">
      <c r="A52" s="2549" t="s">
        <v>2038</v>
      </c>
      <c r="B52" s="3237" t="s">
        <v>2039</v>
      </c>
      <c r="C52" s="3237"/>
      <c r="D52" s="1246">
        <f ca="1">ROUND(D45*'数据-取费表'!B41/(1+'数据-取费表'!C42),0)</f>
        <v>11509</v>
      </c>
      <c r="E52" s="2548" t="s">
        <v>2040</v>
      </c>
      <c r="F52" s="2771">
        <f>'数据-取费表'!B41</f>
        <v>5.6000000000000001E-2</v>
      </c>
      <c r="G52" s="2772"/>
      <c r="H52" s="2761"/>
      <c r="I52" s="1993"/>
      <c r="J52" s="2740">
        <v>1</v>
      </c>
      <c r="K52" s="3214" t="s">
        <v>2041</v>
      </c>
      <c r="L52" s="3214"/>
      <c r="M52" s="2742">
        <f ca="1">D48</f>
        <v>11509</v>
      </c>
      <c r="N52" s="2740" t="str">
        <f>E48</f>
        <v>销售额×税（费）率</v>
      </c>
      <c r="O52" s="2743">
        <f>F48</f>
        <v>5.6000000000000001E-2</v>
      </c>
    </row>
    <row r="53" spans="1:35" ht="12" customHeight="1">
      <c r="A53" s="2549" t="s">
        <v>2042</v>
      </c>
      <c r="B53" s="3238" t="s">
        <v>3036</v>
      </c>
      <c r="C53" s="3239"/>
      <c r="D53" s="1246">
        <f ca="1">ROUND(D45*'数据-取费表'!B41/(1+'数据-取费表'!C42),0)</f>
        <v>11509</v>
      </c>
      <c r="E53" s="2548" t="s">
        <v>2040</v>
      </c>
      <c r="F53" s="2771">
        <f>'数据-取费表'!B41</f>
        <v>5.6000000000000001E-2</v>
      </c>
      <c r="G53" s="2772"/>
      <c r="H53" s="2761"/>
      <c r="I53" s="1993"/>
      <c r="J53" s="2740">
        <v>2</v>
      </c>
      <c r="K53" s="3214" t="s">
        <v>2043</v>
      </c>
      <c r="L53" s="3214"/>
      <c r="M53" s="2742">
        <f t="shared" ref="M53:O54" ca="1" si="0">D55</f>
        <v>108</v>
      </c>
      <c r="N53" s="2740" t="str">
        <f t="shared" si="0"/>
        <v>销售额×税（费）率</v>
      </c>
      <c r="O53" s="2743">
        <f t="shared" si="0"/>
        <v>5.0000000000000001E-4</v>
      </c>
    </row>
    <row r="54" spans="1:35" ht="12" customHeight="1">
      <c r="A54" s="2549" t="s">
        <v>2044</v>
      </c>
      <c r="B54" s="3238" t="s">
        <v>3037</v>
      </c>
      <c r="C54" s="3239"/>
      <c r="D54" s="1246">
        <f ca="1">C68</f>
        <v>11509</v>
      </c>
      <c r="E54" s="333" t="s">
        <v>2045</v>
      </c>
      <c r="F54" s="2771">
        <f>'数据-取费表'!B41</f>
        <v>5.6000000000000001E-2</v>
      </c>
      <c r="G54" s="2772"/>
      <c r="H54" s="2773"/>
      <c r="I54" s="1993"/>
      <c r="J54" s="2740">
        <v>3</v>
      </c>
      <c r="K54" s="3214" t="s">
        <v>2046</v>
      </c>
      <c r="L54" s="3214"/>
      <c r="M54" s="2742">
        <f t="shared" ca="1" si="0"/>
        <v>79736</v>
      </c>
      <c r="N54" s="2740" t="str">
        <f t="shared" si="0"/>
        <v>增值额×税（费）率</v>
      </c>
      <c r="O54" s="2744" t="str">
        <f t="shared" si="0"/>
        <v>——</v>
      </c>
    </row>
    <row r="55" spans="1:35" ht="24" customHeight="1">
      <c r="A55" s="3276" t="s">
        <v>2047</v>
      </c>
      <c r="B55" s="3254"/>
      <c r="C55" s="3254"/>
      <c r="D55" s="2538">
        <f ca="1">IF(H55="个人住宅",0,ROUND(D45*I55,0))</f>
        <v>108</v>
      </c>
      <c r="E55" s="2548" t="s">
        <v>2048</v>
      </c>
      <c r="F55" s="2771">
        <f>IF(H55="正常",I55,"免征")</f>
        <v>5.0000000000000001E-4</v>
      </c>
      <c r="G55" s="2772"/>
      <c r="H55" s="2767" t="s">
        <v>3155</v>
      </c>
      <c r="I55" s="170">
        <f>'数据-取费表'!B49</f>
        <v>5.0000000000000001E-4</v>
      </c>
      <c r="J55" s="2740" t="str">
        <f>IF(H59="非个人房产","",4)</f>
        <v/>
      </c>
      <c r="K55" s="3214" t="str">
        <f>IF(H59="非个人房产","——","个人所得税")</f>
        <v>——</v>
      </c>
      <c r="L55" s="3214"/>
      <c r="M55" s="2745" t="str">
        <f>D59</f>
        <v>——</v>
      </c>
      <c r="N55" s="2228" t="str">
        <f>E59</f>
        <v>——</v>
      </c>
      <c r="O55" s="2746" t="str">
        <f>F59</f>
        <v>——</v>
      </c>
    </row>
    <row r="56" spans="1:35" ht="24.75">
      <c r="A56" s="3276" t="s">
        <v>2049</v>
      </c>
      <c r="B56" s="3254"/>
      <c r="C56" s="3254"/>
      <c r="D56" s="2538">
        <f ca="1">IF(H56="个人住宅",D57,D58)</f>
        <v>79736</v>
      </c>
      <c r="E56" s="2548" t="s">
        <v>2050</v>
      </c>
      <c r="F56" s="2771" t="str">
        <f>IF(H56="正常",F58,"免征")</f>
        <v>——</v>
      </c>
      <c r="G56" s="2774" t="s">
        <v>2051</v>
      </c>
      <c r="H56" s="2775" t="s">
        <v>3155</v>
      </c>
      <c r="I56" s="1994"/>
      <c r="J56" s="2740" t="str">
        <f>IF(项目基本情况!K6="上海银行",IF(J55="",4,J55+1),"")</f>
        <v/>
      </c>
      <c r="K56" s="3199" t="str">
        <f>IF(项目基本情况!K6="上海银行","其他处置费用","")</f>
        <v/>
      </c>
      <c r="L56" s="3200"/>
      <c r="M56" s="2742" t="str">
        <f>IF(项目基本情况!K6="上海银行",M69,"")</f>
        <v/>
      </c>
      <c r="N56" s="3199" t="str">
        <f>IF(项目基本情况!K6="上海银行","包含处置中涉及的律师、诉讼、拍卖、评估等费用","")</f>
        <v/>
      </c>
      <c r="O56" s="3202"/>
    </row>
    <row r="57" spans="1:35" ht="12.75">
      <c r="A57" s="2549" t="s">
        <v>2027</v>
      </c>
      <c r="B57" s="3238" t="s">
        <v>2052</v>
      </c>
      <c r="C57" s="3239"/>
      <c r="D57" s="1775">
        <v>0</v>
      </c>
      <c r="E57" s="330" t="s">
        <v>2029</v>
      </c>
      <c r="F57" s="308"/>
      <c r="G57" s="2772"/>
      <c r="H57" s="2776"/>
      <c r="I57" s="1994"/>
      <c r="J57" s="3214">
        <f>IF(AND(J55="",J56=""),4,IF(项目基本情况!K6="上海银行",结果表!J56+1,结果表!J55+1))</f>
        <v>4</v>
      </c>
      <c r="K57" s="3214" t="s">
        <v>2053</v>
      </c>
      <c r="L57" s="2747" t="s">
        <v>2054</v>
      </c>
      <c r="M57" s="2748"/>
      <c r="N57" s="2749">
        <f ca="1">SUMIF(M52:M56,"&lt;9e307")</f>
        <v>91353</v>
      </c>
      <c r="O57" s="2750"/>
      <c r="P57" s="2910">
        <f ca="1">N57/M49</f>
        <v>0.42335194754037586</v>
      </c>
    </row>
    <row r="58" spans="1:35" ht="24.75">
      <c r="A58" s="2549" t="s">
        <v>2038</v>
      </c>
      <c r="B58" s="3238" t="s">
        <v>2055</v>
      </c>
      <c r="C58" s="3237"/>
      <c r="D58" s="2538">
        <f ca="1">IF(H58="转让取得",C81,C97)</f>
        <v>79736</v>
      </c>
      <c r="E58" s="2548" t="s">
        <v>2050</v>
      </c>
      <c r="F58" s="308" t="s">
        <v>34</v>
      </c>
      <c r="G58" s="2772"/>
      <c r="H58" s="2775" t="s">
        <v>3156</v>
      </c>
      <c r="I58" s="1994"/>
      <c r="J58" s="3214"/>
      <c r="K58" s="3214"/>
      <c r="L58" s="2747" t="s">
        <v>2056</v>
      </c>
      <c r="M58" s="2751"/>
      <c r="N58" s="2752" t="str">
        <f ca="1">NUMBERSTRING(INT(N57*10000),2)&amp;"元整"</f>
        <v>玖亿壹仟叁佰伍拾叁万元整</v>
      </c>
      <c r="O58" s="2753"/>
    </row>
    <row r="59" spans="1:35" ht="24.75" thickBot="1">
      <c r="A59" s="3218" t="s">
        <v>2057</v>
      </c>
      <c r="B59" s="3219"/>
      <c r="C59" s="3219"/>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16">
        <f>J57+1</f>
        <v>5</v>
      </c>
      <c r="K59" s="3214" t="s">
        <v>2058</v>
      </c>
      <c r="L59" s="2740" t="s">
        <v>2054</v>
      </c>
      <c r="M59" s="2754"/>
      <c r="N59" s="2755">
        <f ca="1">M49-N57</f>
        <v>124432</v>
      </c>
      <c r="O59" s="2756"/>
    </row>
    <row r="60" spans="1:35" ht="12" customHeight="1">
      <c r="A60" s="1995"/>
      <c r="B60" s="1933"/>
      <c r="C60" s="1933"/>
      <c r="D60" s="1933"/>
      <c r="E60" s="1763"/>
      <c r="F60" s="1994"/>
      <c r="G60" s="1994"/>
      <c r="H60" s="1996"/>
      <c r="I60" s="134"/>
      <c r="J60" s="3217"/>
      <c r="K60" s="3214"/>
      <c r="L60" s="2747" t="s">
        <v>2056</v>
      </c>
      <c r="M60" s="2751"/>
      <c r="N60" s="2752" t="str">
        <f ca="1">NUMBERSTRING(INT(N59*10000),2)&amp;"元整"</f>
        <v>壹拾贰亿肆仟肆佰叁拾贰万元整</v>
      </c>
      <c r="O60" s="2753"/>
    </row>
    <row r="61" spans="1:35" ht="13.5" thickBot="1">
      <c r="A61" s="3275" t="s">
        <v>2059</v>
      </c>
      <c r="B61" s="3275"/>
      <c r="C61" s="3275"/>
      <c r="D61" s="3275"/>
      <c r="E61" s="3275"/>
      <c r="F61" s="1994"/>
      <c r="G61" s="1994"/>
      <c r="H61" s="1996"/>
      <c r="I61" s="134"/>
      <c r="J61" s="2740">
        <f>J59+1</f>
        <v>6</v>
      </c>
      <c r="K61" s="3214" t="s">
        <v>2060</v>
      </c>
      <c r="L61" s="3214"/>
      <c r="M61" s="2757"/>
      <c r="N61" s="2758">
        <f ca="1">ROUND(N59*10000/'数据-汇总表'!E3,0)</f>
        <v>10905</v>
      </c>
      <c r="O61" s="2759"/>
    </row>
    <row r="62" spans="1:35" ht="12.75">
      <c r="A62" s="3233" t="s">
        <v>2061</v>
      </c>
      <c r="B62" s="3234"/>
      <c r="C62" s="2209"/>
      <c r="D62" s="2209" t="s">
        <v>2062</v>
      </c>
      <c r="E62" s="171" t="s">
        <v>2063</v>
      </c>
      <c r="F62" s="1994"/>
      <c r="G62" s="1994"/>
      <c r="H62" s="1996"/>
      <c r="I62" s="134"/>
    </row>
    <row r="63" spans="1:35" ht="12.75">
      <c r="A63" s="178" t="s">
        <v>775</v>
      </c>
      <c r="B63" s="172" t="s">
        <v>2064</v>
      </c>
      <c r="C63" s="2781">
        <f ca="1">ROUND((C64+C65)/(1+'数据-取费表'!C42),0)</f>
        <v>205510</v>
      </c>
      <c r="D63" s="172"/>
      <c r="E63" s="173"/>
      <c r="F63" s="1994"/>
      <c r="G63" s="1994"/>
      <c r="H63" s="1996"/>
      <c r="I63" s="134"/>
      <c r="J63" s="3201" t="s">
        <v>2065</v>
      </c>
      <c r="K63" s="1501" t="s">
        <v>2066</v>
      </c>
      <c r="L63" s="1501">
        <f ca="1">IF(M49&gt;10000,M49*0.5%,IF(AND(M49&gt;1000,M49&lt;=10000),M49*1%,IF(AND(M49&gt;100,M49&lt;=1000),M49*3%,IF(AND(M49&gt;10,M49&lt;=100),M49*5%,M49*8%))))</f>
        <v>1078.925</v>
      </c>
      <c r="M63" s="308">
        <f ca="1">ROUND(L63,1)</f>
        <v>1078.9000000000001</v>
      </c>
      <c r="N63" s="2760"/>
      <c r="Z63" s="1938"/>
      <c r="AI63" s="1939"/>
    </row>
    <row r="64" spans="1:35" ht="14.25" customHeight="1">
      <c r="A64" s="174" t="s">
        <v>770</v>
      </c>
      <c r="B64" s="175" t="s">
        <v>2067</v>
      </c>
      <c r="C64" s="2782">
        <f ca="1">D45</f>
        <v>215785</v>
      </c>
      <c r="D64" s="175" t="s">
        <v>32</v>
      </c>
      <c r="E64" s="177"/>
      <c r="F64" s="1994"/>
      <c r="G64" s="1994"/>
      <c r="H64" s="1996"/>
      <c r="I64" s="134"/>
      <c r="J64" s="3201"/>
      <c r="K64" s="1501" t="s">
        <v>2068</v>
      </c>
      <c r="L64" s="1501">
        <f ca="1">IF(M49&gt;2000,M49*0.5%,IF(AND(M49&gt;1000,M49&lt;=2000),M49*0.6%,IF(AND(M49&gt;500,M49&lt;=1000),M49*0.7%,IF(AND(M49&gt;200,M49&lt;=500),M49*0.8%,IF(AND(M49&gt;100,M49&lt;=200),M49*0.9%,IF(AND(M49&gt;50,M49&lt;=100),M49*1%,IF(AND(M49&gt;20,M49&lt;=50),M49*1.5%,IF(AND(M49&gt;10,M49&lt;=20),M49*2%,IF(AND(M49&gt;1,M49&lt;=10),M49*2.5%)))))))))</f>
        <v>1078.925</v>
      </c>
      <c r="M64" s="308">
        <f t="shared" ref="M64:M65" ca="1" si="1">ROUND(L64,1)</f>
        <v>1078.9000000000001</v>
      </c>
      <c r="N64" s="2761" t="s">
        <v>2069</v>
      </c>
      <c r="Z64" s="1938"/>
      <c r="AI64" s="1939"/>
    </row>
    <row r="65" spans="1:35" ht="14.25" customHeight="1">
      <c r="A65" s="174" t="s">
        <v>771</v>
      </c>
      <c r="B65" s="175" t="s">
        <v>2070</v>
      </c>
      <c r="C65" s="2783"/>
      <c r="D65" s="175"/>
      <c r="E65" s="177"/>
      <c r="F65" s="1994"/>
      <c r="G65" s="1994"/>
      <c r="H65" s="1996"/>
      <c r="I65" s="134"/>
      <c r="J65" s="3201"/>
      <c r="K65" s="1501" t="s">
        <v>2071</v>
      </c>
      <c r="L65" s="1501">
        <f ca="1">IF(M49&gt;1000,M49*0.1%,IF(AND(M49&gt;500,M49&lt;=1000),M49*0.5%,IF(AND(M49&gt;50,M49&lt;=500),M49*1%,IF(AND(M49&gt;1,M49&lt;=50),M49*1.5%))))</f>
        <v>215.785</v>
      </c>
      <c r="M65" s="308">
        <f t="shared" ca="1" si="1"/>
        <v>215.8</v>
      </c>
      <c r="N65" s="2761" t="s">
        <v>2069</v>
      </c>
      <c r="Z65" s="1938"/>
      <c r="AI65" s="1939"/>
    </row>
    <row r="66" spans="1:35" ht="14.25" customHeight="1">
      <c r="A66" s="178" t="s">
        <v>772</v>
      </c>
      <c r="B66" s="179" t="s">
        <v>2072</v>
      </c>
      <c r="C66" s="2784"/>
      <c r="D66" s="179" t="s">
        <v>32</v>
      </c>
      <c r="E66" s="1509" t="s">
        <v>1337</v>
      </c>
      <c r="F66" s="1994"/>
      <c r="G66" s="1994"/>
      <c r="H66" s="1996"/>
      <c r="I66" s="134"/>
      <c r="J66" s="3201"/>
      <c r="K66" s="1501" t="s">
        <v>2073</v>
      </c>
      <c r="L66" s="1501">
        <f ca="1">M49*0.5%</f>
        <v>1078.925</v>
      </c>
      <c r="M66" s="308">
        <f ca="1">IF(L66&gt;0.5,0.5,ROUND(L66,0))</f>
        <v>0.5</v>
      </c>
      <c r="N66" s="2761" t="s">
        <v>2074</v>
      </c>
      <c r="Z66" s="1938"/>
      <c r="AI66" s="1939"/>
    </row>
    <row r="67" spans="1:35" ht="14.25" customHeight="1">
      <c r="A67" s="178" t="s">
        <v>773</v>
      </c>
      <c r="B67" s="179" t="s">
        <v>2075</v>
      </c>
      <c r="C67" s="2785">
        <f ca="1">C63-C66</f>
        <v>205510</v>
      </c>
      <c r="D67" s="175" t="s">
        <v>32</v>
      </c>
      <c r="E67" s="177"/>
      <c r="F67" s="1994"/>
      <c r="G67" s="1994"/>
      <c r="H67" s="1996"/>
      <c r="I67" s="134"/>
      <c r="J67" s="3201"/>
      <c r="K67" s="1501" t="s">
        <v>2076</v>
      </c>
      <c r="L67" s="1501">
        <f ca="1">IF(M49&gt;=10000,(8.25+(M49-10000)*0.01%),IF(AND(M49&gt;=8000,M49&lt;10000),(7.85+(M49-8000)*0.02%),IF(AND(M49&gt;=5000,M49&lt;8000),(6.65+(M49-5000)*0.04%),IF(AND(M49&gt;=2000,M49&lt;5000),(4.25+(PM49-2000)*0.08%),IF(AND(M49&gt;=1000,M49&lt;2000),(2.75+(M49-1000)*0.15%),IF(AND(M49&gt;=100,M49&lt;1000),(0.5+(M49-100)*0.25%),IF(AND(M49&gt;0,M49&lt;100),M49*0.5%)))))))</f>
        <v>28.828500000000002</v>
      </c>
      <c r="M67" s="308">
        <f ca="1">ROUND(L67*0.9,1)</f>
        <v>25.9</v>
      </c>
      <c r="N67" s="2760"/>
      <c r="Z67" s="1938"/>
      <c r="AI67" s="1939"/>
    </row>
    <row r="68" spans="1:35" ht="14.25" customHeight="1" thickBot="1">
      <c r="A68" s="181" t="s">
        <v>774</v>
      </c>
      <c r="B68" s="182" t="s">
        <v>2077</v>
      </c>
      <c r="C68" s="2786">
        <f ca="1">IF(C67&lt;=0,0,ROUND(C67*D68,0))</f>
        <v>11509</v>
      </c>
      <c r="D68" s="2787">
        <f>'数据-取费表'!B41</f>
        <v>5.6000000000000001E-2</v>
      </c>
      <c r="E68" s="184"/>
      <c r="F68" s="1994"/>
      <c r="G68" s="1994"/>
      <c r="H68" s="1996"/>
      <c r="I68" s="134"/>
      <c r="J68" s="3201"/>
      <c r="K68" s="1501" t="s">
        <v>2078</v>
      </c>
      <c r="L68" s="1501">
        <f ca="1">IF(M49&gt;10000,M49*0.5%,IF(AND(M49&gt;5000,M49&lt;=10000),M49*1%,IF(AND(M49&gt;1000,M49&lt;=5000),M49*2%,IF(AND(M49&gt;200,M49&lt;=1000),M49*3%,M49*5%))))</f>
        <v>1078.925</v>
      </c>
      <c r="M68" s="308">
        <f ca="1">ROUND(L68,1)</f>
        <v>1078.9000000000001</v>
      </c>
      <c r="N68" s="2760"/>
      <c r="Z68" s="1938"/>
      <c r="AI68" s="1939"/>
    </row>
    <row r="69" spans="1:35" s="1958" customFormat="1" ht="16.5" customHeight="1">
      <c r="A69" s="1997"/>
      <c r="B69" s="1998"/>
      <c r="C69" s="1999"/>
      <c r="D69" s="2000"/>
      <c r="E69" s="2001"/>
      <c r="F69" s="1763"/>
      <c r="G69" s="1763"/>
      <c r="H69" s="1762"/>
      <c r="I69" s="1933"/>
      <c r="J69" s="3201"/>
      <c r="K69" s="1501" t="s">
        <v>2079</v>
      </c>
      <c r="L69" s="1501"/>
      <c r="M69" s="308">
        <f ca="1">ROUND(SUM(M63:M68),0)</f>
        <v>3479</v>
      </c>
      <c r="N69" s="2762">
        <f ca="1">M69/M49</f>
        <v>1.6122529369511317E-2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1" t="s">
        <v>2080</v>
      </c>
      <c r="B70" s="3242"/>
      <c r="C70" s="3242"/>
      <c r="D70" s="3242"/>
      <c r="E70" s="3242"/>
      <c r="F70" s="3242"/>
      <c r="G70" s="3242"/>
      <c r="H70" s="3242"/>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3" t="s">
        <v>2061</v>
      </c>
      <c r="B71" s="3234"/>
      <c r="C71" s="2209"/>
      <c r="D71" s="2209"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205510</v>
      </c>
      <c r="D72" s="175" t="s">
        <v>32</v>
      </c>
      <c r="E72" s="2545"/>
      <c r="F72" s="2544"/>
      <c r="G72" s="2544"/>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1233</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38" t="s">
        <v>2088</v>
      </c>
      <c r="F76" s="3237"/>
      <c r="G76" s="3237"/>
      <c r="H76" s="324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2538" t="s">
        <v>2090</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1233</v>
      </c>
      <c r="D78" s="2794">
        <f>'数据-取费表'!B43</f>
        <v>6.000000000000001E-3</v>
      </c>
      <c r="E78" s="3230" t="s">
        <v>2092</v>
      </c>
      <c r="F78" s="3231"/>
      <c r="G78" s="3231"/>
      <c r="H78" s="323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85">
        <f ca="1">C72-C73</f>
        <v>204277</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165.67477696674777</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122135</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1" t="s">
        <v>2096</v>
      </c>
      <c r="B83" s="3242"/>
      <c r="C83" s="3242"/>
      <c r="D83" s="3242"/>
      <c r="E83" s="3242"/>
      <c r="F83" s="3242"/>
      <c r="G83" s="3242"/>
      <c r="H83" s="324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3" t="s">
        <v>2061</v>
      </c>
      <c r="B84" s="3234"/>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205510</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45862.821360000002</v>
      </c>
      <c r="D86" s="2798"/>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1952.8213600000001</v>
      </c>
      <c r="D87" s="2794"/>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80*'数据-汇总表'!D3/10000</f>
        <v>1894.8213600000001</v>
      </c>
      <c r="D88" s="2794"/>
      <c r="E88" s="199" t="s">
        <v>2099</v>
      </c>
      <c r="F88" s="2541"/>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58</v>
      </c>
      <c r="D89" s="2794">
        <f>'数据-取费表'!B48+'数据-取费表'!B49</f>
        <v>3.0499999999999999E-2</v>
      </c>
      <c r="E89" s="199" t="s">
        <v>2101</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2541"/>
      <c r="G90" s="3203" t="s">
        <v>2870</v>
      </c>
      <c r="H90" s="3204"/>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IF(H91="——",成本法!C33,I91)</f>
        <v>32378</v>
      </c>
      <c r="D91" s="2794"/>
      <c r="E91" s="3230" t="s">
        <v>2105</v>
      </c>
      <c r="F91" s="3231"/>
      <c r="G91" s="3231"/>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3433</v>
      </c>
      <c r="D92" s="2800">
        <v>0.1</v>
      </c>
      <c r="E92" s="3230" t="s">
        <v>2108</v>
      </c>
      <c r="F92" s="3231"/>
      <c r="G92" s="3231"/>
      <c r="H92" s="3232"/>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1233</v>
      </c>
      <c r="D93" s="2794">
        <f>'数据-取费表'!B43</f>
        <v>6.000000000000001E-3</v>
      </c>
      <c r="E93" s="3230" t="s">
        <v>2092</v>
      </c>
      <c r="F93" s="3231"/>
      <c r="G93" s="3231"/>
      <c r="H93" s="323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6866</v>
      </c>
      <c r="D94" s="2794">
        <v>0.2</v>
      </c>
      <c r="E94" s="3277" t="s">
        <v>2112</v>
      </c>
      <c r="F94" s="3278"/>
      <c r="G94" s="3278"/>
      <c r="H94" s="327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85">
        <f ca="1">ROUND(C85-C86,0)</f>
        <v>159647</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3.4809677046872372</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79736</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76" t="s">
        <v>2114</v>
      </c>
      <c r="B100" s="3177"/>
      <c r="C100" s="3177"/>
      <c r="D100" s="3215"/>
      <c r="E100" s="3177" t="s">
        <v>2115</v>
      </c>
      <c r="F100" s="3177"/>
      <c r="G100" s="3177"/>
      <c r="H100" s="3215"/>
      <c r="I100" s="134"/>
    </row>
    <row r="101" spans="1:35" ht="18.75" customHeight="1">
      <c r="A101" s="3223" t="s">
        <v>2116</v>
      </c>
      <c r="B101" s="3224"/>
      <c r="C101" s="2802" t="str">
        <f>C4</f>
        <v>成本法</v>
      </c>
      <c r="D101" s="2803" t="str">
        <f>D4</f>
        <v>收益法</v>
      </c>
      <c r="E101" s="3197" t="s">
        <v>2117</v>
      </c>
      <c r="F101" s="3198"/>
      <c r="G101" s="2013" t="s">
        <v>2118</v>
      </c>
      <c r="H101" s="2812">
        <f ca="1">H118</f>
        <v>215785</v>
      </c>
      <c r="I101" s="134"/>
    </row>
    <row r="102" spans="1:35" ht="18.75" customHeight="1">
      <c r="A102" s="3225" t="s">
        <v>2119</v>
      </c>
      <c r="B102" s="2801" t="s">
        <v>2118</v>
      </c>
      <c r="C102" s="2802">
        <f ca="1">C19</f>
        <v>148180</v>
      </c>
      <c r="D102" s="2803">
        <f ca="1">D19</f>
        <v>298414</v>
      </c>
      <c r="E102" s="3197"/>
      <c r="F102" s="3198"/>
      <c r="G102" s="2013" t="s">
        <v>2120</v>
      </c>
      <c r="H102" s="2772">
        <f ca="1">I118</f>
        <v>18911</v>
      </c>
      <c r="I102" s="134"/>
    </row>
    <row r="103" spans="1:35" ht="42.75" customHeight="1">
      <c r="A103" s="3225"/>
      <c r="B103" s="2801" t="s">
        <v>2120</v>
      </c>
      <c r="C103" s="2804">
        <f ca="1">C20</f>
        <v>12986</v>
      </c>
      <c r="D103" s="2805">
        <f ca="1">D20</f>
        <v>26152</v>
      </c>
      <c r="E103" s="3190" t="s">
        <v>2121</v>
      </c>
      <c r="F103" s="3191"/>
      <c r="G103" s="2014" t="s">
        <v>2122</v>
      </c>
      <c r="H103" s="2812">
        <f>IF(D36="正常操作",H104+H105+H106,H105+H106)</f>
        <v>0</v>
      </c>
      <c r="I103" s="134"/>
    </row>
    <row r="104" spans="1:35" ht="18.75" customHeight="1">
      <c r="A104" s="3225" t="s">
        <v>2123</v>
      </c>
      <c r="B104" s="2806" t="s">
        <v>2118</v>
      </c>
      <c r="C104" s="2807">
        <f ca="1">H118</f>
        <v>215785</v>
      </c>
      <c r="D104" s="2808"/>
      <c r="E104" s="1860" t="s">
        <v>2124</v>
      </c>
      <c r="F104" s="1851"/>
      <c r="G104" s="2014" t="s">
        <v>2122</v>
      </c>
      <c r="H104" s="2813">
        <f>IF(D36="同一抵押权人同一抵押物续贷",C36&amp;"（续贷，未扣减，详见特别提示）",C36)</f>
        <v>0</v>
      </c>
      <c r="I104" s="134"/>
    </row>
    <row r="105" spans="1:35" ht="18.75" customHeight="1" thickBot="1">
      <c r="A105" s="3235"/>
      <c r="B105" s="2809" t="s">
        <v>2120</v>
      </c>
      <c r="C105" s="2810">
        <f ca="1">I118</f>
        <v>18911</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26" t="str">
        <f>IF(项目基本情况!E8="已注销","——","3.房地产抵押价值")</f>
        <v>3.房地产抵押价值</v>
      </c>
      <c r="F107" s="3198"/>
      <c r="G107" s="2013" t="s">
        <v>2118</v>
      </c>
      <c r="H107" s="2812">
        <f ca="1">IF(E107="——","——",H101-H103)</f>
        <v>215785</v>
      </c>
      <c r="I107" s="134"/>
    </row>
    <row r="108" spans="1:35" ht="18.75" customHeight="1">
      <c r="A108" s="134"/>
      <c r="B108" s="134"/>
      <c r="C108" s="134"/>
      <c r="D108" s="134"/>
      <c r="E108" s="3226"/>
      <c r="F108" s="3198"/>
      <c r="G108" s="2013" t="s">
        <v>2120</v>
      </c>
      <c r="H108" s="2772">
        <f ca="1">ROUND(H107*10000/'数据-汇总表'!E3,0)</f>
        <v>18911</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8"/>
      <c r="G109" s="2013" t="s">
        <v>2118</v>
      </c>
      <c r="H109" s="2815" t="str">
        <f>IF(E109="——","——",H101-H105-H106)</f>
        <v>——</v>
      </c>
      <c r="I109" s="134"/>
    </row>
    <row r="110" spans="1:35" ht="18.75" customHeight="1">
      <c r="A110" s="134"/>
      <c r="B110" s="134"/>
      <c r="C110" s="134"/>
      <c r="D110" s="134"/>
      <c r="E110" s="3226"/>
      <c r="F110" s="3198"/>
      <c r="G110" s="2013" t="s">
        <v>2120</v>
      </c>
      <c r="H110" s="2772"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4.抵押净值</v>
      </c>
      <c r="F111" s="3213"/>
      <c r="G111" s="2013" t="s">
        <v>2118</v>
      </c>
      <c r="H111" s="2812">
        <f ca="1">IF(E111="——","——",N59)</f>
        <v>124432</v>
      </c>
      <c r="I111" s="134"/>
    </row>
    <row r="112" spans="1:35" ht="18.75" customHeight="1" thickBot="1">
      <c r="A112" s="134"/>
      <c r="B112" s="134"/>
      <c r="C112" s="134"/>
      <c r="D112" s="134"/>
      <c r="E112" s="3228"/>
      <c r="F112" s="3229"/>
      <c r="G112" s="2016" t="s">
        <v>2120</v>
      </c>
      <c r="H112" s="2816">
        <f ca="1">IF(E111="——","——",N61)</f>
        <v>10905</v>
      </c>
      <c r="I112" s="134"/>
    </row>
    <row r="113" spans="1:27" ht="18.75" customHeight="1">
      <c r="A113" s="134"/>
      <c r="B113" s="134"/>
      <c r="C113" s="134"/>
      <c r="D113" s="134"/>
      <c r="E113" s="3236" t="s">
        <v>2126</v>
      </c>
      <c r="F113" s="3236"/>
      <c r="G113" s="3236"/>
      <c r="H113" s="3236"/>
      <c r="I113" s="134"/>
    </row>
    <row r="114" spans="1:27" ht="3.75" customHeight="1">
      <c r="A114" s="1933"/>
      <c r="B114" s="1933"/>
      <c r="C114" s="1933"/>
      <c r="D114" s="1933"/>
      <c r="E114" s="1995"/>
      <c r="F114" s="1995"/>
      <c r="G114" s="1995"/>
      <c r="H114" s="1995"/>
      <c r="I114" s="1933"/>
    </row>
    <row r="115" spans="1:27" ht="18.75" customHeight="1">
      <c r="A115" s="3246" t="s">
        <v>2128</v>
      </c>
      <c r="B115" s="3247"/>
      <c r="C115" s="3247"/>
      <c r="D115" s="3247"/>
      <c r="E115" s="3247"/>
      <c r="F115" s="3247"/>
      <c r="G115" s="3247"/>
      <c r="H115" s="3247"/>
      <c r="I115" s="3248"/>
    </row>
    <row r="116" spans="1:27" ht="27" customHeight="1">
      <c r="A116" s="3205" t="s">
        <v>2129</v>
      </c>
      <c r="B116" s="3185" t="s">
        <v>2130</v>
      </c>
      <c r="C116" s="3185" t="s">
        <v>2131</v>
      </c>
      <c r="D116" s="3187" t="s">
        <v>2132</v>
      </c>
      <c r="E116" s="3188"/>
      <c r="F116" s="3189" t="s">
        <v>2133</v>
      </c>
      <c r="G116" s="3189"/>
      <c r="H116" s="3205" t="s">
        <v>2134</v>
      </c>
      <c r="I116" s="3205"/>
    </row>
    <row r="117" spans="1:27" ht="18.75" customHeight="1">
      <c r="A117" s="3205"/>
      <c r="B117" s="3186"/>
      <c r="C117" s="3186"/>
      <c r="D117" s="2543" t="s">
        <v>2135</v>
      </c>
      <c r="E117" s="2543" t="s">
        <v>2136</v>
      </c>
      <c r="F117" s="2543" t="s">
        <v>2135</v>
      </c>
      <c r="G117" s="2543" t="s">
        <v>2137</v>
      </c>
      <c r="H117" s="2543" t="s">
        <v>2135</v>
      </c>
      <c r="I117" s="2543" t="s">
        <v>2137</v>
      </c>
    </row>
    <row r="118" spans="1:27" ht="24.75" customHeight="1">
      <c r="A118" s="2817" t="str">
        <f>项目基本情况!S2</f>
        <v>北京市房地产</v>
      </c>
      <c r="B118" s="2543">
        <f>M18</f>
        <v>114107.98000000001</v>
      </c>
      <c r="C118" s="2543">
        <f>M19</f>
        <v>236852.67</v>
      </c>
      <c r="D118" s="2543">
        <f ca="1">ROUND(IF(D32="总价",C34,E118*B118/10000),0)</f>
        <v>179599</v>
      </c>
      <c r="E118" s="2543">
        <f ca="1">ROUND(IF(C33="自定义",IF(D32="楼面单价",C34,D118*10000/B118),I118-G118),0)</f>
        <v>15739</v>
      </c>
      <c r="F118" s="2543">
        <f ca="1">ROUND(IF(D32="总价",C35,G118*B118/10000),0)</f>
        <v>36186</v>
      </c>
      <c r="G118" s="2543">
        <f ca="1">ROUND(IF(D32="楼面单价",C35,F118*10000/B118),0)</f>
        <v>3171</v>
      </c>
      <c r="H118" s="2543">
        <f ca="1">ROUND(IF(D32="总价",C32,I118*B118/10000),0)</f>
        <v>215785</v>
      </c>
      <c r="I118" s="2543">
        <f ca="1">ROUND(IF(D32="楼面单价",C32,H118*10000/B118),0)</f>
        <v>18911</v>
      </c>
      <c r="J118" s="734">
        <f ca="1">D118/C118*666.67</f>
        <v>505.51790414691118</v>
      </c>
    </row>
    <row r="119" spans="1:27" ht="18.75" customHeight="1">
      <c r="A119" s="3205" t="s">
        <v>2138</v>
      </c>
      <c r="B119" s="3205"/>
      <c r="C119" s="3205"/>
      <c r="D119" s="3209" t="str">
        <f ca="1">NUMBERSTRING(INT(D118*10000),2)&amp;"元整"</f>
        <v>壹拾柒亿玖仟伍佰玖拾玖万元整</v>
      </c>
      <c r="E119" s="3210"/>
      <c r="F119" s="3209" t="str">
        <f ca="1">NUMBERSTRING(INT(F118*10000),2)&amp;"元整"</f>
        <v>叁亿陆仟壹佰捌拾陆万元整</v>
      </c>
      <c r="G119" s="3210"/>
      <c r="H119" s="3209" t="str">
        <f ca="1">NUMBERSTRING(INT(H118*10000),2)&amp;"元整"</f>
        <v>贰拾壹亿伍仟柒佰捌拾伍万元整</v>
      </c>
      <c r="I119" s="3210"/>
    </row>
    <row r="120" spans="1:27" ht="18.75" customHeight="1">
      <c r="A120" s="3206" t="str">
        <f>IF(项目基本情况!B9="房地产市场价值","",MID(E103,3,LEN(E103)-2))</f>
        <v>估价师知悉的法定优先受偿款</v>
      </c>
      <c r="B120" s="3207"/>
      <c r="C120" s="3208"/>
      <c r="D120" s="3206">
        <f>H103</f>
        <v>0</v>
      </c>
      <c r="E120" s="3207"/>
      <c r="F120" s="3207"/>
      <c r="G120" s="3207"/>
      <c r="H120" s="3207"/>
      <c r="I120" s="320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3" t="s">
        <v>2138</v>
      </c>
      <c r="B121" s="3244"/>
      <c r="C121" s="3245"/>
      <c r="D121" s="3209" t="str">
        <f>IF(D120=0,"零元整",NUMBERSTRING(INT(D120*10000),2)&amp;"元整")</f>
        <v>零元整</v>
      </c>
      <c r="E121" s="3211"/>
      <c r="F121" s="3211"/>
      <c r="G121" s="3211"/>
      <c r="H121" s="3211"/>
      <c r="I121" s="3210"/>
      <c r="AA121" s="734"/>
    </row>
    <row r="122" spans="1:27" ht="18.75" customHeight="1">
      <c r="A122" s="3213" t="str">
        <f>IF(项目基本情况!B9="房地产市场价值","",MID(E107,3,LEN(E107)-2))</f>
        <v>房地产抵押价值</v>
      </c>
      <c r="B122" s="3213"/>
      <c r="C122" s="3213"/>
      <c r="D122" s="3206">
        <f ca="1">H107</f>
        <v>215785</v>
      </c>
      <c r="E122" s="3207"/>
      <c r="F122" s="3207"/>
      <c r="G122" s="3207"/>
      <c r="H122" s="3207"/>
      <c r="I122" s="3208"/>
      <c r="AA122" s="734"/>
    </row>
    <row r="123" spans="1:27" ht="18.75" customHeight="1">
      <c r="A123" s="3205" t="s">
        <v>2138</v>
      </c>
      <c r="B123" s="3205"/>
      <c r="C123" s="3205"/>
      <c r="D123" s="3209" t="str">
        <f ca="1">NUMBERSTRING(INT(D122*10000),2)&amp;"元整"</f>
        <v>贰拾壹亿伍仟柒佰捌拾伍万元整</v>
      </c>
      <c r="E123" s="3211"/>
      <c r="F123" s="3211"/>
      <c r="G123" s="3211"/>
      <c r="H123" s="3211"/>
      <c r="I123" s="3210"/>
      <c r="AA123" s="734"/>
    </row>
    <row r="124" spans="1:27" ht="18.75" customHeight="1">
      <c r="A124" s="3213" t="str">
        <f>IF(项目基本情况!B9="房地产市场价值","",MID(E109,3,LEN(E109)-2))</f>
        <v/>
      </c>
      <c r="B124" s="3213"/>
      <c r="C124" s="3213"/>
      <c r="D124" s="3206" t="str">
        <f>H109</f>
        <v>——</v>
      </c>
      <c r="E124" s="3207"/>
      <c r="F124" s="3207"/>
      <c r="G124" s="3207"/>
      <c r="H124" s="3207"/>
      <c r="I124" s="3208"/>
      <c r="AA124" s="734"/>
    </row>
    <row r="125" spans="1:27" ht="18.75" customHeight="1">
      <c r="A125" s="3205" t="s">
        <v>2138</v>
      </c>
      <c r="B125" s="3205"/>
      <c r="C125" s="3205"/>
      <c r="D125" s="3209" t="e">
        <f>NUMBERSTRING(INT(D124*10000),2)&amp;"元整"</f>
        <v>#VALUE!</v>
      </c>
      <c r="E125" s="3211"/>
      <c r="F125" s="3211"/>
      <c r="G125" s="3211"/>
      <c r="H125" s="3211"/>
      <c r="I125" s="3210"/>
      <c r="AA125" s="734"/>
    </row>
    <row r="126" spans="1:27" ht="18.75" customHeight="1">
      <c r="A126" s="3213" t="str">
        <f>IF(项目基本情况!B9="房地产市场价值","",MID(E111,3,LEN(E111)-2))</f>
        <v>抵押净值</v>
      </c>
      <c r="B126" s="3213"/>
      <c r="C126" s="3213"/>
      <c r="D126" s="3206">
        <f ca="1">H111</f>
        <v>124432</v>
      </c>
      <c r="E126" s="3207"/>
      <c r="F126" s="3207"/>
      <c r="G126" s="3207"/>
      <c r="H126" s="3207"/>
      <c r="I126" s="3208"/>
      <c r="AA126" s="734"/>
    </row>
    <row r="127" spans="1:27" ht="18.75" customHeight="1">
      <c r="A127" s="3205" t="s">
        <v>2138</v>
      </c>
      <c r="B127" s="3205"/>
      <c r="C127" s="3205"/>
      <c r="D127" s="3209" t="str">
        <f ca="1">NUMBERSTRING(INT(D126*10000),2)&amp;"元整"</f>
        <v>壹拾贰亿肆仟肆佰叁拾贰万元整</v>
      </c>
      <c r="E127" s="3211"/>
      <c r="F127" s="3211"/>
      <c r="G127" s="3211"/>
      <c r="H127" s="3211"/>
      <c r="I127" s="3210"/>
      <c r="AA127" s="734"/>
    </row>
    <row r="128" spans="1:27" ht="21.75" customHeight="1">
      <c r="A128" s="3212" t="s">
        <v>2139</v>
      </c>
      <c r="B128" s="3212"/>
      <c r="C128" s="3212"/>
      <c r="D128" s="3212"/>
      <c r="E128" s="3212"/>
      <c r="F128" s="3212"/>
      <c r="G128" s="3212"/>
      <c r="H128" s="3212"/>
      <c r="I128" s="3212"/>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2" t="str">
        <f>项目基本情况!B1</f>
        <v>北京市房地产抵押价值预评估</v>
      </c>
      <c r="C37" s="3082"/>
      <c r="D37" s="3082"/>
      <c r="E37" s="3082"/>
      <c r="F37" s="3082"/>
      <c r="G37" s="3082"/>
      <c r="H37" s="3082"/>
      <c r="I37" s="308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Normal="100" zoomScaleSheetLayoutView="100" zoomScalePageLayoutView="80" workbookViewId="0">
      <selection activeCell="C88" sqref="C8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55" t="str">
        <f>项目基本情况!S2</f>
        <v>北京市房地产</v>
      </c>
      <c r="B2" s="3256"/>
      <c r="C2" s="3256"/>
      <c r="D2" s="3256"/>
      <c r="E2" s="3256"/>
      <c r="F2" s="3256"/>
      <c r="G2" s="3256"/>
      <c r="H2" s="3256"/>
      <c r="I2" s="3257"/>
    </row>
    <row r="3" spans="1:12" ht="12.75">
      <c r="A3" s="3259" t="s">
        <v>1950</v>
      </c>
      <c r="B3" s="3260"/>
      <c r="C3" s="3260"/>
      <c r="D3" s="3260"/>
      <c r="E3" s="3260"/>
      <c r="F3" s="3260"/>
      <c r="G3" s="3260"/>
      <c r="H3" s="3260"/>
      <c r="I3" s="3260"/>
    </row>
    <row r="4" spans="1:12" ht="14.25">
      <c r="A4" s="1940" t="s">
        <v>1951</v>
      </c>
      <c r="B4" s="1941" t="s">
        <v>1952</v>
      </c>
      <c r="C4" s="1942" t="s">
        <v>3136</v>
      </c>
      <c r="D4" s="1942" t="s">
        <v>3117</v>
      </c>
      <c r="E4" s="3264" t="s">
        <v>1953</v>
      </c>
      <c r="F4" s="3265"/>
      <c r="G4" s="3265"/>
      <c r="H4" s="3265"/>
      <c r="I4" s="3266"/>
      <c r="K4" s="151" t="str">
        <f>IF(ISNUMBER(FIND("比较法",净值1!C4)),"比较法",IF(ISNUMBER(FIND("成本法",净值1!C4)),"成本法",IF(ISNUMBER(FIND("假设开发法",净值1!C4)),"假设开发法",IF(ISNUMBER(FIND("收益法",净值1!C4)),"收益法","基准地价系数修正法"))))</f>
        <v>成本法</v>
      </c>
      <c r="L4" s="151" t="str">
        <f>IF(ISNUMBER(FIND("比较法",净值1!D4)),"比较法",IF(ISNUMBER(FIND("成本法",净值1!D4)),"成本法",IF(ISNUMBER(FIND("假设开发法",净值1!D4)),"假设开发法",IF(ISNUMBER(FIND("收益法",净值1!D4)),"收益法","基准地价系数修正法"))))</f>
        <v>收益法</v>
      </c>
    </row>
    <row r="5" spans="1:12" ht="12.75">
      <c r="A5" s="3205" t="s">
        <v>1954</v>
      </c>
      <c r="B5" s="3258">
        <v>25</v>
      </c>
      <c r="C5" s="3261"/>
      <c r="D5" s="3249"/>
      <c r="E5" s="136" t="s">
        <v>1955</v>
      </c>
      <c r="F5" s="1943"/>
      <c r="G5" s="1943"/>
      <c r="H5" s="1943"/>
      <c r="I5" s="1557"/>
    </row>
    <row r="6" spans="1:12" ht="12.75">
      <c r="A6" s="3205"/>
      <c r="B6" s="3258"/>
      <c r="C6" s="3263"/>
      <c r="D6" s="3249"/>
      <c r="E6" s="136" t="s">
        <v>1956</v>
      </c>
      <c r="F6" s="1943"/>
      <c r="G6" s="1943"/>
      <c r="H6" s="1943"/>
      <c r="I6" s="1557"/>
    </row>
    <row r="7" spans="1:12" ht="12.75">
      <c r="A7" s="3205"/>
      <c r="B7" s="3258"/>
      <c r="C7" s="3262"/>
      <c r="D7" s="3249"/>
      <c r="E7" s="136" t="s">
        <v>1957</v>
      </c>
      <c r="F7" s="1943"/>
      <c r="G7" s="1943"/>
      <c r="H7" s="1943"/>
      <c r="I7" s="1557"/>
    </row>
    <row r="8" spans="1:12" ht="12.75">
      <c r="A8" s="3205" t="s">
        <v>1958</v>
      </c>
      <c r="B8" s="3258">
        <v>15</v>
      </c>
      <c r="C8" s="3261"/>
      <c r="D8" s="3249"/>
      <c r="E8" s="136" t="s">
        <v>1959</v>
      </c>
      <c r="F8" s="1943"/>
      <c r="G8" s="1943"/>
      <c r="H8" s="1943"/>
      <c r="I8" s="1557"/>
    </row>
    <row r="9" spans="1:12" ht="12.75">
      <c r="A9" s="3205"/>
      <c r="B9" s="3258"/>
      <c r="C9" s="3262"/>
      <c r="D9" s="3249"/>
      <c r="E9" s="136" t="s">
        <v>1960</v>
      </c>
      <c r="F9" s="1943"/>
      <c r="G9" s="1943"/>
      <c r="H9" s="1943"/>
      <c r="I9" s="1557"/>
    </row>
    <row r="10" spans="1:12" ht="12.75">
      <c r="A10" s="3205" t="s">
        <v>1961</v>
      </c>
      <c r="B10" s="3258">
        <v>15</v>
      </c>
      <c r="C10" s="3261"/>
      <c r="D10" s="3249"/>
      <c r="E10" s="136" t="s">
        <v>1962</v>
      </c>
      <c r="F10" s="1943"/>
      <c r="G10" s="1943"/>
      <c r="H10" s="1943"/>
      <c r="I10" s="1557"/>
    </row>
    <row r="11" spans="1:12" ht="12.75">
      <c r="A11" s="3205"/>
      <c r="B11" s="3258"/>
      <c r="C11" s="3262"/>
      <c r="D11" s="3249"/>
      <c r="E11" s="136" t="s">
        <v>1963</v>
      </c>
      <c r="F11" s="1943"/>
      <c r="G11" s="1943"/>
      <c r="H11" s="1943"/>
      <c r="I11" s="1557"/>
    </row>
    <row r="12" spans="1:12" ht="12.75">
      <c r="A12" s="3205" t="s">
        <v>1964</v>
      </c>
      <c r="B12" s="3258">
        <v>15</v>
      </c>
      <c r="C12" s="3261"/>
      <c r="D12" s="3249"/>
      <c r="E12" s="136" t="s">
        <v>1965</v>
      </c>
      <c r="F12" s="1943"/>
      <c r="G12" s="1943"/>
      <c r="H12" s="1943"/>
      <c r="I12" s="1557"/>
    </row>
    <row r="13" spans="1:12" ht="12.75">
      <c r="A13" s="3205"/>
      <c r="B13" s="3258"/>
      <c r="C13" s="3262"/>
      <c r="D13" s="3249"/>
      <c r="E13" s="136" t="s">
        <v>1966</v>
      </c>
      <c r="F13" s="1943"/>
      <c r="G13" s="1943"/>
      <c r="H13" s="1943"/>
      <c r="I13" s="1557"/>
    </row>
    <row r="14" spans="1:12" ht="12.75">
      <c r="A14" s="3205" t="s">
        <v>1967</v>
      </c>
      <c r="B14" s="3258">
        <v>30</v>
      </c>
      <c r="C14" s="3261">
        <v>6</v>
      </c>
      <c r="D14" s="3249">
        <v>4</v>
      </c>
      <c r="E14" s="136" t="s">
        <v>1968</v>
      </c>
      <c r="F14" s="1943"/>
      <c r="G14" s="1943"/>
      <c r="H14" s="1943"/>
      <c r="I14" s="1557"/>
    </row>
    <row r="15" spans="1:12" ht="12.75">
      <c r="A15" s="3205"/>
      <c r="B15" s="3258"/>
      <c r="C15" s="3263"/>
      <c r="D15" s="3249"/>
      <c r="E15" s="136" t="s">
        <v>1969</v>
      </c>
      <c r="F15" s="1943"/>
      <c r="G15" s="1943"/>
      <c r="H15" s="1943"/>
      <c r="I15" s="1557"/>
    </row>
    <row r="16" spans="1:12" ht="12.75">
      <c r="A16" s="3205"/>
      <c r="B16" s="3258"/>
      <c r="C16" s="3262"/>
      <c r="D16" s="3249"/>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80" t="s">
        <v>2872</v>
      </c>
      <c r="F18" s="3281"/>
      <c r="G18" s="3281"/>
      <c r="H18" s="3281"/>
      <c r="I18" s="3281"/>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SUMIF(INDIRECT("'"&amp;C4&amp;"'"&amp;"!A:A"),净值1!B19,INDIRECT("'"&amp;C4&amp;"'"&amp;"!B:B"))</f>
        <v>148180</v>
      </c>
      <c r="D19" s="140">
        <f ca="1">SUMIF(INDIRECT("'"&amp;D4&amp;"'"&amp;"!A:A"),净值1!B19,INDIRECT("'"&amp;D4&amp;"'"&amp;"!B:B"))</f>
        <v>298414</v>
      </c>
      <c r="E19" s="1947" t="s">
        <v>1978</v>
      </c>
      <c r="F19" s="1948" t="s">
        <v>1977</v>
      </c>
      <c r="G19" s="141">
        <f ca="1">ROUND(C19*$C$18+D19*$D$18,0)</f>
        <v>208274</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SUMIF(INDIRECT("'"&amp;C4&amp;"'"&amp;"!A:A"),净值1!B20,INDIRECT("'"&amp;C4&amp;"'"&amp;"!B:B"))</f>
        <v>12986</v>
      </c>
      <c r="D20" s="143">
        <f ca="1">SUMIF(INDIRECT("'"&amp;D4&amp;"'"&amp;"!A:A"),净值1!B20,INDIRECT("'"&amp;D4&amp;"'"&amp;"!B:B"))</f>
        <v>26152</v>
      </c>
      <c r="E20" s="1950"/>
      <c r="F20" s="1157" t="s">
        <v>1981</v>
      </c>
      <c r="G20" s="144">
        <f ca="1">ROUND(C20*$C$18+D20*$D$18,0)</f>
        <v>18252</v>
      </c>
      <c r="H20" s="917" t="s">
        <v>1982</v>
      </c>
      <c r="I20" s="134"/>
    </row>
    <row r="21" spans="1:36" ht="15" customHeight="1" thickBot="1">
      <c r="A21" s="937"/>
      <c r="B21" s="1951" t="s">
        <v>1983</v>
      </c>
      <c r="C21" s="728">
        <f ca="1">ROUND(C19*10000/L19,0)</f>
        <v>6256</v>
      </c>
      <c r="D21" s="729">
        <f ca="1">ROUND(D19*10000/L19,0)</f>
        <v>12599</v>
      </c>
      <c r="E21" s="937"/>
      <c r="F21" s="1951" t="s">
        <v>1983</v>
      </c>
      <c r="G21" s="145">
        <f ca="1">ROUND(G19*10000/L19,0)</f>
        <v>8793</v>
      </c>
      <c r="H21" s="1952" t="s">
        <v>1982</v>
      </c>
      <c r="I21" s="134"/>
    </row>
    <row r="22" spans="1:36" ht="15" thickBot="1">
      <c r="A22" s="1874" t="s">
        <v>1984</v>
      </c>
      <c r="B22" s="1953"/>
      <c r="C22" s="1954"/>
      <c r="D22" s="730">
        <f ca="1">IF(C19&lt;D19,D19/C19-1,C19/D19-1)</f>
        <v>1.0138615197732488</v>
      </c>
      <c r="E22" s="134"/>
      <c r="F22" s="134"/>
      <c r="G22" s="134"/>
      <c r="H22" s="134"/>
      <c r="I22" s="134"/>
    </row>
    <row r="23" spans="1:36" ht="13.5" thickBot="1">
      <c r="A23" s="1933"/>
      <c r="B23" s="1933"/>
      <c r="C23" s="1933"/>
      <c r="D23" s="1933"/>
      <c r="E23" s="134"/>
      <c r="F23" s="134"/>
      <c r="G23" s="134"/>
      <c r="H23" s="134"/>
      <c r="I23" s="134"/>
    </row>
    <row r="24" spans="1:36" ht="14.25">
      <c r="A24" s="3273" t="s">
        <v>1985</v>
      </c>
      <c r="B24" s="1948" t="s">
        <v>1977</v>
      </c>
      <c r="C24" s="141">
        <f>IF(B30=0,0,D30)</f>
        <v>0</v>
      </c>
      <c r="D24" s="1955"/>
      <c r="E24" s="134"/>
      <c r="F24" s="134"/>
      <c r="G24" s="134"/>
      <c r="H24" s="134"/>
      <c r="I24" s="134"/>
    </row>
    <row r="25" spans="1:36" ht="14.25">
      <c r="A25" s="327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208274</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172088</v>
      </c>
      <c r="D34" s="970">
        <f ca="1">IF(C33="自定义",ROUND(C34/C32,3),IF(C33="收益比率",SUMIF(INDIRECT("'"&amp;D33&amp;"'"&amp;"!b:b"),"土地收益比率",INDIRECT("'"&amp;D33&amp;"'"&amp;"!c:c")),SUMIF(INDIRECT("'"&amp;D33&amp;"'"&amp;"!b:b"),"土地成本比率",INDIRECT("'"&amp;D33&amp;"'"&amp;"!c:c"))))</f>
        <v>0.82599999999999996</v>
      </c>
      <c r="E34" s="1969" t="s">
        <v>1995</v>
      </c>
      <c r="F34" s="1498">
        <f ca="1">G19-F35</f>
        <v>172088</v>
      </c>
      <c r="G34" s="134"/>
      <c r="H34" s="134"/>
      <c r="I34" s="134"/>
    </row>
    <row r="35" spans="1:15" ht="15.75" thickBot="1">
      <c r="A35" s="1970"/>
      <c r="B35" s="1971" t="s">
        <v>1996</v>
      </c>
      <c r="C35" s="1331">
        <f ca="1">IF(C33="自定义",F35,ROUND(C32*D35,0))</f>
        <v>36186</v>
      </c>
      <c r="D35" s="1332">
        <f ca="1">IF(C33="自定义",ROUND(C35/C32,3),IF(C33="收益比率",SUMIF(INDIRECT("'"&amp;D33&amp;"'"&amp;"!b:b"),"建筑物收益比率",INDIRECT("'"&amp;D33&amp;"'"&amp;"!c:c")),SUMIF(INDIRECT("'"&amp;D33&amp;"'"&amp;"!b:b"),"建筑物成本比率",INDIRECT("'"&amp;D33&amp;"'"&amp;"!c:c"))))</f>
        <v>0.17399999999999999</v>
      </c>
      <c r="E35" s="1972" t="s">
        <v>1997</v>
      </c>
      <c r="F35" s="159">
        <f ca="1">成本法!C51</f>
        <v>36186</v>
      </c>
      <c r="G35" s="134"/>
      <c r="H35" s="134"/>
      <c r="I35" s="134"/>
    </row>
    <row r="36" spans="1:15" ht="15.75" thickBot="1">
      <c r="A36" s="3250" t="s">
        <v>1998</v>
      </c>
      <c r="B36" s="1973" t="s">
        <v>1999</v>
      </c>
      <c r="C36" s="150"/>
      <c r="D36" s="1974"/>
      <c r="E36" s="1975"/>
      <c r="F36" s="1976"/>
      <c r="G36" s="134"/>
      <c r="H36" s="134"/>
      <c r="I36" s="134"/>
    </row>
    <row r="37" spans="1:15" ht="15.75" thickBot="1">
      <c r="A37" s="3251"/>
      <c r="B37" s="1860" t="s">
        <v>2000</v>
      </c>
      <c r="C37" s="152"/>
      <c r="D37" s="1300"/>
      <c r="E37" s="1300"/>
      <c r="F37" s="1976"/>
      <c r="G37" s="134"/>
      <c r="H37" s="134"/>
      <c r="I37" s="134"/>
    </row>
    <row r="38" spans="1:15" ht="15.75" thickBot="1">
      <c r="A38" s="3252"/>
      <c r="B38" s="1977" t="s">
        <v>2001</v>
      </c>
      <c r="C38" s="683"/>
      <c r="D38" s="1978" t="s">
        <v>2002</v>
      </c>
      <c r="E38" s="1300"/>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70" t="s">
        <v>2012</v>
      </c>
      <c r="B45" s="3271"/>
      <c r="C45" s="3272"/>
      <c r="D45" s="160">
        <f ca="1">ROUND(面积表!H27*F45,0)</f>
        <v>114156</v>
      </c>
      <c r="E45" s="161" t="s">
        <v>2013</v>
      </c>
      <c r="F45" s="162">
        <v>1</v>
      </c>
      <c r="G45" s="163" t="s">
        <v>2014</v>
      </c>
      <c r="H45" s="134"/>
      <c r="I45" s="134"/>
      <c r="J45" s="3192" t="s">
        <v>2015</v>
      </c>
      <c r="K45" s="3192"/>
      <c r="L45" s="3192"/>
      <c r="M45" s="3192"/>
      <c r="N45" s="3192"/>
      <c r="O45" s="3192"/>
    </row>
    <row r="46" spans="1:15" ht="14.25" customHeight="1">
      <c r="A46" s="3267" t="s">
        <v>2016</v>
      </c>
      <c r="B46" s="3268"/>
      <c r="C46" s="3268"/>
      <c r="D46" s="3268"/>
      <c r="E46" s="3268"/>
      <c r="F46" s="3268"/>
      <c r="G46" s="3269"/>
      <c r="H46" s="1992"/>
      <c r="I46" s="164"/>
      <c r="J46" s="3070">
        <v>1</v>
      </c>
      <c r="K46" s="3193" t="s">
        <v>2017</v>
      </c>
      <c r="L46" s="3193"/>
      <c r="M46" s="3194"/>
      <c r="N46" s="3194"/>
      <c r="O46" s="3194"/>
    </row>
    <row r="47" spans="1:15" ht="12" customHeight="1">
      <c r="A47" s="165" t="s">
        <v>2018</v>
      </c>
      <c r="B47" s="166"/>
      <c r="C47" s="167"/>
      <c r="D47" s="1246" t="s">
        <v>2019</v>
      </c>
      <c r="E47" s="308" t="s">
        <v>2020</v>
      </c>
      <c r="F47" s="168" t="s">
        <v>2021</v>
      </c>
      <c r="G47" s="2763" t="s">
        <v>2022</v>
      </c>
      <c r="H47" s="2764"/>
      <c r="I47" s="164"/>
      <c r="J47" s="3070">
        <v>2</v>
      </c>
      <c r="K47" s="3193" t="s">
        <v>2023</v>
      </c>
      <c r="L47" s="3193"/>
      <c r="M47" s="3195">
        <f>'数据-取费表'!B2</f>
        <v>44580</v>
      </c>
      <c r="N47" s="3195"/>
      <c r="O47" s="3195"/>
    </row>
    <row r="48" spans="1:15" ht="25.5">
      <c r="A48" s="3253" t="s">
        <v>2024</v>
      </c>
      <c r="B48" s="3254"/>
      <c r="C48" s="3254"/>
      <c r="D48" s="3067">
        <f ca="1">IF(H48="情况1",0,IF(H48="情况2",D52,IF(H48="情况3",D53,IF(H48="情况4",D54))))</f>
        <v>6088</v>
      </c>
      <c r="E48" s="3080" t="str">
        <f>IF(H48="情况4","(销售额-原购置价)×税（费）率","销售额×税（费）率")</f>
        <v>销售额×税（费）率</v>
      </c>
      <c r="F48" s="2765">
        <f>IF(H48="情况1","免征",'数据-取费表'!B41)</f>
        <v>5.6000000000000001E-2</v>
      </c>
      <c r="G48" s="2766" t="s">
        <v>2025</v>
      </c>
      <c r="H48" s="2767" t="s">
        <v>3154</v>
      </c>
      <c r="I48" s="1992"/>
      <c r="J48" s="3070">
        <v>3</v>
      </c>
      <c r="K48" s="3193" t="s">
        <v>2026</v>
      </c>
      <c r="L48" s="3193"/>
      <c r="M48" s="3196">
        <f ca="1">D45</f>
        <v>114156</v>
      </c>
      <c r="N48" s="3196"/>
      <c r="O48" s="3196"/>
    </row>
    <row r="49" spans="1:35" ht="25.5" customHeight="1">
      <c r="A49" s="3079" t="s">
        <v>2027</v>
      </c>
      <c r="B49" s="3237" t="s">
        <v>2028</v>
      </c>
      <c r="C49" s="3237"/>
      <c r="D49" s="1775">
        <v>0</v>
      </c>
      <c r="E49" s="330" t="s">
        <v>2029</v>
      </c>
      <c r="F49" s="3064" t="s">
        <v>34</v>
      </c>
      <c r="G49" s="3220"/>
      <c r="H49" s="2519" t="s">
        <v>2875</v>
      </c>
      <c r="I49" s="2520"/>
      <c r="J49" s="3070">
        <v>4</v>
      </c>
      <c r="K49" s="3193" t="str">
        <f>IF(项目基本情况!E8="房地产抵押价值","房地产抵押价值","抵押担保权已注销时的房地产抵押价值")</f>
        <v>房地产抵押价值</v>
      </c>
      <c r="L49" s="3193"/>
      <c r="M49" s="3196">
        <f ca="1">M48</f>
        <v>114156</v>
      </c>
      <c r="N49" s="3196"/>
      <c r="O49" s="3196"/>
    </row>
    <row r="50" spans="1:35" ht="25.5" customHeight="1">
      <c r="A50" s="2768"/>
      <c r="B50" s="3237" t="s">
        <v>2030</v>
      </c>
      <c r="C50" s="3237"/>
      <c r="D50" s="2769"/>
      <c r="E50" s="338"/>
      <c r="F50" s="3064"/>
      <c r="G50" s="3221"/>
      <c r="H50" s="2521" t="s">
        <v>2876</v>
      </c>
      <c r="I50" s="2520"/>
      <c r="J50" s="3192" t="s">
        <v>2031</v>
      </c>
      <c r="K50" s="3192"/>
      <c r="L50" s="3192"/>
      <c r="M50" s="3192"/>
      <c r="N50" s="3192"/>
      <c r="O50" s="3192"/>
    </row>
    <row r="51" spans="1:35" ht="20.45" customHeight="1">
      <c r="A51" s="2770"/>
      <c r="B51" s="3237" t="s">
        <v>2032</v>
      </c>
      <c r="C51" s="3237"/>
      <c r="D51" s="1246"/>
      <c r="E51" s="333"/>
      <c r="F51" s="3064"/>
      <c r="G51" s="3222"/>
      <c r="H51" s="2521" t="s">
        <v>2877</v>
      </c>
      <c r="I51" s="2520"/>
      <c r="J51" s="3066" t="s">
        <v>2033</v>
      </c>
      <c r="K51" s="3193" t="s">
        <v>2034</v>
      </c>
      <c r="L51" s="3193"/>
      <c r="M51" s="3066" t="s">
        <v>2035</v>
      </c>
      <c r="N51" s="3066" t="s">
        <v>2036</v>
      </c>
      <c r="O51" s="3066" t="s">
        <v>2037</v>
      </c>
    </row>
    <row r="52" spans="1:35" ht="24" customHeight="1">
      <c r="A52" s="3081" t="s">
        <v>2038</v>
      </c>
      <c r="B52" s="3237" t="s">
        <v>2039</v>
      </c>
      <c r="C52" s="3237"/>
      <c r="D52" s="1246">
        <f ca="1">ROUND(D45*'数据-取费表'!B41/(1+'数据-取费表'!C42),0)</f>
        <v>6088</v>
      </c>
      <c r="E52" s="3080" t="s">
        <v>2040</v>
      </c>
      <c r="F52" s="2771">
        <f>'数据-取费表'!B41</f>
        <v>5.6000000000000001E-2</v>
      </c>
      <c r="G52" s="2772"/>
      <c r="H52" s="2761"/>
      <c r="I52" s="1993"/>
      <c r="J52" s="3070">
        <v>1</v>
      </c>
      <c r="K52" s="3214" t="s">
        <v>2041</v>
      </c>
      <c r="L52" s="3214"/>
      <c r="M52" s="2742">
        <f ca="1">D48</f>
        <v>6088</v>
      </c>
      <c r="N52" s="3070" t="str">
        <f>E48</f>
        <v>销售额×税（费）率</v>
      </c>
      <c r="O52" s="2743">
        <f>F48</f>
        <v>5.6000000000000001E-2</v>
      </c>
    </row>
    <row r="53" spans="1:35" ht="12" customHeight="1">
      <c r="A53" s="3081" t="s">
        <v>2042</v>
      </c>
      <c r="B53" s="3238" t="s">
        <v>3036</v>
      </c>
      <c r="C53" s="3239"/>
      <c r="D53" s="1246">
        <f ca="1">ROUND(D45*'数据-取费表'!B41/(1+'数据-取费表'!C42),0)</f>
        <v>6088</v>
      </c>
      <c r="E53" s="3080" t="s">
        <v>2040</v>
      </c>
      <c r="F53" s="2771">
        <f>'数据-取费表'!B41</f>
        <v>5.6000000000000001E-2</v>
      </c>
      <c r="G53" s="2772"/>
      <c r="H53" s="2761"/>
      <c r="I53" s="1993"/>
      <c r="J53" s="3070">
        <v>2</v>
      </c>
      <c r="K53" s="3214" t="s">
        <v>2043</v>
      </c>
      <c r="L53" s="3214"/>
      <c r="M53" s="2742">
        <f t="shared" ref="M53:O54" ca="1" si="0">D55</f>
        <v>57</v>
      </c>
      <c r="N53" s="3070" t="str">
        <f t="shared" si="0"/>
        <v>销售额×税（费）率</v>
      </c>
      <c r="O53" s="2743">
        <f t="shared" si="0"/>
        <v>5.0000000000000001E-4</v>
      </c>
    </row>
    <row r="54" spans="1:35" ht="12" customHeight="1">
      <c r="A54" s="3081" t="s">
        <v>2044</v>
      </c>
      <c r="B54" s="3238" t="s">
        <v>3037</v>
      </c>
      <c r="C54" s="3239"/>
      <c r="D54" s="1246">
        <f ca="1">C68</f>
        <v>6088</v>
      </c>
      <c r="E54" s="333" t="s">
        <v>2045</v>
      </c>
      <c r="F54" s="2771">
        <f>'数据-取费表'!B41</f>
        <v>5.6000000000000001E-2</v>
      </c>
      <c r="G54" s="2772"/>
      <c r="H54" s="2773"/>
      <c r="I54" s="1993"/>
      <c r="J54" s="3070">
        <v>3</v>
      </c>
      <c r="K54" s="3214" t="s">
        <v>2046</v>
      </c>
      <c r="L54" s="3214"/>
      <c r="M54" s="2742">
        <f t="shared" ca="1" si="0"/>
        <v>42183</v>
      </c>
      <c r="N54" s="3070" t="str">
        <f t="shared" si="0"/>
        <v>增值额×税（费）率</v>
      </c>
      <c r="O54" s="2744" t="str">
        <f t="shared" si="0"/>
        <v>——</v>
      </c>
    </row>
    <row r="55" spans="1:35" ht="24" customHeight="1">
      <c r="A55" s="3276" t="s">
        <v>2047</v>
      </c>
      <c r="B55" s="3254"/>
      <c r="C55" s="3254"/>
      <c r="D55" s="3067">
        <f ca="1">IF(H55="个人住宅",0,ROUND(D45*I55,0))</f>
        <v>57</v>
      </c>
      <c r="E55" s="3080" t="s">
        <v>2048</v>
      </c>
      <c r="F55" s="2771">
        <f>IF(H55="正常",I55,"免征")</f>
        <v>5.0000000000000001E-4</v>
      </c>
      <c r="G55" s="2772"/>
      <c r="H55" s="2767" t="s">
        <v>3155</v>
      </c>
      <c r="I55" s="170">
        <f>'数据-取费表'!B49</f>
        <v>5.0000000000000001E-4</v>
      </c>
      <c r="J55" s="3070" t="str">
        <f>IF(H59="非个人房产","",4)</f>
        <v/>
      </c>
      <c r="K55" s="3214" t="str">
        <f>IF(H59="非个人房产","——","个人所得税")</f>
        <v>——</v>
      </c>
      <c r="L55" s="3214"/>
      <c r="M55" s="2745" t="str">
        <f>D59</f>
        <v>——</v>
      </c>
      <c r="N55" s="3071" t="str">
        <f>E59</f>
        <v>——</v>
      </c>
      <c r="O55" s="2746" t="str">
        <f>F59</f>
        <v>——</v>
      </c>
    </row>
    <row r="56" spans="1:35" ht="24.75">
      <c r="A56" s="3276" t="s">
        <v>2049</v>
      </c>
      <c r="B56" s="3254"/>
      <c r="C56" s="3254"/>
      <c r="D56" s="3067">
        <f ca="1">IF(H56="个人住宅",D57,D58)</f>
        <v>42183</v>
      </c>
      <c r="E56" s="3080" t="s">
        <v>2050</v>
      </c>
      <c r="F56" s="2771" t="str">
        <f>IF(H56="正常",F58,"免征")</f>
        <v>——</v>
      </c>
      <c r="G56" s="2774" t="s">
        <v>2051</v>
      </c>
      <c r="H56" s="2775" t="s">
        <v>3155</v>
      </c>
      <c r="I56" s="1994"/>
      <c r="J56" s="3070" t="str">
        <f>IF(项目基本情况!K6="上海银行",IF(J55="",4,J55+1),"")</f>
        <v/>
      </c>
      <c r="K56" s="3199" t="str">
        <f>IF(项目基本情况!K6="上海银行","其他处置费用","")</f>
        <v/>
      </c>
      <c r="L56" s="3200"/>
      <c r="M56" s="2742" t="str">
        <f>IF(项目基本情况!K6="上海银行",M69,"")</f>
        <v/>
      </c>
      <c r="N56" s="3199" t="str">
        <f>IF(项目基本情况!K6="上海银行","包含处置中涉及的律师、诉讼、拍卖、评估等费用","")</f>
        <v/>
      </c>
      <c r="O56" s="3202"/>
    </row>
    <row r="57" spans="1:35" ht="12.75">
      <c r="A57" s="3081" t="s">
        <v>2027</v>
      </c>
      <c r="B57" s="3238" t="s">
        <v>2052</v>
      </c>
      <c r="C57" s="3239"/>
      <c r="D57" s="1775">
        <v>0</v>
      </c>
      <c r="E57" s="330" t="s">
        <v>2029</v>
      </c>
      <c r="F57" s="308"/>
      <c r="G57" s="2772"/>
      <c r="H57" s="2776"/>
      <c r="I57" s="1994"/>
      <c r="J57" s="3214">
        <f>IF(AND(J55="",J56=""),4,IF(项目基本情况!K6="上海银行",净值1!J56+1,净值1!J55+1))</f>
        <v>4</v>
      </c>
      <c r="K57" s="3214" t="s">
        <v>2053</v>
      </c>
      <c r="L57" s="2747" t="s">
        <v>2054</v>
      </c>
      <c r="M57" s="2748"/>
      <c r="N57" s="2749">
        <f ca="1">SUMIF(M52:M56,"&lt;9e307")</f>
        <v>48328</v>
      </c>
      <c r="O57" s="2750"/>
      <c r="P57" s="2910">
        <f ca="1">N57/M49</f>
        <v>0.42335050282070147</v>
      </c>
    </row>
    <row r="58" spans="1:35" ht="24.75">
      <c r="A58" s="3081" t="s">
        <v>2038</v>
      </c>
      <c r="B58" s="3238" t="s">
        <v>2055</v>
      </c>
      <c r="C58" s="3237"/>
      <c r="D58" s="3067">
        <f ca="1">IF(H58="转让取得",C81,C97)</f>
        <v>42183</v>
      </c>
      <c r="E58" s="3080" t="s">
        <v>2050</v>
      </c>
      <c r="F58" s="308" t="s">
        <v>34</v>
      </c>
      <c r="G58" s="2772"/>
      <c r="H58" s="2775" t="s">
        <v>3156</v>
      </c>
      <c r="I58" s="1994"/>
      <c r="J58" s="3214"/>
      <c r="K58" s="3214"/>
      <c r="L58" s="2747" t="s">
        <v>2056</v>
      </c>
      <c r="M58" s="2751"/>
      <c r="N58" s="2752" t="str">
        <f ca="1">NUMBERSTRING(INT(N57*10000),2)&amp;"元整"</f>
        <v>肆亿捌仟叁佰贰拾捌万元整</v>
      </c>
      <c r="O58" s="2753"/>
    </row>
    <row r="59" spans="1:35" ht="24.75" thickBot="1">
      <c r="A59" s="3218" t="s">
        <v>2057</v>
      </c>
      <c r="B59" s="3219"/>
      <c r="C59" s="3219"/>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16">
        <f>J57+1</f>
        <v>5</v>
      </c>
      <c r="K59" s="3214" t="s">
        <v>2058</v>
      </c>
      <c r="L59" s="3070" t="s">
        <v>2054</v>
      </c>
      <c r="M59" s="2754"/>
      <c r="N59" s="2755">
        <f ca="1">M49-N57</f>
        <v>65828</v>
      </c>
      <c r="O59" s="2756"/>
    </row>
    <row r="60" spans="1:35" ht="12" customHeight="1">
      <c r="A60" s="1995"/>
      <c r="B60" s="1933"/>
      <c r="C60" s="1933"/>
      <c r="D60" s="1933"/>
      <c r="E60" s="1763"/>
      <c r="F60" s="1994"/>
      <c r="G60" s="1994"/>
      <c r="H60" s="1996"/>
      <c r="I60" s="134"/>
      <c r="J60" s="3217"/>
      <c r="K60" s="3214"/>
      <c r="L60" s="2747" t="s">
        <v>2056</v>
      </c>
      <c r="M60" s="2751"/>
      <c r="N60" s="2752" t="str">
        <f ca="1">NUMBERSTRING(INT(N59*10000),2)&amp;"元整"</f>
        <v>陆亿伍仟捌佰贰拾捌万元整</v>
      </c>
      <c r="O60" s="2753"/>
    </row>
    <row r="61" spans="1:35" ht="13.5" thickBot="1">
      <c r="A61" s="3275" t="s">
        <v>2059</v>
      </c>
      <c r="B61" s="3275"/>
      <c r="C61" s="3275"/>
      <c r="D61" s="3275"/>
      <c r="E61" s="3275"/>
      <c r="F61" s="1994"/>
      <c r="G61" s="1994"/>
      <c r="H61" s="1996"/>
      <c r="I61" s="134"/>
      <c r="J61" s="3070">
        <f>J59+1</f>
        <v>6</v>
      </c>
      <c r="K61" s="3214" t="s">
        <v>2060</v>
      </c>
      <c r="L61" s="3214"/>
      <c r="M61" s="2757"/>
      <c r="N61" s="2758">
        <f ca="1">ROUND(N59*10000/面积表!F27,0)</f>
        <v>10905</v>
      </c>
      <c r="O61" s="2759"/>
    </row>
    <row r="62" spans="1:35" ht="12.75">
      <c r="A62" s="3233" t="s">
        <v>2061</v>
      </c>
      <c r="B62" s="3234"/>
      <c r="C62" s="3075"/>
      <c r="D62" s="3075" t="s">
        <v>2062</v>
      </c>
      <c r="E62" s="171" t="s">
        <v>2063</v>
      </c>
      <c r="F62" s="1994"/>
      <c r="G62" s="1994"/>
      <c r="H62" s="1996"/>
      <c r="I62" s="134"/>
    </row>
    <row r="63" spans="1:35" ht="12.75">
      <c r="A63" s="178" t="s">
        <v>775</v>
      </c>
      <c r="B63" s="172" t="s">
        <v>2064</v>
      </c>
      <c r="C63" s="2781">
        <f ca="1">ROUND((C64+C65)/(1+'数据-取费表'!C42),0)</f>
        <v>108720</v>
      </c>
      <c r="D63" s="172"/>
      <c r="E63" s="173"/>
      <c r="F63" s="1994"/>
      <c r="G63" s="1994"/>
      <c r="H63" s="1996"/>
      <c r="I63" s="134"/>
      <c r="J63" s="3201" t="s">
        <v>2065</v>
      </c>
      <c r="K63" s="3068" t="s">
        <v>2066</v>
      </c>
      <c r="L63" s="3068">
        <f ca="1">IF(M49&gt;10000,M49*0.5%,IF(AND(M49&gt;1000,M49&lt;=10000),M49*1%,IF(AND(M49&gt;100,M49&lt;=1000),M49*3%,IF(AND(M49&gt;10,M49&lt;=100),M49*5%,M49*8%))))</f>
        <v>570.78</v>
      </c>
      <c r="M63" s="308">
        <f ca="1">ROUND(L63,1)</f>
        <v>570.79999999999995</v>
      </c>
      <c r="N63" s="2760"/>
      <c r="Z63" s="1938"/>
      <c r="AI63" s="1939"/>
    </row>
    <row r="64" spans="1:35" ht="14.25" customHeight="1">
      <c r="A64" s="174" t="s">
        <v>770</v>
      </c>
      <c r="B64" s="175" t="s">
        <v>2067</v>
      </c>
      <c r="C64" s="2782">
        <f ca="1">D45</f>
        <v>114156</v>
      </c>
      <c r="D64" s="175" t="s">
        <v>32</v>
      </c>
      <c r="E64" s="177"/>
      <c r="F64" s="1994"/>
      <c r="G64" s="1994"/>
      <c r="H64" s="1996"/>
      <c r="I64" s="134"/>
      <c r="J64" s="3201"/>
      <c r="K64" s="3068" t="s">
        <v>2068</v>
      </c>
      <c r="L64" s="3068">
        <f ca="1">IF(M49&gt;2000,M49*0.5%,IF(AND(M49&gt;1000,M49&lt;=2000),M49*0.6%,IF(AND(M49&gt;500,M49&lt;=1000),M49*0.7%,IF(AND(M49&gt;200,M49&lt;=500),M49*0.8%,IF(AND(M49&gt;100,M49&lt;=200),M49*0.9%,IF(AND(M49&gt;50,M49&lt;=100),M49*1%,IF(AND(M49&gt;20,M49&lt;=50),M49*1.5%,IF(AND(M49&gt;10,M49&lt;=20),M49*2%,IF(AND(M49&gt;1,M49&lt;=10),M49*2.5%)))))))))</f>
        <v>570.78</v>
      </c>
      <c r="M64" s="308">
        <f t="shared" ref="M64:M65" ca="1" si="1">ROUND(L64,1)</f>
        <v>570.79999999999995</v>
      </c>
      <c r="N64" s="2761" t="s">
        <v>2069</v>
      </c>
      <c r="Z64" s="1938"/>
      <c r="AI64" s="1939"/>
    </row>
    <row r="65" spans="1:35" ht="14.25" customHeight="1">
      <c r="A65" s="174" t="s">
        <v>771</v>
      </c>
      <c r="B65" s="175" t="s">
        <v>2070</v>
      </c>
      <c r="C65" s="2783"/>
      <c r="D65" s="175"/>
      <c r="E65" s="177"/>
      <c r="F65" s="1994"/>
      <c r="G65" s="1994"/>
      <c r="H65" s="1996"/>
      <c r="I65" s="134"/>
      <c r="J65" s="3201"/>
      <c r="K65" s="3068" t="s">
        <v>2071</v>
      </c>
      <c r="L65" s="3068">
        <f ca="1">IF(M49&gt;1000,M49*0.1%,IF(AND(M49&gt;500,M49&lt;=1000),M49*0.5%,IF(AND(M49&gt;50,M49&lt;=500),M49*1%,IF(AND(M49&gt;1,M49&lt;=50),M49*1.5%))))</f>
        <v>114.15600000000001</v>
      </c>
      <c r="M65" s="308">
        <f t="shared" ca="1" si="1"/>
        <v>114.2</v>
      </c>
      <c r="N65" s="2761" t="s">
        <v>2069</v>
      </c>
      <c r="Z65" s="1938"/>
      <c r="AI65" s="1939"/>
    </row>
    <row r="66" spans="1:35" ht="14.25" customHeight="1">
      <c r="A66" s="178" t="s">
        <v>772</v>
      </c>
      <c r="B66" s="179" t="s">
        <v>2072</v>
      </c>
      <c r="C66" s="2784"/>
      <c r="D66" s="179" t="s">
        <v>32</v>
      </c>
      <c r="E66" s="1509" t="s">
        <v>1337</v>
      </c>
      <c r="F66" s="1994"/>
      <c r="G66" s="1994"/>
      <c r="H66" s="1996"/>
      <c r="I66" s="134"/>
      <c r="J66" s="3201"/>
      <c r="K66" s="3068" t="s">
        <v>2073</v>
      </c>
      <c r="L66" s="3068">
        <f ca="1">M49*0.5%</f>
        <v>570.78</v>
      </c>
      <c r="M66" s="308">
        <f ca="1">IF(L66&gt;0.5,0.5,ROUND(L66,0))</f>
        <v>0.5</v>
      </c>
      <c r="N66" s="2761" t="s">
        <v>2074</v>
      </c>
      <c r="Z66" s="1938"/>
      <c r="AI66" s="1939"/>
    </row>
    <row r="67" spans="1:35" ht="14.25" customHeight="1">
      <c r="A67" s="178" t="s">
        <v>773</v>
      </c>
      <c r="B67" s="179" t="s">
        <v>2075</v>
      </c>
      <c r="C67" s="2785">
        <f ca="1">C63-C66</f>
        <v>108720</v>
      </c>
      <c r="D67" s="175" t="s">
        <v>32</v>
      </c>
      <c r="E67" s="177"/>
      <c r="F67" s="1994"/>
      <c r="G67" s="1994"/>
      <c r="H67" s="1996"/>
      <c r="I67" s="134"/>
      <c r="J67" s="3201"/>
      <c r="K67" s="3068" t="s">
        <v>2076</v>
      </c>
      <c r="L67" s="3068">
        <f ca="1">IF(M49&gt;=10000,(8.25+(M49-10000)*0.01%),IF(AND(M49&gt;=8000,M49&lt;10000),(7.85+(M49-8000)*0.02%),IF(AND(M49&gt;=5000,M49&lt;8000),(6.65+(M49-5000)*0.04%),IF(AND(M49&gt;=2000,M49&lt;5000),(4.25+(PM49-2000)*0.08%),IF(AND(M49&gt;=1000,M49&lt;2000),(2.75+(M49-1000)*0.15%),IF(AND(M49&gt;=100,M49&lt;1000),(0.5+(M49-100)*0.25%),IF(AND(M49&gt;0,M49&lt;100),M49*0.5%)))))))</f>
        <v>18.665600000000001</v>
      </c>
      <c r="M67" s="308">
        <f ca="1">ROUND(L67*0.9,1)</f>
        <v>16.8</v>
      </c>
      <c r="N67" s="2760"/>
      <c r="Z67" s="1938"/>
      <c r="AI67" s="1939"/>
    </row>
    <row r="68" spans="1:35" ht="14.25" customHeight="1" thickBot="1">
      <c r="A68" s="181" t="s">
        <v>774</v>
      </c>
      <c r="B68" s="182" t="s">
        <v>2077</v>
      </c>
      <c r="C68" s="2786">
        <f ca="1">IF(C67&lt;=0,0,ROUND(C67*D68,0))</f>
        <v>6088</v>
      </c>
      <c r="D68" s="2787">
        <f>'数据-取费表'!B41</f>
        <v>5.6000000000000001E-2</v>
      </c>
      <c r="E68" s="184"/>
      <c r="F68" s="1994"/>
      <c r="G68" s="1994"/>
      <c r="H68" s="1996"/>
      <c r="I68" s="134"/>
      <c r="J68" s="3201"/>
      <c r="K68" s="3068" t="s">
        <v>2078</v>
      </c>
      <c r="L68" s="3068">
        <f ca="1">IF(M49&gt;10000,M49*0.5%,IF(AND(M49&gt;5000,M49&lt;=10000),M49*1%,IF(AND(M49&gt;1000,M49&lt;=5000),M49*2%,IF(AND(M49&gt;200,M49&lt;=1000),M49*3%,M49*5%))))</f>
        <v>570.78</v>
      </c>
      <c r="M68" s="308">
        <f ca="1">ROUND(L68,1)</f>
        <v>570.79999999999995</v>
      </c>
      <c r="N68" s="2760"/>
      <c r="Z68" s="1938"/>
      <c r="AI68" s="1939"/>
    </row>
    <row r="69" spans="1:35" s="1958" customFormat="1" ht="16.5" customHeight="1">
      <c r="A69" s="1997"/>
      <c r="B69" s="1998"/>
      <c r="C69" s="1999"/>
      <c r="D69" s="2000"/>
      <c r="E69" s="2001"/>
      <c r="F69" s="1763"/>
      <c r="G69" s="1763"/>
      <c r="H69" s="1762"/>
      <c r="I69" s="1933"/>
      <c r="J69" s="3201"/>
      <c r="K69" s="3068" t="s">
        <v>2079</v>
      </c>
      <c r="L69" s="3068"/>
      <c r="M69" s="308">
        <f ca="1">ROUND(SUM(M63:M68),0)</f>
        <v>1844</v>
      </c>
      <c r="N69" s="2762">
        <f ca="1">M69/M49</f>
        <v>1.6153334034128736E-2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1" t="s">
        <v>2080</v>
      </c>
      <c r="B70" s="3242"/>
      <c r="C70" s="3242"/>
      <c r="D70" s="3242"/>
      <c r="E70" s="3242"/>
      <c r="F70" s="3242"/>
      <c r="G70" s="3242"/>
      <c r="H70" s="3242"/>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3" t="s">
        <v>2061</v>
      </c>
      <c r="B71" s="3234"/>
      <c r="C71" s="3075"/>
      <c r="D71" s="3075"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108720</v>
      </c>
      <c r="D72" s="175" t="s">
        <v>32</v>
      </c>
      <c r="E72" s="3077"/>
      <c r="F72" s="3076"/>
      <c r="G72" s="3076"/>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652</v>
      </c>
      <c r="D73" s="175" t="s">
        <v>32</v>
      </c>
      <c r="E73" s="3077"/>
      <c r="F73" s="3076"/>
      <c r="G73" s="307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7"/>
      <c r="F74" s="3076"/>
      <c r="G74" s="307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38" t="s">
        <v>2088</v>
      </c>
      <c r="F76" s="3237"/>
      <c r="G76" s="3237"/>
      <c r="H76" s="324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3067" t="s">
        <v>2090</v>
      </c>
      <c r="F77" s="192"/>
      <c r="G77" s="2008"/>
      <c r="H77" s="307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652</v>
      </c>
      <c r="D78" s="2794">
        <f>'数据-取费表'!B43</f>
        <v>6.000000000000001E-3</v>
      </c>
      <c r="E78" s="3230" t="s">
        <v>2092</v>
      </c>
      <c r="F78" s="3231"/>
      <c r="G78" s="3231"/>
      <c r="H78" s="323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2093</v>
      </c>
      <c r="C79" s="2785">
        <f ca="1">C72-C73</f>
        <v>108068</v>
      </c>
      <c r="D79" s="175" t="s">
        <v>32</v>
      </c>
      <c r="E79" s="3077"/>
      <c r="F79" s="3076"/>
      <c r="G79" s="307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165.74846625766872</v>
      </c>
      <c r="D80" s="175" t="s">
        <v>32</v>
      </c>
      <c r="E80" s="3067" t="str">
        <f ca="1">IF(C80&gt;=200%,"增值额超过扣除项目金额200%",IF(C80&gt;=100%,"增值额超过扣除项目金额100%，未超过200%",IF(C80&gt;=50%,"增值额超过扣除项目金额50%，未超过100%",IF(C80&lt;50%,"增值额未超过扣除项目金额50%"))))</f>
        <v>增值额超过扣除项目金额200%</v>
      </c>
      <c r="F80" s="3076"/>
      <c r="G80" s="307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64613</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1" t="s">
        <v>2096</v>
      </c>
      <c r="B83" s="3242"/>
      <c r="C83" s="3242"/>
      <c r="D83" s="3242"/>
      <c r="E83" s="3242"/>
      <c r="F83" s="3242"/>
      <c r="G83" s="3242"/>
      <c r="H83" s="324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3" t="s">
        <v>2061</v>
      </c>
      <c r="B84" s="3234"/>
      <c r="C84" s="3075"/>
      <c r="D84" s="3075"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108720</v>
      </c>
      <c r="D85" s="175" t="s">
        <v>32</v>
      </c>
      <c r="E85" s="3077"/>
      <c r="F85" s="3076"/>
      <c r="G85" s="307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24262.410640000002</v>
      </c>
      <c r="D86" s="2798"/>
      <c r="E86" s="3077"/>
      <c r="F86" s="3076"/>
      <c r="G86" s="307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1033.4106400000001</v>
      </c>
      <c r="D87" s="2794"/>
      <c r="E87" s="3072"/>
      <c r="F87" s="3073"/>
      <c r="G87" s="3073"/>
      <c r="H87" s="307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80*面积表!E27/10000</f>
        <v>1002.4106400000001</v>
      </c>
      <c r="D88" s="2794"/>
      <c r="E88" s="199" t="s">
        <v>2099</v>
      </c>
      <c r="F88" s="3073"/>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31</v>
      </c>
      <c r="D89" s="2794">
        <f>'数据-取费表'!B48+'数据-取费表'!B49</f>
        <v>3.0499999999999999E-2</v>
      </c>
      <c r="E89" s="199" t="s">
        <v>2101</v>
      </c>
      <c r="F89" s="3073"/>
      <c r="G89" s="3073"/>
      <c r="H89" s="307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3073"/>
      <c r="G90" s="3203" t="s">
        <v>2870</v>
      </c>
      <c r="H90" s="3204"/>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ROUND(成本法!C33/面积表!F29*面积表!F27,0)</f>
        <v>17129</v>
      </c>
      <c r="D91" s="2794"/>
      <c r="E91" s="3230" t="s">
        <v>2105</v>
      </c>
      <c r="F91" s="3231"/>
      <c r="G91" s="3231"/>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1816</v>
      </c>
      <c r="D92" s="2800">
        <v>0.1</v>
      </c>
      <c r="E92" s="3230" t="s">
        <v>2108</v>
      </c>
      <c r="F92" s="3231"/>
      <c r="G92" s="3231"/>
      <c r="H92" s="3232"/>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652</v>
      </c>
      <c r="D93" s="2794">
        <f>'数据-取费表'!B43</f>
        <v>6.000000000000001E-3</v>
      </c>
      <c r="E93" s="3230" t="s">
        <v>2092</v>
      </c>
      <c r="F93" s="3231"/>
      <c r="G93" s="3231"/>
      <c r="H93" s="323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3632</v>
      </c>
      <c r="D94" s="2794">
        <v>0.2</v>
      </c>
      <c r="E94" s="3277" t="s">
        <v>2112</v>
      </c>
      <c r="F94" s="3278"/>
      <c r="G94" s="3278"/>
      <c r="H94" s="327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2093</v>
      </c>
      <c r="C95" s="2785">
        <f ca="1">ROUND(C85-C86,0)</f>
        <v>84458</v>
      </c>
      <c r="D95" s="175" t="s">
        <v>32</v>
      </c>
      <c r="E95" s="3077"/>
      <c r="F95" s="3076"/>
      <c r="G95" s="307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3.4810226095489081</v>
      </c>
      <c r="D96" s="175" t="s">
        <v>32</v>
      </c>
      <c r="E96" s="3067" t="str">
        <f ca="1">IF(C96&gt;=200%,"增值额超过扣除项目金额200%",IF(C96&gt;=100%,"增值额超过扣除项目金额100%，未超过200%",IF(C96&gt;=50%,"增值额超过扣除项目金额50%，未超过100%",IF(C96&lt;50%,"增值额未超过扣除项目金额50%"))))</f>
        <v>增值额超过扣除项目金额200%</v>
      </c>
      <c r="F96" s="3076"/>
      <c r="G96" s="307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42183</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76" t="s">
        <v>2114</v>
      </c>
      <c r="B100" s="3177"/>
      <c r="C100" s="3177"/>
      <c r="D100" s="3215"/>
      <c r="E100" s="3177" t="s">
        <v>2115</v>
      </c>
      <c r="F100" s="3177"/>
      <c r="G100" s="3177"/>
      <c r="H100" s="3215"/>
      <c r="I100" s="134"/>
    </row>
    <row r="101" spans="1:35" ht="18.75" customHeight="1">
      <c r="A101" s="3223" t="s">
        <v>2116</v>
      </c>
      <c r="B101" s="3224"/>
      <c r="C101" s="2802" t="str">
        <f>C4</f>
        <v>成本法</v>
      </c>
      <c r="D101" s="2803" t="str">
        <f>D4</f>
        <v>收益法</v>
      </c>
      <c r="E101" s="3197" t="s">
        <v>2117</v>
      </c>
      <c r="F101" s="3198"/>
      <c r="G101" s="2013" t="s">
        <v>2118</v>
      </c>
      <c r="H101" s="2812">
        <f ca="1">H118</f>
        <v>208274</v>
      </c>
      <c r="I101" s="134"/>
    </row>
    <row r="102" spans="1:35" ht="18.75" customHeight="1">
      <c r="A102" s="3225" t="s">
        <v>2119</v>
      </c>
      <c r="B102" s="2801" t="s">
        <v>2118</v>
      </c>
      <c r="C102" s="2802">
        <f ca="1">C19</f>
        <v>148180</v>
      </c>
      <c r="D102" s="2803">
        <f ca="1">D19</f>
        <v>298414</v>
      </c>
      <c r="E102" s="3197"/>
      <c r="F102" s="3198"/>
      <c r="G102" s="2013" t="s">
        <v>2120</v>
      </c>
      <c r="H102" s="2772">
        <f ca="1">I118</f>
        <v>18252</v>
      </c>
      <c r="I102" s="134"/>
    </row>
    <row r="103" spans="1:35" ht="42.75" customHeight="1">
      <c r="A103" s="3225"/>
      <c r="B103" s="2801" t="s">
        <v>2120</v>
      </c>
      <c r="C103" s="2804">
        <f ca="1">C20</f>
        <v>12986</v>
      </c>
      <c r="D103" s="2805">
        <f ca="1">D20</f>
        <v>26152</v>
      </c>
      <c r="E103" s="3190" t="s">
        <v>2121</v>
      </c>
      <c r="F103" s="3191"/>
      <c r="G103" s="2014" t="s">
        <v>2122</v>
      </c>
      <c r="H103" s="2812">
        <f>IF(D36="正常操作",H104+H105+H106,H105+H106)</f>
        <v>0</v>
      </c>
      <c r="I103" s="134"/>
    </row>
    <row r="104" spans="1:35" ht="18.75" customHeight="1">
      <c r="A104" s="3225" t="s">
        <v>2123</v>
      </c>
      <c r="B104" s="2806" t="s">
        <v>2118</v>
      </c>
      <c r="C104" s="2807">
        <f ca="1">H118</f>
        <v>208274</v>
      </c>
      <c r="D104" s="2808"/>
      <c r="E104" s="1860" t="s">
        <v>2124</v>
      </c>
      <c r="F104" s="1851"/>
      <c r="G104" s="2014" t="s">
        <v>2122</v>
      </c>
      <c r="H104" s="2813">
        <f>IF(D36="同一抵押权人同一抵押物续贷",C36&amp;"（续贷，未扣减，详见特别提示）",C36)</f>
        <v>0</v>
      </c>
      <c r="I104" s="134"/>
    </row>
    <row r="105" spans="1:35" ht="18.75" customHeight="1" thickBot="1">
      <c r="A105" s="3235"/>
      <c r="B105" s="2809" t="s">
        <v>2120</v>
      </c>
      <c r="C105" s="2810">
        <f ca="1">I118</f>
        <v>18252</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26" t="str">
        <f>IF(项目基本情况!E8="已注销","——","3.房地产抵押价值")</f>
        <v>3.房地产抵押价值</v>
      </c>
      <c r="F107" s="3198"/>
      <c r="G107" s="2013" t="s">
        <v>2118</v>
      </c>
      <c r="H107" s="2812">
        <f ca="1">IF(E107="——","——",H101-H103)</f>
        <v>208274</v>
      </c>
      <c r="I107" s="134"/>
    </row>
    <row r="108" spans="1:35" ht="18.75" customHeight="1">
      <c r="A108" s="134"/>
      <c r="B108" s="134"/>
      <c r="C108" s="134"/>
      <c r="D108" s="134"/>
      <c r="E108" s="3226"/>
      <c r="F108" s="3198"/>
      <c r="G108" s="2013" t="s">
        <v>2120</v>
      </c>
      <c r="H108" s="2772">
        <f ca="1">ROUND(H107*10000/'数据-汇总表'!E3,0)</f>
        <v>18252</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8"/>
      <c r="G109" s="2013" t="s">
        <v>2118</v>
      </c>
      <c r="H109" s="2815" t="str">
        <f>IF(E109="——","——",H101-H105-H106)</f>
        <v>——</v>
      </c>
      <c r="I109" s="134"/>
    </row>
    <row r="110" spans="1:35" ht="18.75" customHeight="1">
      <c r="A110" s="134"/>
      <c r="B110" s="134"/>
      <c r="C110" s="134"/>
      <c r="D110" s="134"/>
      <c r="E110" s="3226"/>
      <c r="F110" s="3198"/>
      <c r="G110" s="2013" t="s">
        <v>2120</v>
      </c>
      <c r="H110" s="2772"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4.抵押净值</v>
      </c>
      <c r="F111" s="3213"/>
      <c r="G111" s="2013" t="s">
        <v>2118</v>
      </c>
      <c r="H111" s="2812">
        <f ca="1">IF(E111="——","——",N59)</f>
        <v>65828</v>
      </c>
      <c r="I111" s="134"/>
    </row>
    <row r="112" spans="1:35" ht="18.75" customHeight="1" thickBot="1">
      <c r="A112" s="134"/>
      <c r="B112" s="134"/>
      <c r="C112" s="134"/>
      <c r="D112" s="134"/>
      <c r="E112" s="3228"/>
      <c r="F112" s="3229"/>
      <c r="G112" s="2016" t="s">
        <v>2120</v>
      </c>
      <c r="H112" s="2816">
        <f ca="1">IF(E111="——","——",N61)</f>
        <v>10905</v>
      </c>
      <c r="I112" s="134"/>
    </row>
    <row r="113" spans="1:27" ht="18.75" customHeight="1">
      <c r="A113" s="134"/>
      <c r="B113" s="134"/>
      <c r="C113" s="134"/>
      <c r="D113" s="134"/>
      <c r="E113" s="3236" t="s">
        <v>2126</v>
      </c>
      <c r="F113" s="3236"/>
      <c r="G113" s="3236"/>
      <c r="H113" s="3236"/>
      <c r="I113" s="134"/>
    </row>
    <row r="114" spans="1:27" ht="3.75" customHeight="1">
      <c r="A114" s="1933"/>
      <c r="B114" s="1933"/>
      <c r="C114" s="1933"/>
      <c r="D114" s="1933"/>
      <c r="E114" s="1995"/>
      <c r="F114" s="1995"/>
      <c r="G114" s="1995"/>
      <c r="H114" s="1995"/>
      <c r="I114" s="1933"/>
    </row>
    <row r="115" spans="1:27" ht="18.75" customHeight="1">
      <c r="A115" s="3246" t="s">
        <v>2128</v>
      </c>
      <c r="B115" s="3247"/>
      <c r="C115" s="3247"/>
      <c r="D115" s="3247"/>
      <c r="E115" s="3247"/>
      <c r="F115" s="3247"/>
      <c r="G115" s="3247"/>
      <c r="H115" s="3247"/>
      <c r="I115" s="3248"/>
    </row>
    <row r="116" spans="1:27" ht="27" customHeight="1">
      <c r="A116" s="3205" t="s">
        <v>2129</v>
      </c>
      <c r="B116" s="3185" t="s">
        <v>2130</v>
      </c>
      <c r="C116" s="3185" t="s">
        <v>2131</v>
      </c>
      <c r="D116" s="3187" t="s">
        <v>2132</v>
      </c>
      <c r="E116" s="3188"/>
      <c r="F116" s="3189" t="s">
        <v>2133</v>
      </c>
      <c r="G116" s="3189"/>
      <c r="H116" s="3205" t="s">
        <v>2134</v>
      </c>
      <c r="I116" s="3205"/>
    </row>
    <row r="117" spans="1:27" ht="18.75" customHeight="1">
      <c r="A117" s="3205"/>
      <c r="B117" s="3186"/>
      <c r="C117" s="3186"/>
      <c r="D117" s="3069" t="s">
        <v>2135</v>
      </c>
      <c r="E117" s="3069" t="s">
        <v>2136</v>
      </c>
      <c r="F117" s="3069" t="s">
        <v>2135</v>
      </c>
      <c r="G117" s="3069" t="s">
        <v>2137</v>
      </c>
      <c r="H117" s="3069" t="s">
        <v>2135</v>
      </c>
      <c r="I117" s="3069" t="s">
        <v>2137</v>
      </c>
    </row>
    <row r="118" spans="1:27" ht="24.75" customHeight="1">
      <c r="A118" s="3065" t="str">
        <f>项目基本情况!S2</f>
        <v>北京市房地产</v>
      </c>
      <c r="B118" s="3069">
        <f>M18</f>
        <v>114107.98000000001</v>
      </c>
      <c r="C118" s="3069">
        <f>M19</f>
        <v>236852.67</v>
      </c>
      <c r="D118" s="3069">
        <f ca="1">ROUND(IF(D32="总价",C34,E118*B118/10000),0)</f>
        <v>172088</v>
      </c>
      <c r="E118" s="3069">
        <f ca="1">ROUND(IF(C33="自定义",IF(D32="楼面单价",C34,D118*10000/B118),I118-G118),0)</f>
        <v>15081</v>
      </c>
      <c r="F118" s="3069">
        <f ca="1">ROUND(IF(D32="总价",C35,G118*B118/10000),0)</f>
        <v>36186</v>
      </c>
      <c r="G118" s="3069">
        <f ca="1">ROUND(IF(D32="楼面单价",C35,F118*10000/B118),0)</f>
        <v>3171</v>
      </c>
      <c r="H118" s="3069">
        <f ca="1">ROUND(IF(D32="总价",C32,I118*B118/10000),0)</f>
        <v>208274</v>
      </c>
      <c r="I118" s="3069">
        <f ca="1">ROUND(IF(D32="楼面单价",C32,H118*10000/B118),0)</f>
        <v>18252</v>
      </c>
      <c r="J118" s="734">
        <f ca="1">D118/C118*666.67</f>
        <v>484.37666740256714</v>
      </c>
    </row>
    <row r="119" spans="1:27" ht="18.75" customHeight="1">
      <c r="A119" s="3205" t="s">
        <v>2138</v>
      </c>
      <c r="B119" s="3205"/>
      <c r="C119" s="3205"/>
      <c r="D119" s="3209" t="str">
        <f ca="1">NUMBERSTRING(INT(D118*10000),2)&amp;"元整"</f>
        <v>壹拾柒亿贰仟零捌拾捌万元整</v>
      </c>
      <c r="E119" s="3210"/>
      <c r="F119" s="3209" t="str">
        <f ca="1">NUMBERSTRING(INT(F118*10000),2)&amp;"元整"</f>
        <v>叁亿陆仟壹佰捌拾陆万元整</v>
      </c>
      <c r="G119" s="3210"/>
      <c r="H119" s="3209" t="str">
        <f ca="1">NUMBERSTRING(INT(H118*10000),2)&amp;"元整"</f>
        <v>贰拾亿捌仟贰佰柒拾肆万元整</v>
      </c>
      <c r="I119" s="3210"/>
    </row>
    <row r="120" spans="1:27" ht="18.75" customHeight="1">
      <c r="A120" s="3206" t="str">
        <f>IF(项目基本情况!B9="房地产市场价值","",MID(E103,3,LEN(E103)-2))</f>
        <v>估价师知悉的法定优先受偿款</v>
      </c>
      <c r="B120" s="3207"/>
      <c r="C120" s="3208"/>
      <c r="D120" s="3206">
        <f>H103</f>
        <v>0</v>
      </c>
      <c r="E120" s="3207"/>
      <c r="F120" s="3207"/>
      <c r="G120" s="3207"/>
      <c r="H120" s="3207"/>
      <c r="I120" s="320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3" t="s">
        <v>2138</v>
      </c>
      <c r="B121" s="3244"/>
      <c r="C121" s="3245"/>
      <c r="D121" s="3209" t="str">
        <f>IF(D120=0,"零元整",NUMBERSTRING(INT(D120*10000),2)&amp;"元整")</f>
        <v>零元整</v>
      </c>
      <c r="E121" s="3211"/>
      <c r="F121" s="3211"/>
      <c r="G121" s="3211"/>
      <c r="H121" s="3211"/>
      <c r="I121" s="3210"/>
      <c r="AA121" s="734"/>
    </row>
    <row r="122" spans="1:27" ht="18.75" customHeight="1">
      <c r="A122" s="3213" t="str">
        <f>IF(项目基本情况!B9="房地产市场价值","",MID(E107,3,LEN(E107)-2))</f>
        <v>房地产抵押价值</v>
      </c>
      <c r="B122" s="3213"/>
      <c r="C122" s="3213"/>
      <c r="D122" s="3206">
        <f ca="1">H107</f>
        <v>208274</v>
      </c>
      <c r="E122" s="3207"/>
      <c r="F122" s="3207"/>
      <c r="G122" s="3207"/>
      <c r="H122" s="3207"/>
      <c r="I122" s="3208"/>
      <c r="AA122" s="734"/>
    </row>
    <row r="123" spans="1:27" ht="18.75" customHeight="1">
      <c r="A123" s="3205" t="s">
        <v>2138</v>
      </c>
      <c r="B123" s="3205"/>
      <c r="C123" s="3205"/>
      <c r="D123" s="3209" t="str">
        <f ca="1">NUMBERSTRING(INT(D122*10000),2)&amp;"元整"</f>
        <v>贰拾亿捌仟贰佰柒拾肆万元整</v>
      </c>
      <c r="E123" s="3211"/>
      <c r="F123" s="3211"/>
      <c r="G123" s="3211"/>
      <c r="H123" s="3211"/>
      <c r="I123" s="3210"/>
      <c r="AA123" s="734"/>
    </row>
    <row r="124" spans="1:27" ht="18.75" customHeight="1">
      <c r="A124" s="3213" t="str">
        <f>IF(项目基本情况!B9="房地产市场价值","",MID(E109,3,LEN(E109)-2))</f>
        <v/>
      </c>
      <c r="B124" s="3213"/>
      <c r="C124" s="3213"/>
      <c r="D124" s="3206" t="str">
        <f>H109</f>
        <v>——</v>
      </c>
      <c r="E124" s="3207"/>
      <c r="F124" s="3207"/>
      <c r="G124" s="3207"/>
      <c r="H124" s="3207"/>
      <c r="I124" s="3208"/>
      <c r="AA124" s="734"/>
    </row>
    <row r="125" spans="1:27" ht="18.75" customHeight="1">
      <c r="A125" s="3205" t="s">
        <v>2138</v>
      </c>
      <c r="B125" s="3205"/>
      <c r="C125" s="3205"/>
      <c r="D125" s="3209" t="e">
        <f>NUMBERSTRING(INT(D124*10000),2)&amp;"元整"</f>
        <v>#VALUE!</v>
      </c>
      <c r="E125" s="3211"/>
      <c r="F125" s="3211"/>
      <c r="G125" s="3211"/>
      <c r="H125" s="3211"/>
      <c r="I125" s="3210"/>
      <c r="AA125" s="734"/>
    </row>
    <row r="126" spans="1:27" ht="18.75" customHeight="1">
      <c r="A126" s="3213" t="str">
        <f>IF(项目基本情况!B9="房地产市场价值","",MID(E111,3,LEN(E111)-2))</f>
        <v>抵押净值</v>
      </c>
      <c r="B126" s="3213"/>
      <c r="C126" s="3213"/>
      <c r="D126" s="3206">
        <f ca="1">H111</f>
        <v>65828</v>
      </c>
      <c r="E126" s="3207"/>
      <c r="F126" s="3207"/>
      <c r="G126" s="3207"/>
      <c r="H126" s="3207"/>
      <c r="I126" s="3208"/>
      <c r="AA126" s="734"/>
    </row>
    <row r="127" spans="1:27" ht="18.75" customHeight="1">
      <c r="A127" s="3205" t="s">
        <v>2138</v>
      </c>
      <c r="B127" s="3205"/>
      <c r="C127" s="3205"/>
      <c r="D127" s="3209" t="str">
        <f ca="1">NUMBERSTRING(INT(D126*10000),2)&amp;"元整"</f>
        <v>陆亿伍仟捌佰贰拾捌万元整</v>
      </c>
      <c r="E127" s="3211"/>
      <c r="F127" s="3211"/>
      <c r="G127" s="3211"/>
      <c r="H127" s="3211"/>
      <c r="I127" s="3210"/>
      <c r="AA127" s="734"/>
    </row>
    <row r="128" spans="1:27" ht="21.75" customHeight="1">
      <c r="A128" s="3212" t="s">
        <v>2139</v>
      </c>
      <c r="B128" s="3212"/>
      <c r="C128" s="3212"/>
      <c r="D128" s="3212"/>
      <c r="E128" s="3212"/>
      <c r="F128" s="3212"/>
      <c r="G128" s="3212"/>
      <c r="H128" s="3212"/>
      <c r="I128" s="3212"/>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6" zoomScaleNormal="100" zoomScaleSheetLayoutView="100" zoomScalePageLayoutView="80" workbookViewId="0">
      <selection activeCell="C88" sqref="C8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55" t="str">
        <f>项目基本情况!S2</f>
        <v>北京市房地产</v>
      </c>
      <c r="B2" s="3256"/>
      <c r="C2" s="3256"/>
      <c r="D2" s="3256"/>
      <c r="E2" s="3256"/>
      <c r="F2" s="3256"/>
      <c r="G2" s="3256"/>
      <c r="H2" s="3256"/>
      <c r="I2" s="3257"/>
    </row>
    <row r="3" spans="1:12" ht="12.75">
      <c r="A3" s="3259" t="s">
        <v>1950</v>
      </c>
      <c r="B3" s="3260"/>
      <c r="C3" s="3260"/>
      <c r="D3" s="3260"/>
      <c r="E3" s="3260"/>
      <c r="F3" s="3260"/>
      <c r="G3" s="3260"/>
      <c r="H3" s="3260"/>
      <c r="I3" s="3260"/>
    </row>
    <row r="4" spans="1:12" ht="14.25">
      <c r="A4" s="1940" t="s">
        <v>1951</v>
      </c>
      <c r="B4" s="1941" t="s">
        <v>1952</v>
      </c>
      <c r="C4" s="1942" t="s">
        <v>3136</v>
      </c>
      <c r="D4" s="1942" t="s">
        <v>3117</v>
      </c>
      <c r="E4" s="3264" t="s">
        <v>1953</v>
      </c>
      <c r="F4" s="3265"/>
      <c r="G4" s="3265"/>
      <c r="H4" s="3265"/>
      <c r="I4" s="3266"/>
      <c r="K4" s="151" t="str">
        <f>IF(ISNUMBER(FIND("比较法",净值2!C4)),"比较法",IF(ISNUMBER(FIND("成本法",净值2!C4)),"成本法",IF(ISNUMBER(FIND("假设开发法",净值2!C4)),"假设开发法",IF(ISNUMBER(FIND("收益法",净值2!C4)),"收益法","基准地价系数修正法"))))</f>
        <v>成本法</v>
      </c>
      <c r="L4" s="151" t="str">
        <f>IF(ISNUMBER(FIND("比较法",净值2!D4)),"比较法",IF(ISNUMBER(FIND("成本法",净值2!D4)),"成本法",IF(ISNUMBER(FIND("假设开发法",净值2!D4)),"假设开发法",IF(ISNUMBER(FIND("收益法",净值2!D4)),"收益法","基准地价系数修正法"))))</f>
        <v>收益法</v>
      </c>
    </row>
    <row r="5" spans="1:12" ht="12.75">
      <c r="A5" s="3205" t="s">
        <v>1954</v>
      </c>
      <c r="B5" s="3258">
        <v>25</v>
      </c>
      <c r="C5" s="3261"/>
      <c r="D5" s="3249"/>
      <c r="E5" s="136" t="s">
        <v>1955</v>
      </c>
      <c r="F5" s="1943"/>
      <c r="G5" s="1943"/>
      <c r="H5" s="1943"/>
      <c r="I5" s="1557"/>
    </row>
    <row r="6" spans="1:12" ht="12.75">
      <c r="A6" s="3205"/>
      <c r="B6" s="3258"/>
      <c r="C6" s="3263"/>
      <c r="D6" s="3249"/>
      <c r="E6" s="136" t="s">
        <v>1956</v>
      </c>
      <c r="F6" s="1943"/>
      <c r="G6" s="1943"/>
      <c r="H6" s="1943"/>
      <c r="I6" s="1557"/>
    </row>
    <row r="7" spans="1:12" ht="12.75">
      <c r="A7" s="3205"/>
      <c r="B7" s="3258"/>
      <c r="C7" s="3262"/>
      <c r="D7" s="3249"/>
      <c r="E7" s="136" t="s">
        <v>1957</v>
      </c>
      <c r="F7" s="1943"/>
      <c r="G7" s="1943"/>
      <c r="H7" s="1943"/>
      <c r="I7" s="1557"/>
    </row>
    <row r="8" spans="1:12" ht="12.75">
      <c r="A8" s="3205" t="s">
        <v>1958</v>
      </c>
      <c r="B8" s="3258">
        <v>15</v>
      </c>
      <c r="C8" s="3261"/>
      <c r="D8" s="3249"/>
      <c r="E8" s="136" t="s">
        <v>1959</v>
      </c>
      <c r="F8" s="1943"/>
      <c r="G8" s="1943"/>
      <c r="H8" s="1943"/>
      <c r="I8" s="1557"/>
    </row>
    <row r="9" spans="1:12" ht="12.75">
      <c r="A9" s="3205"/>
      <c r="B9" s="3258"/>
      <c r="C9" s="3262"/>
      <c r="D9" s="3249"/>
      <c r="E9" s="136" t="s">
        <v>1960</v>
      </c>
      <c r="F9" s="1943"/>
      <c r="G9" s="1943"/>
      <c r="H9" s="1943"/>
      <c r="I9" s="1557"/>
    </row>
    <row r="10" spans="1:12" ht="12.75">
      <c r="A10" s="3205" t="s">
        <v>1961</v>
      </c>
      <c r="B10" s="3258">
        <v>15</v>
      </c>
      <c r="C10" s="3261"/>
      <c r="D10" s="3249"/>
      <c r="E10" s="136" t="s">
        <v>1962</v>
      </c>
      <c r="F10" s="1943"/>
      <c r="G10" s="1943"/>
      <c r="H10" s="1943"/>
      <c r="I10" s="1557"/>
    </row>
    <row r="11" spans="1:12" ht="12.75">
      <c r="A11" s="3205"/>
      <c r="B11" s="3258"/>
      <c r="C11" s="3262"/>
      <c r="D11" s="3249"/>
      <c r="E11" s="136" t="s">
        <v>1963</v>
      </c>
      <c r="F11" s="1943"/>
      <c r="G11" s="1943"/>
      <c r="H11" s="1943"/>
      <c r="I11" s="1557"/>
    </row>
    <row r="12" spans="1:12" ht="12.75">
      <c r="A12" s="3205" t="s">
        <v>1964</v>
      </c>
      <c r="B12" s="3258">
        <v>15</v>
      </c>
      <c r="C12" s="3261"/>
      <c r="D12" s="3249"/>
      <c r="E12" s="136" t="s">
        <v>1965</v>
      </c>
      <c r="F12" s="1943"/>
      <c r="G12" s="1943"/>
      <c r="H12" s="1943"/>
      <c r="I12" s="1557"/>
    </row>
    <row r="13" spans="1:12" ht="12.75">
      <c r="A13" s="3205"/>
      <c r="B13" s="3258"/>
      <c r="C13" s="3262"/>
      <c r="D13" s="3249"/>
      <c r="E13" s="136" t="s">
        <v>1966</v>
      </c>
      <c r="F13" s="1943"/>
      <c r="G13" s="1943"/>
      <c r="H13" s="1943"/>
      <c r="I13" s="1557"/>
    </row>
    <row r="14" spans="1:12" ht="12.75">
      <c r="A14" s="3205" t="s">
        <v>1967</v>
      </c>
      <c r="B14" s="3258">
        <v>30</v>
      </c>
      <c r="C14" s="3261">
        <v>6</v>
      </c>
      <c r="D14" s="3249">
        <v>4</v>
      </c>
      <c r="E14" s="136" t="s">
        <v>1968</v>
      </c>
      <c r="F14" s="1943"/>
      <c r="G14" s="1943"/>
      <c r="H14" s="1943"/>
      <c r="I14" s="1557"/>
    </row>
    <row r="15" spans="1:12" ht="12.75">
      <c r="A15" s="3205"/>
      <c r="B15" s="3258"/>
      <c r="C15" s="3263"/>
      <c r="D15" s="3249"/>
      <c r="E15" s="136" t="s">
        <v>1969</v>
      </c>
      <c r="F15" s="1943"/>
      <c r="G15" s="1943"/>
      <c r="H15" s="1943"/>
      <c r="I15" s="1557"/>
    </row>
    <row r="16" spans="1:12" ht="12.75">
      <c r="A16" s="3205"/>
      <c r="B16" s="3258"/>
      <c r="C16" s="3262"/>
      <c r="D16" s="3249"/>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80" t="s">
        <v>2872</v>
      </c>
      <c r="F18" s="3281"/>
      <c r="G18" s="3281"/>
      <c r="H18" s="3281"/>
      <c r="I18" s="3281"/>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SUMIF(INDIRECT("'"&amp;C4&amp;"'"&amp;"!A:A"),净值2!B19,INDIRECT("'"&amp;C4&amp;"'"&amp;"!B:B"))</f>
        <v>148180</v>
      </c>
      <c r="D19" s="140">
        <f ca="1">SUMIF(INDIRECT("'"&amp;D4&amp;"'"&amp;"!A:A"),净值2!B19,INDIRECT("'"&amp;D4&amp;"'"&amp;"!B:B"))</f>
        <v>298414</v>
      </c>
      <c r="E19" s="1947" t="s">
        <v>1978</v>
      </c>
      <c r="F19" s="1948" t="s">
        <v>1977</v>
      </c>
      <c r="G19" s="141">
        <f ca="1">ROUND(C19*$C$18+D19*$D$18,0)</f>
        <v>208274</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SUMIF(INDIRECT("'"&amp;C4&amp;"'"&amp;"!A:A"),净值2!B20,INDIRECT("'"&amp;C4&amp;"'"&amp;"!B:B"))</f>
        <v>12986</v>
      </c>
      <c r="D20" s="143">
        <f ca="1">SUMIF(INDIRECT("'"&amp;D4&amp;"'"&amp;"!A:A"),净值2!B20,INDIRECT("'"&amp;D4&amp;"'"&amp;"!B:B"))</f>
        <v>26152</v>
      </c>
      <c r="E20" s="1950"/>
      <c r="F20" s="1157" t="s">
        <v>1981</v>
      </c>
      <c r="G20" s="144">
        <f ca="1">ROUND(C20*$C$18+D20*$D$18,0)</f>
        <v>18252</v>
      </c>
      <c r="H20" s="917" t="s">
        <v>1982</v>
      </c>
      <c r="I20" s="134"/>
    </row>
    <row r="21" spans="1:36" ht="15" customHeight="1" thickBot="1">
      <c r="A21" s="937"/>
      <c r="B21" s="1951" t="s">
        <v>1983</v>
      </c>
      <c r="C21" s="728">
        <f ca="1">ROUND(C19*10000/L19,0)</f>
        <v>6256</v>
      </c>
      <c r="D21" s="729">
        <f ca="1">ROUND(D19*10000/L19,0)</f>
        <v>12599</v>
      </c>
      <c r="E21" s="937"/>
      <c r="F21" s="1951" t="s">
        <v>1983</v>
      </c>
      <c r="G21" s="145">
        <f ca="1">ROUND(G19*10000/L19,0)</f>
        <v>8793</v>
      </c>
      <c r="H21" s="1952" t="s">
        <v>1982</v>
      </c>
      <c r="I21" s="134"/>
    </row>
    <row r="22" spans="1:36" ht="15" thickBot="1">
      <c r="A22" s="1874" t="s">
        <v>1984</v>
      </c>
      <c r="B22" s="1953"/>
      <c r="C22" s="1954"/>
      <c r="D22" s="730">
        <f ca="1">IF(C19&lt;D19,D19/C19-1,C19/D19-1)</f>
        <v>1.0138615197732488</v>
      </c>
      <c r="E22" s="134"/>
      <c r="F22" s="134"/>
      <c r="G22" s="134"/>
      <c r="H22" s="134"/>
      <c r="I22" s="134"/>
    </row>
    <row r="23" spans="1:36" ht="13.5" thickBot="1">
      <c r="A23" s="1933"/>
      <c r="B23" s="1933"/>
      <c r="C23" s="1933"/>
      <c r="D23" s="1933"/>
      <c r="E23" s="134"/>
      <c r="F23" s="134"/>
      <c r="G23" s="134"/>
      <c r="H23" s="134"/>
      <c r="I23" s="134"/>
    </row>
    <row r="24" spans="1:36" ht="14.25">
      <c r="A24" s="3273" t="s">
        <v>1985</v>
      </c>
      <c r="B24" s="1948" t="s">
        <v>1977</v>
      </c>
      <c r="C24" s="141">
        <f>IF(B30=0,0,D30)</f>
        <v>0</v>
      </c>
      <c r="D24" s="1955"/>
      <c r="E24" s="134"/>
      <c r="F24" s="134"/>
      <c r="G24" s="134"/>
      <c r="H24" s="134"/>
      <c r="I24" s="134"/>
    </row>
    <row r="25" spans="1:36" ht="14.25">
      <c r="A25" s="327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208274</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172088</v>
      </c>
      <c r="D34" s="970">
        <f ca="1">IF(C33="自定义",ROUND(C34/C32,3),IF(C33="收益比率",SUMIF(INDIRECT("'"&amp;D33&amp;"'"&amp;"!b:b"),"土地收益比率",INDIRECT("'"&amp;D33&amp;"'"&amp;"!c:c")),SUMIF(INDIRECT("'"&amp;D33&amp;"'"&amp;"!b:b"),"土地成本比率",INDIRECT("'"&amp;D33&amp;"'"&amp;"!c:c"))))</f>
        <v>0.82599999999999996</v>
      </c>
      <c r="E34" s="1969" t="s">
        <v>1995</v>
      </c>
      <c r="F34" s="1498">
        <f ca="1">G19-F35</f>
        <v>172088</v>
      </c>
      <c r="G34" s="134"/>
      <c r="H34" s="134"/>
      <c r="I34" s="134"/>
    </row>
    <row r="35" spans="1:15" ht="15.75" thickBot="1">
      <c r="A35" s="1970"/>
      <c r="B35" s="1971" t="s">
        <v>1996</v>
      </c>
      <c r="C35" s="1331">
        <f ca="1">IF(C33="自定义",F35,ROUND(C32*D35,0))</f>
        <v>36186</v>
      </c>
      <c r="D35" s="1332">
        <f ca="1">IF(C33="自定义",ROUND(C35/C32,3),IF(C33="收益比率",SUMIF(INDIRECT("'"&amp;D33&amp;"'"&amp;"!b:b"),"建筑物收益比率",INDIRECT("'"&amp;D33&amp;"'"&amp;"!c:c")),SUMIF(INDIRECT("'"&amp;D33&amp;"'"&amp;"!b:b"),"建筑物成本比率",INDIRECT("'"&amp;D33&amp;"'"&amp;"!c:c"))))</f>
        <v>0.17399999999999999</v>
      </c>
      <c r="E35" s="1972" t="s">
        <v>1997</v>
      </c>
      <c r="F35" s="159">
        <f ca="1">成本法!C51</f>
        <v>36186</v>
      </c>
      <c r="G35" s="134"/>
      <c r="H35" s="134"/>
      <c r="I35" s="134"/>
    </row>
    <row r="36" spans="1:15" ht="15.75" thickBot="1">
      <c r="A36" s="3250" t="s">
        <v>1998</v>
      </c>
      <c r="B36" s="1973" t="s">
        <v>1999</v>
      </c>
      <c r="C36" s="150"/>
      <c r="D36" s="1974"/>
      <c r="E36" s="1975"/>
      <c r="F36" s="1976"/>
      <c r="G36" s="134"/>
      <c r="H36" s="134"/>
      <c r="I36" s="134"/>
    </row>
    <row r="37" spans="1:15" ht="15.75" thickBot="1">
      <c r="A37" s="3251"/>
      <c r="B37" s="1860" t="s">
        <v>2000</v>
      </c>
      <c r="C37" s="152"/>
      <c r="D37" s="1300"/>
      <c r="E37" s="1300"/>
      <c r="F37" s="1976"/>
      <c r="G37" s="134"/>
      <c r="H37" s="134"/>
      <c r="I37" s="134"/>
    </row>
    <row r="38" spans="1:15" ht="15.75" thickBot="1">
      <c r="A38" s="3252"/>
      <c r="B38" s="1977" t="s">
        <v>2001</v>
      </c>
      <c r="C38" s="683"/>
      <c r="D38" s="1978" t="s">
        <v>2002</v>
      </c>
      <c r="E38" s="1300"/>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70" t="s">
        <v>2012</v>
      </c>
      <c r="B45" s="3271"/>
      <c r="C45" s="3272"/>
      <c r="D45" s="160">
        <f ca="1">ROUND(面积表!H28*F45,0)</f>
        <v>101629</v>
      </c>
      <c r="E45" s="161" t="s">
        <v>2013</v>
      </c>
      <c r="F45" s="162">
        <v>1</v>
      </c>
      <c r="G45" s="163" t="s">
        <v>2014</v>
      </c>
      <c r="H45" s="134"/>
      <c r="I45" s="134"/>
      <c r="J45" s="3192" t="s">
        <v>2015</v>
      </c>
      <c r="K45" s="3192"/>
      <c r="L45" s="3192"/>
      <c r="M45" s="3192"/>
      <c r="N45" s="3192"/>
      <c r="O45" s="3192"/>
    </row>
    <row r="46" spans="1:15" ht="14.25" customHeight="1">
      <c r="A46" s="3267" t="s">
        <v>2016</v>
      </c>
      <c r="B46" s="3268"/>
      <c r="C46" s="3268"/>
      <c r="D46" s="3268"/>
      <c r="E46" s="3268"/>
      <c r="F46" s="3268"/>
      <c r="G46" s="3269"/>
      <c r="H46" s="1992"/>
      <c r="I46" s="164"/>
      <c r="J46" s="3070">
        <v>1</v>
      </c>
      <c r="K46" s="3193" t="s">
        <v>2017</v>
      </c>
      <c r="L46" s="3193"/>
      <c r="M46" s="3194"/>
      <c r="N46" s="3194"/>
      <c r="O46" s="3194"/>
    </row>
    <row r="47" spans="1:15" ht="12" customHeight="1">
      <c r="A47" s="165" t="s">
        <v>2018</v>
      </c>
      <c r="B47" s="166"/>
      <c r="C47" s="167"/>
      <c r="D47" s="1246" t="s">
        <v>2019</v>
      </c>
      <c r="E47" s="308" t="s">
        <v>2020</v>
      </c>
      <c r="F47" s="168" t="s">
        <v>2021</v>
      </c>
      <c r="G47" s="2763" t="s">
        <v>2022</v>
      </c>
      <c r="H47" s="2764"/>
      <c r="I47" s="164"/>
      <c r="J47" s="3070">
        <v>2</v>
      </c>
      <c r="K47" s="3193" t="s">
        <v>2023</v>
      </c>
      <c r="L47" s="3193"/>
      <c r="M47" s="3195">
        <f>'数据-取费表'!B2</f>
        <v>44580</v>
      </c>
      <c r="N47" s="3195"/>
      <c r="O47" s="3195"/>
    </row>
    <row r="48" spans="1:15" ht="25.5">
      <c r="A48" s="3253" t="s">
        <v>2024</v>
      </c>
      <c r="B48" s="3254"/>
      <c r="C48" s="3254"/>
      <c r="D48" s="3067">
        <f ca="1">IF(H48="情况1",0,IF(H48="情况2",D52,IF(H48="情况3",D53,IF(H48="情况4",D54))))</f>
        <v>5420</v>
      </c>
      <c r="E48" s="3080" t="str">
        <f>IF(H48="情况4","(销售额-原购置价)×税（费）率","销售额×税（费）率")</f>
        <v>销售额×税（费）率</v>
      </c>
      <c r="F48" s="2765">
        <f>IF(H48="情况1","免征",'数据-取费表'!B41)</f>
        <v>5.6000000000000001E-2</v>
      </c>
      <c r="G48" s="2766" t="s">
        <v>2025</v>
      </c>
      <c r="H48" s="2767" t="s">
        <v>3154</v>
      </c>
      <c r="I48" s="1992"/>
      <c r="J48" s="3070">
        <v>3</v>
      </c>
      <c r="K48" s="3193" t="s">
        <v>2026</v>
      </c>
      <c r="L48" s="3193"/>
      <c r="M48" s="3196">
        <f ca="1">D45</f>
        <v>101629</v>
      </c>
      <c r="N48" s="3196"/>
      <c r="O48" s="3196"/>
    </row>
    <row r="49" spans="1:35" ht="25.5" customHeight="1">
      <c r="A49" s="3079" t="s">
        <v>2027</v>
      </c>
      <c r="B49" s="3237" t="s">
        <v>2028</v>
      </c>
      <c r="C49" s="3237"/>
      <c r="D49" s="1775">
        <v>0</v>
      </c>
      <c r="E49" s="330" t="s">
        <v>2029</v>
      </c>
      <c r="F49" s="3064" t="s">
        <v>34</v>
      </c>
      <c r="G49" s="3220"/>
      <c r="H49" s="2519" t="s">
        <v>2875</v>
      </c>
      <c r="I49" s="2520"/>
      <c r="J49" s="3070">
        <v>4</v>
      </c>
      <c r="K49" s="3193" t="str">
        <f>IF(项目基本情况!E8="房地产抵押价值","房地产抵押价值","抵押担保权已注销时的房地产抵押价值")</f>
        <v>房地产抵押价值</v>
      </c>
      <c r="L49" s="3193"/>
      <c r="M49" s="3196">
        <f ca="1">M48</f>
        <v>101629</v>
      </c>
      <c r="N49" s="3196"/>
      <c r="O49" s="3196"/>
    </row>
    <row r="50" spans="1:35" ht="25.5" customHeight="1">
      <c r="A50" s="2768"/>
      <c r="B50" s="3237" t="s">
        <v>2030</v>
      </c>
      <c r="C50" s="3237"/>
      <c r="D50" s="2769"/>
      <c r="E50" s="338"/>
      <c r="F50" s="3064"/>
      <c r="G50" s="3221"/>
      <c r="H50" s="2521" t="s">
        <v>2876</v>
      </c>
      <c r="I50" s="2520"/>
      <c r="J50" s="3192" t="s">
        <v>2031</v>
      </c>
      <c r="K50" s="3192"/>
      <c r="L50" s="3192"/>
      <c r="M50" s="3192"/>
      <c r="N50" s="3192"/>
      <c r="O50" s="3192"/>
    </row>
    <row r="51" spans="1:35" ht="20.45" customHeight="1">
      <c r="A51" s="2770"/>
      <c r="B51" s="3237" t="s">
        <v>2032</v>
      </c>
      <c r="C51" s="3237"/>
      <c r="D51" s="1246"/>
      <c r="E51" s="333"/>
      <c r="F51" s="3064"/>
      <c r="G51" s="3222"/>
      <c r="H51" s="2521" t="s">
        <v>2877</v>
      </c>
      <c r="I51" s="2520"/>
      <c r="J51" s="3066" t="s">
        <v>2033</v>
      </c>
      <c r="K51" s="3193" t="s">
        <v>2034</v>
      </c>
      <c r="L51" s="3193"/>
      <c r="M51" s="3066" t="s">
        <v>2035</v>
      </c>
      <c r="N51" s="3066" t="s">
        <v>2036</v>
      </c>
      <c r="O51" s="3066" t="s">
        <v>2037</v>
      </c>
    </row>
    <row r="52" spans="1:35" ht="24" customHeight="1">
      <c r="A52" s="3081" t="s">
        <v>2038</v>
      </c>
      <c r="B52" s="3237" t="s">
        <v>2039</v>
      </c>
      <c r="C52" s="3237"/>
      <c r="D52" s="1246">
        <f ca="1">ROUND(D45*'数据-取费表'!B41/(1+'数据-取费表'!C42),0)</f>
        <v>5420</v>
      </c>
      <c r="E52" s="3080" t="s">
        <v>2040</v>
      </c>
      <c r="F52" s="2771">
        <f>'数据-取费表'!B41</f>
        <v>5.6000000000000001E-2</v>
      </c>
      <c r="G52" s="2772"/>
      <c r="H52" s="2761"/>
      <c r="I52" s="1993"/>
      <c r="J52" s="3070">
        <v>1</v>
      </c>
      <c r="K52" s="3214" t="s">
        <v>2041</v>
      </c>
      <c r="L52" s="3214"/>
      <c r="M52" s="2742">
        <f ca="1">D48</f>
        <v>5420</v>
      </c>
      <c r="N52" s="3070" t="str">
        <f>E48</f>
        <v>销售额×税（费）率</v>
      </c>
      <c r="O52" s="2743">
        <f>F48</f>
        <v>5.6000000000000001E-2</v>
      </c>
    </row>
    <row r="53" spans="1:35" ht="12" customHeight="1">
      <c r="A53" s="3081" t="s">
        <v>2042</v>
      </c>
      <c r="B53" s="3238" t="s">
        <v>3036</v>
      </c>
      <c r="C53" s="3239"/>
      <c r="D53" s="1246">
        <f ca="1">ROUND(D45*'数据-取费表'!B41/(1+'数据-取费表'!C42),0)</f>
        <v>5420</v>
      </c>
      <c r="E53" s="3080" t="s">
        <v>2040</v>
      </c>
      <c r="F53" s="2771">
        <f>'数据-取费表'!B41</f>
        <v>5.6000000000000001E-2</v>
      </c>
      <c r="G53" s="2772"/>
      <c r="H53" s="2761"/>
      <c r="I53" s="1993"/>
      <c r="J53" s="3070">
        <v>2</v>
      </c>
      <c r="K53" s="3214" t="s">
        <v>2043</v>
      </c>
      <c r="L53" s="3214"/>
      <c r="M53" s="2742">
        <f t="shared" ref="M53:O54" ca="1" si="0">D55</f>
        <v>51</v>
      </c>
      <c r="N53" s="3070" t="str">
        <f t="shared" si="0"/>
        <v>销售额×税（费）率</v>
      </c>
      <c r="O53" s="2743">
        <f t="shared" si="0"/>
        <v>5.0000000000000001E-4</v>
      </c>
    </row>
    <row r="54" spans="1:35" ht="12" customHeight="1">
      <c r="A54" s="3081" t="s">
        <v>2044</v>
      </c>
      <c r="B54" s="3238" t="s">
        <v>3037</v>
      </c>
      <c r="C54" s="3239"/>
      <c r="D54" s="1246">
        <f ca="1">C68</f>
        <v>5420</v>
      </c>
      <c r="E54" s="333" t="s">
        <v>2045</v>
      </c>
      <c r="F54" s="2771">
        <f>'数据-取费表'!B41</f>
        <v>5.6000000000000001E-2</v>
      </c>
      <c r="G54" s="2772"/>
      <c r="H54" s="2773"/>
      <c r="I54" s="1993"/>
      <c r="J54" s="3070">
        <v>3</v>
      </c>
      <c r="K54" s="3214" t="s">
        <v>2046</v>
      </c>
      <c r="L54" s="3214"/>
      <c r="M54" s="2742">
        <f t="shared" ca="1" si="0"/>
        <v>37554</v>
      </c>
      <c r="N54" s="3070" t="str">
        <f t="shared" si="0"/>
        <v>增值额×税（费）率</v>
      </c>
      <c r="O54" s="2744" t="str">
        <f t="shared" si="0"/>
        <v>——</v>
      </c>
    </row>
    <row r="55" spans="1:35" ht="24" customHeight="1">
      <c r="A55" s="3276" t="s">
        <v>2047</v>
      </c>
      <c r="B55" s="3254"/>
      <c r="C55" s="3254"/>
      <c r="D55" s="3067">
        <f ca="1">IF(H55="个人住宅",0,ROUND(D45*I55,0))</f>
        <v>51</v>
      </c>
      <c r="E55" s="3080" t="s">
        <v>2048</v>
      </c>
      <c r="F55" s="2771">
        <f>IF(H55="正常",I55,"免征")</f>
        <v>5.0000000000000001E-4</v>
      </c>
      <c r="G55" s="2772"/>
      <c r="H55" s="2767" t="s">
        <v>3155</v>
      </c>
      <c r="I55" s="170">
        <f>'数据-取费表'!B49</f>
        <v>5.0000000000000001E-4</v>
      </c>
      <c r="J55" s="3070" t="str">
        <f>IF(H59="非个人房产","",4)</f>
        <v/>
      </c>
      <c r="K55" s="3214" t="str">
        <f>IF(H59="非个人房产","——","个人所得税")</f>
        <v>——</v>
      </c>
      <c r="L55" s="3214"/>
      <c r="M55" s="2745" t="str">
        <f>D59</f>
        <v>——</v>
      </c>
      <c r="N55" s="3071" t="str">
        <f>E59</f>
        <v>——</v>
      </c>
      <c r="O55" s="2746" t="str">
        <f>F59</f>
        <v>——</v>
      </c>
    </row>
    <row r="56" spans="1:35" ht="24.75">
      <c r="A56" s="3276" t="s">
        <v>2049</v>
      </c>
      <c r="B56" s="3254"/>
      <c r="C56" s="3254"/>
      <c r="D56" s="3067">
        <f ca="1">IF(H56="个人住宅",D57,D58)</f>
        <v>37554</v>
      </c>
      <c r="E56" s="3080" t="s">
        <v>2050</v>
      </c>
      <c r="F56" s="2771" t="str">
        <f>IF(H56="正常",F58,"免征")</f>
        <v>——</v>
      </c>
      <c r="G56" s="2774" t="s">
        <v>2051</v>
      </c>
      <c r="H56" s="2775" t="s">
        <v>3155</v>
      </c>
      <c r="I56" s="1994"/>
      <c r="J56" s="3070" t="str">
        <f>IF(项目基本情况!K6="上海银行",IF(J55="",4,J55+1),"")</f>
        <v/>
      </c>
      <c r="K56" s="3199" t="str">
        <f>IF(项目基本情况!K6="上海银行","其他处置费用","")</f>
        <v/>
      </c>
      <c r="L56" s="3200"/>
      <c r="M56" s="2742" t="str">
        <f>IF(项目基本情况!K6="上海银行",M69,"")</f>
        <v/>
      </c>
      <c r="N56" s="3199" t="str">
        <f>IF(项目基本情况!K6="上海银行","包含处置中涉及的律师、诉讼、拍卖、评估等费用","")</f>
        <v/>
      </c>
      <c r="O56" s="3202"/>
    </row>
    <row r="57" spans="1:35" ht="12.75">
      <c r="A57" s="3081" t="s">
        <v>2027</v>
      </c>
      <c r="B57" s="3238" t="s">
        <v>2052</v>
      </c>
      <c r="C57" s="3239"/>
      <c r="D57" s="1775">
        <v>0</v>
      </c>
      <c r="E57" s="330" t="s">
        <v>2029</v>
      </c>
      <c r="F57" s="308"/>
      <c r="G57" s="2772"/>
      <c r="H57" s="2776"/>
      <c r="I57" s="1994"/>
      <c r="J57" s="3214">
        <f>IF(AND(J55="",J56=""),4,IF(项目基本情况!K6="上海银行",净值2!J56+1,净值2!J55+1))</f>
        <v>4</v>
      </c>
      <c r="K57" s="3214" t="s">
        <v>2053</v>
      </c>
      <c r="L57" s="2747" t="s">
        <v>2054</v>
      </c>
      <c r="M57" s="2748"/>
      <c r="N57" s="2749">
        <f ca="1">SUMIF(M52:M56,"&lt;9e307")</f>
        <v>43025</v>
      </c>
      <c r="O57" s="2750"/>
      <c r="P57" s="2910">
        <f ca="1">N57/M49</f>
        <v>0.42335357033917487</v>
      </c>
    </row>
    <row r="58" spans="1:35" ht="24.75">
      <c r="A58" s="3081" t="s">
        <v>2038</v>
      </c>
      <c r="B58" s="3238" t="s">
        <v>2055</v>
      </c>
      <c r="C58" s="3237"/>
      <c r="D58" s="3067">
        <f ca="1">IF(H58="转让取得",C81,C97)</f>
        <v>37554</v>
      </c>
      <c r="E58" s="3080" t="s">
        <v>2050</v>
      </c>
      <c r="F58" s="308" t="s">
        <v>34</v>
      </c>
      <c r="G58" s="2772"/>
      <c r="H58" s="2775" t="s">
        <v>3156</v>
      </c>
      <c r="I58" s="1994"/>
      <c r="J58" s="3214"/>
      <c r="K58" s="3214"/>
      <c r="L58" s="2747" t="s">
        <v>2056</v>
      </c>
      <c r="M58" s="2751"/>
      <c r="N58" s="2752" t="str">
        <f ca="1">NUMBERSTRING(INT(N57*10000),2)&amp;"元整"</f>
        <v>肆亿叁仟零贰拾伍万元整</v>
      </c>
      <c r="O58" s="2753"/>
    </row>
    <row r="59" spans="1:35" ht="24.75" thickBot="1">
      <c r="A59" s="3218" t="s">
        <v>2057</v>
      </c>
      <c r="B59" s="3219"/>
      <c r="C59" s="3219"/>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16">
        <f>J57+1</f>
        <v>5</v>
      </c>
      <c r="K59" s="3214" t="s">
        <v>2058</v>
      </c>
      <c r="L59" s="3070" t="s">
        <v>2054</v>
      </c>
      <c r="M59" s="2754"/>
      <c r="N59" s="2755">
        <f ca="1">M49-N57</f>
        <v>58604</v>
      </c>
      <c r="O59" s="2756"/>
    </row>
    <row r="60" spans="1:35" ht="12" customHeight="1">
      <c r="A60" s="1995"/>
      <c r="B60" s="1933"/>
      <c r="C60" s="1933"/>
      <c r="D60" s="1933"/>
      <c r="E60" s="1763"/>
      <c r="F60" s="1994"/>
      <c r="G60" s="1994"/>
      <c r="H60" s="1996"/>
      <c r="I60" s="134"/>
      <c r="J60" s="3217"/>
      <c r="K60" s="3214"/>
      <c r="L60" s="2747" t="s">
        <v>2056</v>
      </c>
      <c r="M60" s="2751"/>
      <c r="N60" s="2752" t="str">
        <f ca="1">NUMBERSTRING(INT(N59*10000),2)&amp;"元整"</f>
        <v>伍亿捌仟陆佰零肆万元整</v>
      </c>
      <c r="O60" s="2753"/>
    </row>
    <row r="61" spans="1:35" ht="13.5" thickBot="1">
      <c r="A61" s="3275" t="s">
        <v>2059</v>
      </c>
      <c r="B61" s="3275"/>
      <c r="C61" s="3275"/>
      <c r="D61" s="3275"/>
      <c r="E61" s="3275"/>
      <c r="F61" s="1994"/>
      <c r="G61" s="1994"/>
      <c r="H61" s="1996"/>
      <c r="I61" s="134"/>
      <c r="J61" s="3070">
        <f>J59+1</f>
        <v>6</v>
      </c>
      <c r="K61" s="3214" t="s">
        <v>2060</v>
      </c>
      <c r="L61" s="3214"/>
      <c r="M61" s="2757"/>
      <c r="N61" s="2758">
        <f ca="1">ROUND(N59*10000/面积表!F28,0)</f>
        <v>10905</v>
      </c>
      <c r="O61" s="2759"/>
    </row>
    <row r="62" spans="1:35" ht="12.75">
      <c r="A62" s="3233" t="s">
        <v>2061</v>
      </c>
      <c r="B62" s="3234"/>
      <c r="C62" s="3075"/>
      <c r="D62" s="3075" t="s">
        <v>2062</v>
      </c>
      <c r="E62" s="171" t="s">
        <v>2063</v>
      </c>
      <c r="F62" s="1994"/>
      <c r="G62" s="1994"/>
      <c r="H62" s="1996"/>
      <c r="I62" s="134"/>
    </row>
    <row r="63" spans="1:35" ht="12.75">
      <c r="A63" s="178" t="s">
        <v>775</v>
      </c>
      <c r="B63" s="172" t="s">
        <v>2064</v>
      </c>
      <c r="C63" s="2781">
        <f ca="1">ROUND((C64+C65)/(1+'数据-取费表'!C42),0)</f>
        <v>96790</v>
      </c>
      <c r="D63" s="172"/>
      <c r="E63" s="173"/>
      <c r="F63" s="1994"/>
      <c r="G63" s="1994"/>
      <c r="H63" s="1996"/>
      <c r="I63" s="134"/>
      <c r="J63" s="3201" t="s">
        <v>2065</v>
      </c>
      <c r="K63" s="3068" t="s">
        <v>2066</v>
      </c>
      <c r="L63" s="3068">
        <f ca="1">IF(M49&gt;10000,M49*0.5%,IF(AND(M49&gt;1000,M49&lt;=10000),M49*1%,IF(AND(M49&gt;100,M49&lt;=1000),M49*3%,IF(AND(M49&gt;10,M49&lt;=100),M49*5%,M49*8%))))</f>
        <v>508.14500000000004</v>
      </c>
      <c r="M63" s="308">
        <f ca="1">ROUND(L63,1)</f>
        <v>508.1</v>
      </c>
      <c r="N63" s="2760"/>
      <c r="Z63" s="1938"/>
      <c r="AI63" s="1939"/>
    </row>
    <row r="64" spans="1:35" ht="14.25" customHeight="1">
      <c r="A64" s="174" t="s">
        <v>770</v>
      </c>
      <c r="B64" s="175" t="s">
        <v>2067</v>
      </c>
      <c r="C64" s="2782">
        <f ca="1">D45</f>
        <v>101629</v>
      </c>
      <c r="D64" s="175" t="s">
        <v>32</v>
      </c>
      <c r="E64" s="177"/>
      <c r="F64" s="1994"/>
      <c r="G64" s="1994"/>
      <c r="H64" s="1996"/>
      <c r="I64" s="134"/>
      <c r="J64" s="3201"/>
      <c r="K64" s="3068" t="s">
        <v>2068</v>
      </c>
      <c r="L64" s="3068">
        <f ca="1">IF(M49&gt;2000,M49*0.5%,IF(AND(M49&gt;1000,M49&lt;=2000),M49*0.6%,IF(AND(M49&gt;500,M49&lt;=1000),M49*0.7%,IF(AND(M49&gt;200,M49&lt;=500),M49*0.8%,IF(AND(M49&gt;100,M49&lt;=200),M49*0.9%,IF(AND(M49&gt;50,M49&lt;=100),M49*1%,IF(AND(M49&gt;20,M49&lt;=50),M49*1.5%,IF(AND(M49&gt;10,M49&lt;=20),M49*2%,IF(AND(M49&gt;1,M49&lt;=10),M49*2.5%)))))))))</f>
        <v>508.14500000000004</v>
      </c>
      <c r="M64" s="308">
        <f t="shared" ref="M64:M65" ca="1" si="1">ROUND(L64,1)</f>
        <v>508.1</v>
      </c>
      <c r="N64" s="2761" t="s">
        <v>2069</v>
      </c>
      <c r="Z64" s="1938"/>
      <c r="AI64" s="1939"/>
    </row>
    <row r="65" spans="1:35" ht="14.25" customHeight="1">
      <c r="A65" s="174" t="s">
        <v>771</v>
      </c>
      <c r="B65" s="175" t="s">
        <v>2070</v>
      </c>
      <c r="C65" s="2783"/>
      <c r="D65" s="175"/>
      <c r="E65" s="177"/>
      <c r="F65" s="1994"/>
      <c r="G65" s="1994"/>
      <c r="H65" s="1996"/>
      <c r="I65" s="134"/>
      <c r="J65" s="3201"/>
      <c r="K65" s="3068" t="s">
        <v>2071</v>
      </c>
      <c r="L65" s="3068">
        <f ca="1">IF(M49&gt;1000,M49*0.1%,IF(AND(M49&gt;500,M49&lt;=1000),M49*0.5%,IF(AND(M49&gt;50,M49&lt;=500),M49*1%,IF(AND(M49&gt;1,M49&lt;=50),M49*1.5%))))</f>
        <v>101.629</v>
      </c>
      <c r="M65" s="308">
        <f t="shared" ca="1" si="1"/>
        <v>101.6</v>
      </c>
      <c r="N65" s="2761" t="s">
        <v>2069</v>
      </c>
      <c r="Z65" s="1938"/>
      <c r="AI65" s="1939"/>
    </row>
    <row r="66" spans="1:35" ht="14.25" customHeight="1">
      <c r="A66" s="178" t="s">
        <v>772</v>
      </c>
      <c r="B66" s="179" t="s">
        <v>2072</v>
      </c>
      <c r="C66" s="2784"/>
      <c r="D66" s="179" t="s">
        <v>32</v>
      </c>
      <c r="E66" s="1509" t="s">
        <v>1337</v>
      </c>
      <c r="F66" s="1994"/>
      <c r="G66" s="1994"/>
      <c r="H66" s="1996"/>
      <c r="I66" s="134"/>
      <c r="J66" s="3201"/>
      <c r="K66" s="3068" t="s">
        <v>2073</v>
      </c>
      <c r="L66" s="3068">
        <f ca="1">M49*0.5%</f>
        <v>508.14500000000004</v>
      </c>
      <c r="M66" s="308">
        <f ca="1">IF(L66&gt;0.5,0.5,ROUND(L66,0))</f>
        <v>0.5</v>
      </c>
      <c r="N66" s="2761" t="s">
        <v>2074</v>
      </c>
      <c r="Z66" s="1938"/>
      <c r="AI66" s="1939"/>
    </row>
    <row r="67" spans="1:35" ht="14.25" customHeight="1">
      <c r="A67" s="178" t="s">
        <v>773</v>
      </c>
      <c r="B67" s="179" t="s">
        <v>2075</v>
      </c>
      <c r="C67" s="2785">
        <f ca="1">C63-C66</f>
        <v>96790</v>
      </c>
      <c r="D67" s="175" t="s">
        <v>32</v>
      </c>
      <c r="E67" s="177"/>
      <c r="F67" s="1994"/>
      <c r="G67" s="1994"/>
      <c r="H67" s="1996"/>
      <c r="I67" s="134"/>
      <c r="J67" s="3201"/>
      <c r="K67" s="3068" t="s">
        <v>2076</v>
      </c>
      <c r="L67" s="3068">
        <f ca="1">IF(M49&gt;=10000,(8.25+(M49-10000)*0.01%),IF(AND(M49&gt;=8000,M49&lt;10000),(7.85+(M49-8000)*0.02%),IF(AND(M49&gt;=5000,M49&lt;8000),(6.65+(M49-5000)*0.04%),IF(AND(M49&gt;=2000,M49&lt;5000),(4.25+(PM49-2000)*0.08%),IF(AND(M49&gt;=1000,M49&lt;2000),(2.75+(M49-1000)*0.15%),IF(AND(M49&gt;=100,M49&lt;1000),(0.5+(M49-100)*0.25%),IF(AND(M49&gt;0,M49&lt;100),M49*0.5%)))))))</f>
        <v>17.4129</v>
      </c>
      <c r="M67" s="308">
        <f ca="1">ROUND(L67*0.9,1)</f>
        <v>15.7</v>
      </c>
      <c r="N67" s="2760"/>
      <c r="Z67" s="1938"/>
      <c r="AI67" s="1939"/>
    </row>
    <row r="68" spans="1:35" ht="14.25" customHeight="1" thickBot="1">
      <c r="A68" s="181" t="s">
        <v>774</v>
      </c>
      <c r="B68" s="182" t="s">
        <v>2077</v>
      </c>
      <c r="C68" s="2786">
        <f ca="1">IF(C67&lt;=0,0,ROUND(C67*D68,0))</f>
        <v>5420</v>
      </c>
      <c r="D68" s="2787">
        <f>'数据-取费表'!B41</f>
        <v>5.6000000000000001E-2</v>
      </c>
      <c r="E68" s="184"/>
      <c r="F68" s="1994"/>
      <c r="G68" s="1994"/>
      <c r="H68" s="1996"/>
      <c r="I68" s="134"/>
      <c r="J68" s="3201"/>
      <c r="K68" s="3068" t="s">
        <v>2078</v>
      </c>
      <c r="L68" s="3068">
        <f ca="1">IF(M49&gt;10000,M49*0.5%,IF(AND(M49&gt;5000,M49&lt;=10000),M49*1%,IF(AND(M49&gt;1000,M49&lt;=5000),M49*2%,IF(AND(M49&gt;200,M49&lt;=1000),M49*3%,M49*5%))))</f>
        <v>508.14500000000004</v>
      </c>
      <c r="M68" s="308">
        <f ca="1">ROUND(L68,1)</f>
        <v>508.1</v>
      </c>
      <c r="N68" s="2760"/>
      <c r="Z68" s="1938"/>
      <c r="AI68" s="1939"/>
    </row>
    <row r="69" spans="1:35" s="1958" customFormat="1" ht="16.5" customHeight="1">
      <c r="A69" s="1997"/>
      <c r="B69" s="1998"/>
      <c r="C69" s="1999"/>
      <c r="D69" s="2000"/>
      <c r="E69" s="2001"/>
      <c r="F69" s="1763"/>
      <c r="G69" s="1763"/>
      <c r="H69" s="1762"/>
      <c r="I69" s="1933"/>
      <c r="J69" s="3201"/>
      <c r="K69" s="3068" t="s">
        <v>2079</v>
      </c>
      <c r="L69" s="3068"/>
      <c r="M69" s="308">
        <f ca="1">ROUND(SUM(M63:M68),0)</f>
        <v>1642</v>
      </c>
      <c r="N69" s="2762">
        <f ca="1">M69/M49</f>
        <v>1.615680563618652E-2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1" t="s">
        <v>2080</v>
      </c>
      <c r="B70" s="3242"/>
      <c r="C70" s="3242"/>
      <c r="D70" s="3242"/>
      <c r="E70" s="3242"/>
      <c r="F70" s="3242"/>
      <c r="G70" s="3242"/>
      <c r="H70" s="3242"/>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3" t="s">
        <v>2061</v>
      </c>
      <c r="B71" s="3234"/>
      <c r="C71" s="3075"/>
      <c r="D71" s="3075"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96790</v>
      </c>
      <c r="D72" s="175" t="s">
        <v>32</v>
      </c>
      <c r="E72" s="3077"/>
      <c r="F72" s="3076"/>
      <c r="G72" s="3076"/>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581</v>
      </c>
      <c r="D73" s="175" t="s">
        <v>32</v>
      </c>
      <c r="E73" s="3077"/>
      <c r="F73" s="3076"/>
      <c r="G73" s="307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7"/>
      <c r="F74" s="3076"/>
      <c r="G74" s="307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38" t="s">
        <v>2088</v>
      </c>
      <c r="F76" s="3237"/>
      <c r="G76" s="3237"/>
      <c r="H76" s="324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3067" t="s">
        <v>2090</v>
      </c>
      <c r="F77" s="192"/>
      <c r="G77" s="2008"/>
      <c r="H77" s="307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581</v>
      </c>
      <c r="D78" s="2794">
        <f>'数据-取费表'!B43</f>
        <v>6.000000000000001E-3</v>
      </c>
      <c r="E78" s="3230" t="s">
        <v>2092</v>
      </c>
      <c r="F78" s="3231"/>
      <c r="G78" s="3231"/>
      <c r="H78" s="323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2093</v>
      </c>
      <c r="C79" s="2785">
        <f ca="1">C72-C73</f>
        <v>96209</v>
      </c>
      <c r="D79" s="175" t="s">
        <v>32</v>
      </c>
      <c r="E79" s="3077"/>
      <c r="F79" s="3076"/>
      <c r="G79" s="307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165.592082616179</v>
      </c>
      <c r="D80" s="175" t="s">
        <v>32</v>
      </c>
      <c r="E80" s="3067" t="str">
        <f ca="1">IF(C80&gt;=200%,"增值额超过扣除项目金额200%",IF(C80&gt;=100%,"增值额超过扣除项目金额100%，未超过200%",IF(C80&gt;=50%,"增值额超过扣除项目金额50%，未超过100%",IF(C80&lt;50%,"增值额未超过扣除项目金额50%"))))</f>
        <v>增值额超过扣除项目金额200%</v>
      </c>
      <c r="F80" s="3076"/>
      <c r="G80" s="307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57522</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1" t="s">
        <v>2096</v>
      </c>
      <c r="B83" s="3242"/>
      <c r="C83" s="3242"/>
      <c r="D83" s="3242"/>
      <c r="E83" s="3242"/>
      <c r="F83" s="3242"/>
      <c r="G83" s="3242"/>
      <c r="H83" s="324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3" t="s">
        <v>2061</v>
      </c>
      <c r="B84" s="3234"/>
      <c r="C84" s="3075"/>
      <c r="D84" s="3075"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96790</v>
      </c>
      <c r="D85" s="175" t="s">
        <v>32</v>
      </c>
      <c r="E85" s="3077"/>
      <c r="F85" s="3076"/>
      <c r="G85" s="307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21600.41072</v>
      </c>
      <c r="D86" s="2798"/>
      <c r="E86" s="3077"/>
      <c r="F86" s="3076"/>
      <c r="G86" s="307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919.41071999999997</v>
      </c>
      <c r="D87" s="2794"/>
      <c r="E87" s="3072"/>
      <c r="F87" s="3073"/>
      <c r="G87" s="3073"/>
      <c r="H87" s="307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80*面积表!E28/10000</f>
        <v>892.41071999999997</v>
      </c>
      <c r="D88" s="2794"/>
      <c r="E88" s="199" t="s">
        <v>2099</v>
      </c>
      <c r="F88" s="3073"/>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27</v>
      </c>
      <c r="D89" s="2794">
        <f>'数据-取费表'!B48+'数据-取费表'!B49</f>
        <v>3.0499999999999999E-2</v>
      </c>
      <c r="E89" s="199" t="s">
        <v>2101</v>
      </c>
      <c r="F89" s="3073"/>
      <c r="G89" s="3073"/>
      <c r="H89" s="307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3073"/>
      <c r="G90" s="3203" t="s">
        <v>2870</v>
      </c>
      <c r="H90" s="3204"/>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ROUND(成本法!C33/面积表!F29*面积表!F28,0)</f>
        <v>15249</v>
      </c>
      <c r="D91" s="2794"/>
      <c r="E91" s="3230" t="s">
        <v>2105</v>
      </c>
      <c r="F91" s="3231"/>
      <c r="G91" s="3231"/>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1617</v>
      </c>
      <c r="D92" s="2800">
        <v>0.1</v>
      </c>
      <c r="E92" s="3230" t="s">
        <v>2108</v>
      </c>
      <c r="F92" s="3231"/>
      <c r="G92" s="3231"/>
      <c r="H92" s="3232"/>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581</v>
      </c>
      <c r="D93" s="2794">
        <f>'数据-取费表'!B43</f>
        <v>6.000000000000001E-3</v>
      </c>
      <c r="E93" s="3230" t="s">
        <v>2092</v>
      </c>
      <c r="F93" s="3231"/>
      <c r="G93" s="3231"/>
      <c r="H93" s="323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3234</v>
      </c>
      <c r="D94" s="2794">
        <v>0.2</v>
      </c>
      <c r="E94" s="3277" t="s">
        <v>2112</v>
      </c>
      <c r="F94" s="3278"/>
      <c r="G94" s="3278"/>
      <c r="H94" s="327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2093</v>
      </c>
      <c r="C95" s="2785">
        <f ca="1">ROUND(C85-C86,0)</f>
        <v>75190</v>
      </c>
      <c r="D95" s="175" t="s">
        <v>32</v>
      </c>
      <c r="E95" s="3077"/>
      <c r="F95" s="3076"/>
      <c r="G95" s="307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3.480952328854606</v>
      </c>
      <c r="D96" s="175" t="s">
        <v>32</v>
      </c>
      <c r="E96" s="3067" t="str">
        <f ca="1">IF(C96&gt;=200%,"增值额超过扣除项目金额200%",IF(C96&gt;=100%,"增值额超过扣除项目金额100%，未超过200%",IF(C96&gt;=50%,"增值额超过扣除项目金额50%，未超过100%",IF(C96&lt;50%,"增值额未超过扣除项目金额50%"))))</f>
        <v>增值额超过扣除项目金额200%</v>
      </c>
      <c r="F96" s="3076"/>
      <c r="G96" s="307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37554</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76" t="s">
        <v>2114</v>
      </c>
      <c r="B100" s="3177"/>
      <c r="C100" s="3177"/>
      <c r="D100" s="3215"/>
      <c r="E100" s="3177" t="s">
        <v>2115</v>
      </c>
      <c r="F100" s="3177"/>
      <c r="G100" s="3177"/>
      <c r="H100" s="3215"/>
      <c r="I100" s="134"/>
    </row>
    <row r="101" spans="1:35" ht="18.75" customHeight="1">
      <c r="A101" s="3223" t="s">
        <v>2116</v>
      </c>
      <c r="B101" s="3224"/>
      <c r="C101" s="2802" t="str">
        <f>C4</f>
        <v>成本法</v>
      </c>
      <c r="D101" s="2803" t="str">
        <f>D4</f>
        <v>收益法</v>
      </c>
      <c r="E101" s="3197" t="s">
        <v>2117</v>
      </c>
      <c r="F101" s="3198"/>
      <c r="G101" s="2013" t="s">
        <v>2118</v>
      </c>
      <c r="H101" s="2812">
        <f ca="1">H118</f>
        <v>208274</v>
      </c>
      <c r="I101" s="134"/>
    </row>
    <row r="102" spans="1:35" ht="18.75" customHeight="1">
      <c r="A102" s="3225" t="s">
        <v>2119</v>
      </c>
      <c r="B102" s="2801" t="s">
        <v>2118</v>
      </c>
      <c r="C102" s="2802">
        <f ca="1">C19</f>
        <v>148180</v>
      </c>
      <c r="D102" s="2803">
        <f ca="1">D19</f>
        <v>298414</v>
      </c>
      <c r="E102" s="3197"/>
      <c r="F102" s="3198"/>
      <c r="G102" s="2013" t="s">
        <v>2120</v>
      </c>
      <c r="H102" s="2772">
        <f ca="1">I118</f>
        <v>18252</v>
      </c>
      <c r="I102" s="134"/>
    </row>
    <row r="103" spans="1:35" ht="42.75" customHeight="1">
      <c r="A103" s="3225"/>
      <c r="B103" s="2801" t="s">
        <v>2120</v>
      </c>
      <c r="C103" s="2804">
        <f ca="1">C20</f>
        <v>12986</v>
      </c>
      <c r="D103" s="2805">
        <f ca="1">D20</f>
        <v>26152</v>
      </c>
      <c r="E103" s="3190" t="s">
        <v>2121</v>
      </c>
      <c r="F103" s="3191"/>
      <c r="G103" s="2014" t="s">
        <v>2122</v>
      </c>
      <c r="H103" s="2812">
        <f>IF(D36="正常操作",H104+H105+H106,H105+H106)</f>
        <v>0</v>
      </c>
      <c r="I103" s="134"/>
    </row>
    <row r="104" spans="1:35" ht="18.75" customHeight="1">
      <c r="A104" s="3225" t="s">
        <v>2123</v>
      </c>
      <c r="B104" s="2806" t="s">
        <v>2118</v>
      </c>
      <c r="C104" s="2807">
        <f ca="1">H118</f>
        <v>208274</v>
      </c>
      <c r="D104" s="2808"/>
      <c r="E104" s="1860" t="s">
        <v>2124</v>
      </c>
      <c r="F104" s="1851"/>
      <c r="G104" s="2014" t="s">
        <v>2122</v>
      </c>
      <c r="H104" s="2813">
        <f>IF(D36="同一抵押权人同一抵押物续贷",C36&amp;"（续贷，未扣减，详见特别提示）",C36)</f>
        <v>0</v>
      </c>
      <c r="I104" s="134"/>
    </row>
    <row r="105" spans="1:35" ht="18.75" customHeight="1" thickBot="1">
      <c r="A105" s="3235"/>
      <c r="B105" s="2809" t="s">
        <v>2120</v>
      </c>
      <c r="C105" s="2810">
        <f ca="1">I118</f>
        <v>18252</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26" t="str">
        <f>IF(项目基本情况!E8="已注销","——","3.房地产抵押价值")</f>
        <v>3.房地产抵押价值</v>
      </c>
      <c r="F107" s="3198"/>
      <c r="G107" s="2013" t="s">
        <v>2118</v>
      </c>
      <c r="H107" s="2812">
        <f ca="1">IF(E107="——","——",H101-H103)</f>
        <v>208274</v>
      </c>
      <c r="I107" s="134"/>
    </row>
    <row r="108" spans="1:35" ht="18.75" customHeight="1">
      <c r="A108" s="134"/>
      <c r="B108" s="134"/>
      <c r="C108" s="134"/>
      <c r="D108" s="134"/>
      <c r="E108" s="3226"/>
      <c r="F108" s="3198"/>
      <c r="G108" s="2013" t="s">
        <v>2120</v>
      </c>
      <c r="H108" s="2772">
        <f ca="1">ROUND(H107*10000/'数据-汇总表'!E3,0)</f>
        <v>18252</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8"/>
      <c r="G109" s="2013" t="s">
        <v>2118</v>
      </c>
      <c r="H109" s="2815" t="str">
        <f>IF(E109="——","——",H101-H105-H106)</f>
        <v>——</v>
      </c>
      <c r="I109" s="134"/>
    </row>
    <row r="110" spans="1:35" ht="18.75" customHeight="1">
      <c r="A110" s="134"/>
      <c r="B110" s="134"/>
      <c r="C110" s="134"/>
      <c r="D110" s="134"/>
      <c r="E110" s="3226"/>
      <c r="F110" s="3198"/>
      <c r="G110" s="2013" t="s">
        <v>2120</v>
      </c>
      <c r="H110" s="2772"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4.抵押净值</v>
      </c>
      <c r="F111" s="3213"/>
      <c r="G111" s="2013" t="s">
        <v>2118</v>
      </c>
      <c r="H111" s="2812">
        <f ca="1">IF(E111="——","——",N59)</f>
        <v>58604</v>
      </c>
      <c r="I111" s="134"/>
    </row>
    <row r="112" spans="1:35" ht="18.75" customHeight="1" thickBot="1">
      <c r="A112" s="134"/>
      <c r="B112" s="134"/>
      <c r="C112" s="134"/>
      <c r="D112" s="134"/>
      <c r="E112" s="3228"/>
      <c r="F112" s="3229"/>
      <c r="G112" s="2016" t="s">
        <v>2120</v>
      </c>
      <c r="H112" s="2816">
        <f ca="1">IF(E111="——","——",N61)</f>
        <v>10905</v>
      </c>
      <c r="I112" s="134"/>
    </row>
    <row r="113" spans="1:27" ht="18.75" customHeight="1">
      <c r="A113" s="134"/>
      <c r="B113" s="134"/>
      <c r="C113" s="134"/>
      <c r="D113" s="134"/>
      <c r="E113" s="3236" t="s">
        <v>2126</v>
      </c>
      <c r="F113" s="3236"/>
      <c r="G113" s="3236"/>
      <c r="H113" s="3236"/>
      <c r="I113" s="134"/>
    </row>
    <row r="114" spans="1:27" ht="3.75" customHeight="1">
      <c r="A114" s="1933"/>
      <c r="B114" s="1933"/>
      <c r="C114" s="1933"/>
      <c r="D114" s="1933"/>
      <c r="E114" s="1995"/>
      <c r="F114" s="1995"/>
      <c r="G114" s="1995"/>
      <c r="H114" s="1995"/>
      <c r="I114" s="1933"/>
    </row>
    <row r="115" spans="1:27" ht="18.75" customHeight="1">
      <c r="A115" s="3246" t="s">
        <v>2128</v>
      </c>
      <c r="B115" s="3247"/>
      <c r="C115" s="3247"/>
      <c r="D115" s="3247"/>
      <c r="E115" s="3247"/>
      <c r="F115" s="3247"/>
      <c r="G115" s="3247"/>
      <c r="H115" s="3247"/>
      <c r="I115" s="3248"/>
    </row>
    <row r="116" spans="1:27" ht="27" customHeight="1">
      <c r="A116" s="3205" t="s">
        <v>2129</v>
      </c>
      <c r="B116" s="3185" t="s">
        <v>2130</v>
      </c>
      <c r="C116" s="3185" t="s">
        <v>2131</v>
      </c>
      <c r="D116" s="3187" t="s">
        <v>2132</v>
      </c>
      <c r="E116" s="3188"/>
      <c r="F116" s="3189" t="s">
        <v>2133</v>
      </c>
      <c r="G116" s="3189"/>
      <c r="H116" s="3205" t="s">
        <v>2134</v>
      </c>
      <c r="I116" s="3205"/>
    </row>
    <row r="117" spans="1:27" ht="18.75" customHeight="1">
      <c r="A117" s="3205"/>
      <c r="B117" s="3186"/>
      <c r="C117" s="3186"/>
      <c r="D117" s="3069" t="s">
        <v>2135</v>
      </c>
      <c r="E117" s="3069" t="s">
        <v>2136</v>
      </c>
      <c r="F117" s="3069" t="s">
        <v>2135</v>
      </c>
      <c r="G117" s="3069" t="s">
        <v>2137</v>
      </c>
      <c r="H117" s="3069" t="s">
        <v>2135</v>
      </c>
      <c r="I117" s="3069" t="s">
        <v>2137</v>
      </c>
    </row>
    <row r="118" spans="1:27" ht="24.75" customHeight="1">
      <c r="A118" s="3065" t="str">
        <f>项目基本情况!S2</f>
        <v>北京市房地产</v>
      </c>
      <c r="B118" s="3069">
        <f>M18</f>
        <v>114107.98000000001</v>
      </c>
      <c r="C118" s="3069">
        <f>M19</f>
        <v>236852.67</v>
      </c>
      <c r="D118" s="3069">
        <f ca="1">ROUND(IF(D32="总价",C34,E118*B118/10000),0)</f>
        <v>172088</v>
      </c>
      <c r="E118" s="3069">
        <f ca="1">ROUND(IF(C33="自定义",IF(D32="楼面单价",C34,D118*10000/B118),I118-G118),0)</f>
        <v>15081</v>
      </c>
      <c r="F118" s="3069">
        <f ca="1">ROUND(IF(D32="总价",C35,G118*B118/10000),0)</f>
        <v>36186</v>
      </c>
      <c r="G118" s="3069">
        <f ca="1">ROUND(IF(D32="楼面单价",C35,F118*10000/B118),0)</f>
        <v>3171</v>
      </c>
      <c r="H118" s="3069">
        <f ca="1">ROUND(IF(D32="总价",C32,I118*B118/10000),0)</f>
        <v>208274</v>
      </c>
      <c r="I118" s="3069">
        <f ca="1">ROUND(IF(D32="楼面单价",C32,H118*10000/B118),0)</f>
        <v>18252</v>
      </c>
      <c r="J118" s="734">
        <f ca="1">D118/C118*666.67</f>
        <v>484.37666740256714</v>
      </c>
    </row>
    <row r="119" spans="1:27" ht="18.75" customHeight="1">
      <c r="A119" s="3205" t="s">
        <v>2138</v>
      </c>
      <c r="B119" s="3205"/>
      <c r="C119" s="3205"/>
      <c r="D119" s="3209" t="str">
        <f ca="1">NUMBERSTRING(INT(D118*10000),2)&amp;"元整"</f>
        <v>壹拾柒亿贰仟零捌拾捌万元整</v>
      </c>
      <c r="E119" s="3210"/>
      <c r="F119" s="3209" t="str">
        <f ca="1">NUMBERSTRING(INT(F118*10000),2)&amp;"元整"</f>
        <v>叁亿陆仟壹佰捌拾陆万元整</v>
      </c>
      <c r="G119" s="3210"/>
      <c r="H119" s="3209" t="str">
        <f ca="1">NUMBERSTRING(INT(H118*10000),2)&amp;"元整"</f>
        <v>贰拾亿捌仟贰佰柒拾肆万元整</v>
      </c>
      <c r="I119" s="3210"/>
    </row>
    <row r="120" spans="1:27" ht="18.75" customHeight="1">
      <c r="A120" s="3206" t="str">
        <f>IF(项目基本情况!B9="房地产市场价值","",MID(E103,3,LEN(E103)-2))</f>
        <v>估价师知悉的法定优先受偿款</v>
      </c>
      <c r="B120" s="3207"/>
      <c r="C120" s="3208"/>
      <c r="D120" s="3206">
        <f>H103</f>
        <v>0</v>
      </c>
      <c r="E120" s="3207"/>
      <c r="F120" s="3207"/>
      <c r="G120" s="3207"/>
      <c r="H120" s="3207"/>
      <c r="I120" s="320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3" t="s">
        <v>2138</v>
      </c>
      <c r="B121" s="3244"/>
      <c r="C121" s="3245"/>
      <c r="D121" s="3209" t="str">
        <f>IF(D120=0,"零元整",NUMBERSTRING(INT(D120*10000),2)&amp;"元整")</f>
        <v>零元整</v>
      </c>
      <c r="E121" s="3211"/>
      <c r="F121" s="3211"/>
      <c r="G121" s="3211"/>
      <c r="H121" s="3211"/>
      <c r="I121" s="3210"/>
      <c r="AA121" s="734"/>
    </row>
    <row r="122" spans="1:27" ht="18.75" customHeight="1">
      <c r="A122" s="3213" t="str">
        <f>IF(项目基本情况!B9="房地产市场价值","",MID(E107,3,LEN(E107)-2))</f>
        <v>房地产抵押价值</v>
      </c>
      <c r="B122" s="3213"/>
      <c r="C122" s="3213"/>
      <c r="D122" s="3206">
        <f ca="1">H107</f>
        <v>208274</v>
      </c>
      <c r="E122" s="3207"/>
      <c r="F122" s="3207"/>
      <c r="G122" s="3207"/>
      <c r="H122" s="3207"/>
      <c r="I122" s="3208"/>
      <c r="AA122" s="734"/>
    </row>
    <row r="123" spans="1:27" ht="18.75" customHeight="1">
      <c r="A123" s="3205" t="s">
        <v>2138</v>
      </c>
      <c r="B123" s="3205"/>
      <c r="C123" s="3205"/>
      <c r="D123" s="3209" t="str">
        <f ca="1">NUMBERSTRING(INT(D122*10000),2)&amp;"元整"</f>
        <v>贰拾亿捌仟贰佰柒拾肆万元整</v>
      </c>
      <c r="E123" s="3211"/>
      <c r="F123" s="3211"/>
      <c r="G123" s="3211"/>
      <c r="H123" s="3211"/>
      <c r="I123" s="3210"/>
      <c r="AA123" s="734"/>
    </row>
    <row r="124" spans="1:27" ht="18.75" customHeight="1">
      <c r="A124" s="3213" t="str">
        <f>IF(项目基本情况!B9="房地产市场价值","",MID(E109,3,LEN(E109)-2))</f>
        <v/>
      </c>
      <c r="B124" s="3213"/>
      <c r="C124" s="3213"/>
      <c r="D124" s="3206" t="str">
        <f>H109</f>
        <v>——</v>
      </c>
      <c r="E124" s="3207"/>
      <c r="F124" s="3207"/>
      <c r="G124" s="3207"/>
      <c r="H124" s="3207"/>
      <c r="I124" s="3208"/>
      <c r="AA124" s="734"/>
    </row>
    <row r="125" spans="1:27" ht="18.75" customHeight="1">
      <c r="A125" s="3205" t="s">
        <v>2138</v>
      </c>
      <c r="B125" s="3205"/>
      <c r="C125" s="3205"/>
      <c r="D125" s="3209" t="e">
        <f>NUMBERSTRING(INT(D124*10000),2)&amp;"元整"</f>
        <v>#VALUE!</v>
      </c>
      <c r="E125" s="3211"/>
      <c r="F125" s="3211"/>
      <c r="G125" s="3211"/>
      <c r="H125" s="3211"/>
      <c r="I125" s="3210"/>
      <c r="AA125" s="734"/>
    </row>
    <row r="126" spans="1:27" ht="18.75" customHeight="1">
      <c r="A126" s="3213" t="str">
        <f>IF(项目基本情况!B9="房地产市场价值","",MID(E111,3,LEN(E111)-2))</f>
        <v>抵押净值</v>
      </c>
      <c r="B126" s="3213"/>
      <c r="C126" s="3213"/>
      <c r="D126" s="3206">
        <f ca="1">H111</f>
        <v>58604</v>
      </c>
      <c r="E126" s="3207"/>
      <c r="F126" s="3207"/>
      <c r="G126" s="3207"/>
      <c r="H126" s="3207"/>
      <c r="I126" s="3208"/>
      <c r="AA126" s="734"/>
    </row>
    <row r="127" spans="1:27" ht="18.75" customHeight="1">
      <c r="A127" s="3205" t="s">
        <v>2138</v>
      </c>
      <c r="B127" s="3205"/>
      <c r="C127" s="3205"/>
      <c r="D127" s="3209" t="str">
        <f ca="1">NUMBERSTRING(INT(D126*10000),2)&amp;"元整"</f>
        <v>伍亿捌仟陆佰零肆万元整</v>
      </c>
      <c r="E127" s="3211"/>
      <c r="F127" s="3211"/>
      <c r="G127" s="3211"/>
      <c r="H127" s="3211"/>
      <c r="I127" s="3210"/>
      <c r="AA127" s="734"/>
    </row>
    <row r="128" spans="1:27" ht="21.75" customHeight="1">
      <c r="A128" s="3212" t="s">
        <v>2139</v>
      </c>
      <c r="B128" s="3212"/>
      <c r="C128" s="3212"/>
      <c r="D128" s="3212"/>
      <c r="E128" s="3212"/>
      <c r="F128" s="3212"/>
      <c r="G128" s="3212"/>
      <c r="H128" s="3212"/>
      <c r="I128" s="3212"/>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7">
        <f>MATCH(B1,'数据-取费表'!A6:A16,0)+5</f>
        <v>7</v>
      </c>
    </row>
    <row r="2" spans="1:9" s="206" customFormat="1" ht="18" customHeight="1">
      <c r="A2" s="207" t="s">
        <v>2148</v>
      </c>
      <c r="B2" s="208">
        <f ca="1">IF(D2="——",C52,C52-E2)</f>
        <v>148180</v>
      </c>
      <c r="C2" s="205" t="s">
        <v>2149</v>
      </c>
      <c r="D2" s="2039" t="s">
        <v>70</v>
      </c>
      <c r="E2" s="1330"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12986</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80066</v>
      </c>
      <c r="D5" s="217" t="s">
        <v>2155</v>
      </c>
      <c r="E5" s="218" t="s">
        <v>2156</v>
      </c>
      <c r="F5" s="218" t="s">
        <v>2157</v>
      </c>
      <c r="G5" s="219"/>
    </row>
    <row r="6" spans="1:9" s="220" customFormat="1" ht="13.5" customHeight="1">
      <c r="A6" s="886" t="s">
        <v>2158</v>
      </c>
      <c r="B6" s="221" t="s">
        <v>2159</v>
      </c>
      <c r="C6" s="222">
        <f ca="1">基准地价修正!B2</f>
        <v>75482</v>
      </c>
      <c r="D6" s="223"/>
      <c r="E6" s="224"/>
      <c r="F6" s="224"/>
      <c r="G6" s="225"/>
    </row>
    <row r="7" spans="1:9" s="220" customFormat="1" ht="13.5" customHeight="1">
      <c r="A7" s="886" t="s">
        <v>2160</v>
      </c>
      <c r="B7" s="221" t="s">
        <v>2161</v>
      </c>
      <c r="C7" s="226">
        <f ca="1">ROUND(C6*F7,0)</f>
        <v>2302</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2282</v>
      </c>
      <c r="D8" s="228"/>
      <c r="E8" s="226"/>
      <c r="F8" s="227"/>
      <c r="G8" s="2042" t="s">
        <v>3132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3131</v>
      </c>
      <c r="H9" s="1298"/>
      <c r="I9" s="2044" t="s">
        <v>2165</v>
      </c>
    </row>
    <row r="10" spans="1:9" s="220" customFormat="1" ht="13.5" customHeight="1">
      <c r="A10" s="887" t="s">
        <v>801</v>
      </c>
      <c r="B10" s="230" t="s">
        <v>2166</v>
      </c>
      <c r="C10" s="231">
        <f ca="1">ROUND(D10*E10/10000,0)</f>
        <v>2282</v>
      </c>
      <c r="D10" s="954">
        <f ca="1">IF(B1="",'数据-汇总表'!E6,IF(INDIRECT("'数据-取费表'!c"&amp;$G$1)="住宅",INDIRECT("'数据-取费表'!s"&amp;$G$1),INDIRECT("'数据-取费表'!k"&amp;$G$1)+INDIRECT("'数据-取费表'!s"&amp;$G$1)))</f>
        <v>114107.98000000001</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114107.98000000001</v>
      </c>
      <c r="E19" s="217">
        <f>'数据-取费表'!B31</f>
        <v>200</v>
      </c>
      <c r="F19" s="237"/>
      <c r="G19" s="2042" t="s">
        <v>3133</v>
      </c>
    </row>
    <row r="20" spans="1:7" s="220" customFormat="1" ht="13.5" customHeight="1">
      <c r="A20" s="261" t="s">
        <v>2179</v>
      </c>
      <c r="B20" s="216" t="s">
        <v>2180</v>
      </c>
      <c r="C20" s="238">
        <f ca="1">ROUND((C5+C19)*F20,0)</f>
        <v>1601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5270</v>
      </c>
      <c r="D22" s="241">
        <f>C26</f>
        <v>5.9999999999999995E-4</v>
      </c>
      <c r="E22" s="242" t="s">
        <v>2184</v>
      </c>
      <c r="F22" s="243">
        <f>'数据-取费表'!B40</f>
        <v>4.2999999999999997E-2</v>
      </c>
      <c r="G22" s="240" t="str">
        <f>IF('数据-取费表'!B22&lt;=1,"单利计息","复利计息")</f>
        <v>复利计息</v>
      </c>
    </row>
    <row r="23" spans="1:7" s="220" customFormat="1" ht="13.5" customHeight="1">
      <c r="A23" s="888" t="s">
        <v>2188</v>
      </c>
      <c r="B23" s="221" t="s">
        <v>2189</v>
      </c>
      <c r="C23" s="1264">
        <f ca="1">ROUND(IF('数据-取费表'!B22&lt;=1,C5*F22*'数据-取费表'!B23,C5*(POWER((1+F22),'数据-取费表'!B23)-1)),0)</f>
        <v>5219</v>
      </c>
      <c r="D23" s="244"/>
      <c r="E23" s="244"/>
      <c r="F23" s="245"/>
      <c r="G23" s="246" t="s">
        <v>2190</v>
      </c>
    </row>
    <row r="24" spans="1:7" s="220" customFormat="1" ht="13.5" customHeight="1">
      <c r="A24" s="888" t="s">
        <v>2191</v>
      </c>
      <c r="B24" s="221" t="s">
        <v>2192</v>
      </c>
      <c r="C24" s="1264">
        <f>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4">
        <f ca="1">ROUND(IF('数据-取费表'!B22&lt;=1,C20*F22*'数据-取费表'!B23/2,C20*(POWER((1+F22),'数据-取费表'!B23/2)-1)),0)</f>
        <v>51</v>
      </c>
      <c r="D25" s="244"/>
      <c r="E25" s="247"/>
      <c r="F25" s="245"/>
      <c r="G25" s="248" t="s">
        <v>2196</v>
      </c>
    </row>
    <row r="26" spans="1:7" s="220" customFormat="1">
      <c r="A26" s="888" t="s">
        <v>795</v>
      </c>
      <c r="B26" s="221" t="s">
        <v>2197</v>
      </c>
      <c r="C26" s="244">
        <f>ROUND(IF('数据-取费表'!B22&lt;=1,F21*F22*'数据-取费表'!B23/2,F21*(POWER((1+F22),'数据-取费表'!B23/2)-1)),4)</f>
        <v>5.9999999999999995E-4</v>
      </c>
      <c r="D26" s="244"/>
      <c r="E26" s="247"/>
      <c r="F26" s="245"/>
      <c r="G26" s="249"/>
    </row>
    <row r="27" spans="1:7" s="220" customFormat="1" ht="24.75">
      <c r="A27" s="261" t="s">
        <v>2198</v>
      </c>
      <c r="B27" s="250" t="s">
        <v>2199</v>
      </c>
      <c r="C27" s="251">
        <f ca="1">C28</f>
        <v>16333</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16333</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111994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32378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28527</v>
      </c>
      <c r="D34" s="223"/>
      <c r="E34" s="226"/>
      <c r="F34" s="263">
        <f ca="1">IF('数据-取费表'!B24=0,1,IF(B1="",'数据-取费表'!N16,INDIRECT("'数据-取费表'!n"&amp;$G$1)))</f>
        <v>1</v>
      </c>
      <c r="G34" s="225" t="s">
        <v>2212</v>
      </c>
    </row>
    <row r="35" spans="1:7" ht="13.5" customHeight="1">
      <c r="A35" s="888" t="s">
        <v>796</v>
      </c>
      <c r="B35" s="221" t="s">
        <v>2213</v>
      </c>
      <c r="C35" s="226">
        <f ca="1">ROUND(C34*F35,0)</f>
        <v>1141</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2282</v>
      </c>
      <c r="D37" s="223">
        <f ca="1">D19</f>
        <v>114107.98000000001</v>
      </c>
      <c r="E37" s="255">
        <f>'数据-取费表'!B35</f>
        <v>200</v>
      </c>
      <c r="F37" s="265"/>
      <c r="G37" s="267" t="s">
        <v>2218</v>
      </c>
    </row>
    <row r="38" spans="1:7" ht="13.5" customHeight="1">
      <c r="A38" s="888" t="s">
        <v>799</v>
      </c>
      <c r="B38" s="221" t="s">
        <v>2219</v>
      </c>
      <c r="C38" s="226">
        <f ca="1">ROUND(C34*F38,0)</f>
        <v>428</v>
      </c>
      <c r="D38" s="226"/>
      <c r="E38" s="226"/>
      <c r="F38" s="265">
        <f>'数据-取费表'!B36</f>
        <v>1.4999999999999999E-2</v>
      </c>
      <c r="G38" s="225" t="s">
        <v>2214</v>
      </c>
    </row>
    <row r="39" spans="1:7" s="220" customFormat="1" ht="13.5" customHeight="1">
      <c r="A39" s="261" t="s">
        <v>2220</v>
      </c>
      <c r="B39" s="216" t="s">
        <v>2221</v>
      </c>
      <c r="C39" s="238">
        <f ca="1">ROUND(C33*F20,0)</f>
        <v>648</v>
      </c>
      <c r="D39" s="238"/>
      <c r="E39" s="238"/>
      <c r="F39" s="2526">
        <f>F20</f>
        <v>0.02</v>
      </c>
      <c r="G39" s="240" t="s">
        <v>2222</v>
      </c>
    </row>
    <row r="40" spans="1:7" s="220" customFormat="1" ht="13.5" customHeight="1">
      <c r="A40" s="261" t="s">
        <v>2223</v>
      </c>
      <c r="B40" s="216" t="s">
        <v>2224</v>
      </c>
      <c r="C40" s="1495">
        <f>F21</f>
        <v>0.02</v>
      </c>
      <c r="D40" s="242" t="s">
        <v>2225</v>
      </c>
      <c r="E40" s="238"/>
      <c r="F40" s="2526">
        <f>F21</f>
        <v>0.02</v>
      </c>
      <c r="G40" s="240" t="s">
        <v>2226</v>
      </c>
    </row>
    <row r="41" spans="1:7" s="220" customFormat="1" ht="13.5" customHeight="1">
      <c r="A41" s="261" t="s">
        <v>2227</v>
      </c>
      <c r="B41" s="216" t="s">
        <v>2228</v>
      </c>
      <c r="C41" s="238">
        <f ca="1">ROUND(SUM(C42:C43),0)</f>
        <v>1060</v>
      </c>
      <c r="D41" s="241">
        <f>C44</f>
        <v>5.9999999999999995E-4</v>
      </c>
      <c r="E41" s="242" t="s">
        <v>2225</v>
      </c>
      <c r="F41" s="2527">
        <f>F22</f>
        <v>4.2999999999999997E-2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1039</v>
      </c>
      <c r="D42" s="244"/>
      <c r="E42" s="244"/>
      <c r="F42" s="245"/>
      <c r="G42" s="3282" t="s">
        <v>2230</v>
      </c>
    </row>
    <row r="43" spans="1:7" ht="13.5" customHeight="1">
      <c r="A43" s="888" t="s">
        <v>792</v>
      </c>
      <c r="B43" s="221" t="s">
        <v>2231</v>
      </c>
      <c r="C43" s="244">
        <f ca="1">ROUND(IF('数据-取费表'!B22&lt;=1,C39*F22*'数据-取费表'!B21/2,C39*(POWER((1+F22),'数据-取费表'!B21/2)-1)),0)</f>
        <v>21</v>
      </c>
      <c r="D43" s="244"/>
      <c r="E43" s="244"/>
      <c r="F43" s="245"/>
      <c r="G43" s="3283"/>
    </row>
    <row r="44" spans="1:7" ht="13.5" customHeight="1">
      <c r="A44" s="888" t="s">
        <v>793</v>
      </c>
      <c r="B44" s="221" t="s">
        <v>2232</v>
      </c>
      <c r="C44" s="244">
        <f>ROUND(IF('数据-取费表'!B22&lt;=1,C40*F22*'数据-取费表'!B21/2,C40*(POWER((1+F22),'数据-取费表'!B21/2)-1)),4)</f>
        <v>5.9999999999999995E-4</v>
      </c>
      <c r="D44" s="244"/>
      <c r="E44" s="244"/>
      <c r="F44" s="245"/>
      <c r="G44" s="3284"/>
    </row>
    <row r="45" spans="1:7" s="220" customFormat="1" ht="13.5" customHeight="1">
      <c r="A45" s="261" t="s">
        <v>2233</v>
      </c>
      <c r="B45" s="250" t="s">
        <v>2199</v>
      </c>
      <c r="C45" s="251">
        <f ca="1">C46</f>
        <v>6605</v>
      </c>
      <c r="D45" s="241">
        <f ca="1">C47</f>
        <v>4.0000000000000001E-3</v>
      </c>
      <c r="E45" s="242" t="s">
        <v>2225</v>
      </c>
      <c r="F45" s="2528">
        <f ca="1">F27</f>
        <v>0.2</v>
      </c>
      <c r="G45" s="253" t="s">
        <v>2234</v>
      </c>
    </row>
    <row r="46" spans="1:7" s="220" customFormat="1" ht="13.5" customHeight="1">
      <c r="A46" s="888" t="s">
        <v>791</v>
      </c>
      <c r="B46" s="254" t="s">
        <v>2235</v>
      </c>
      <c r="C46" s="255">
        <f ca="1">ROUND((C33+C39)*F27,0)</f>
        <v>6605</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27">
        <f>F30</f>
        <v>5.6000000000000001E-2</v>
      </c>
      <c r="G48" s="240" t="s">
        <v>2238</v>
      </c>
    </row>
    <row r="49" spans="1:7" ht="16.5" customHeight="1">
      <c r="A49" s="261" t="s">
        <v>2204</v>
      </c>
      <c r="B49" s="216" t="s">
        <v>2239</v>
      </c>
      <c r="C49" s="238">
        <f ca="1">ROUND((C33+C39+C41+C45)/(1-C40-D41-D45-C48),0)</f>
        <v>44129</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36186</v>
      </c>
      <c r="D51" s="238"/>
      <c r="E51" s="238"/>
      <c r="F51" s="270"/>
      <c r="G51" s="240" t="s">
        <v>2246</v>
      </c>
    </row>
    <row r="52" spans="1:7" s="214" customFormat="1" ht="16.5" thickBot="1">
      <c r="A52" s="271" t="s">
        <v>2247</v>
      </c>
      <c r="B52" s="272"/>
      <c r="C52" s="273">
        <f ca="1">C31+C51</f>
        <v>148180</v>
      </c>
      <c r="D52" s="272"/>
      <c r="E52" s="272"/>
      <c r="F52" s="272"/>
      <c r="G52" s="274"/>
    </row>
    <row r="55" spans="1:7" ht="15">
      <c r="B55" s="276" t="s">
        <v>2248</v>
      </c>
      <c r="C55" s="277"/>
    </row>
    <row r="56" spans="1:7">
      <c r="B56" s="279" t="s">
        <v>1478</v>
      </c>
      <c r="C56" s="281">
        <f ca="1">1-C57</f>
        <v>0.75600000000000001</v>
      </c>
    </row>
    <row r="57" spans="1:7">
      <c r="B57" s="279" t="s">
        <v>1479</v>
      </c>
      <c r="C57" s="280">
        <f ca="1">ROUND(C51/C52,3)</f>
        <v>0.24399999999999999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7">
        <f>MATCH(B1,'数据-取费表'!A6:A16,0)+5</f>
        <v>7</v>
      </c>
      <c r="H1" s="1192" t="str">
        <f>IF(ISERROR(FIND("住宅",B1)),"非住宅","住宅")</f>
        <v>非住宅</v>
      </c>
    </row>
    <row r="2" spans="1:8" s="206" customFormat="1" ht="18" customHeight="1">
      <c r="A2" s="207" t="s">
        <v>2148</v>
      </c>
      <c r="B2" s="208">
        <f ca="1">ROUND(IF(D2="——",C52/10000,C52/10000-E2),0)</f>
        <v>42569</v>
      </c>
      <c r="C2" s="205" t="s">
        <v>2149</v>
      </c>
      <c r="D2" s="2039" t="s">
        <v>70</v>
      </c>
      <c r="E2" s="1330"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3731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22821596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22821596</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22821596</v>
      </c>
      <c r="D10" s="954">
        <f ca="1">IF(B1="",'数据-汇总表'!E6,IF(INDIRECT("'数据-取费表'!c"&amp;$G$1)="住宅",INDIRECT("'数据-取费表'!s"&amp;$G$1),INDIRECT("'数据-取费表'!k"&amp;$G$1)+INDIRECT("'数据-取费表'!s"&amp;$G$1)))</f>
        <v>114107.98000000001</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22821596</v>
      </c>
      <c r="D19" s="958">
        <f ca="1">D9+D10</f>
        <v>114107.98000000001</v>
      </c>
      <c r="E19" s="217">
        <f>'数据-取费表'!B31</f>
        <v>200</v>
      </c>
      <c r="F19" s="237"/>
      <c r="G19" s="2042"/>
    </row>
    <row r="20" spans="1:7" s="220" customFormat="1" ht="13.5" customHeight="1">
      <c r="A20" s="261" t="s">
        <v>2260</v>
      </c>
      <c r="B20" s="216" t="s">
        <v>2261</v>
      </c>
      <c r="C20" s="238">
        <f ca="1">ROUND((C5+C19)*F20,0)</f>
        <v>912864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3004694</v>
      </c>
      <c r="D22" s="241">
        <f>C26</f>
        <v>5.9999999999999995E-4</v>
      </c>
      <c r="E22" s="242" t="s">
        <v>2265</v>
      </c>
      <c r="F22" s="243">
        <f>'数据-取费表'!B40</f>
        <v>4.2999999999999997E-2</v>
      </c>
      <c r="G22" s="240" t="str">
        <f>IF('数据-取费表'!B22&lt;=1,"单利计息","复利计息")</f>
        <v>复利计息</v>
      </c>
    </row>
    <row r="23" spans="1:7" s="220" customFormat="1" ht="13.5" customHeight="1">
      <c r="A23" s="888" t="s">
        <v>2158</v>
      </c>
      <c r="B23" s="221" t="s">
        <v>2269</v>
      </c>
      <c r="C23" s="1289">
        <f ca="1">ROUND(IF('数据-取费表'!B22&lt;=1,C5*F22*'数据-取费表'!B22,C5*(POWER((1+F22),'数据-取费表'!B22)-1)),0)</f>
        <v>1487705</v>
      </c>
      <c r="D23" s="244"/>
      <c r="E23" s="244"/>
      <c r="F23" s="245"/>
      <c r="G23" s="246" t="s">
        <v>2270</v>
      </c>
    </row>
    <row r="24" spans="1:7" s="220" customFormat="1" ht="13.5" customHeight="1">
      <c r="A24" s="888" t="s">
        <v>2160</v>
      </c>
      <c r="B24" s="221" t="s">
        <v>2271</v>
      </c>
      <c r="C24" s="1289">
        <f ca="1">ROUND(IF('数据-取费表'!B22&lt;=1,C19*F22*('数据-取费表'!B19/2+'数据-取费表'!B20),C19*(POWER((1+F22),('数据-取费表'!B19/2+'数据-取费表'!B20))-1)),0)</f>
        <v>1487705</v>
      </c>
      <c r="D24" s="244"/>
      <c r="E24" s="244"/>
      <c r="F24" s="245"/>
      <c r="G24" s="246" t="s">
        <v>2272</v>
      </c>
    </row>
    <row r="25" spans="1:7" s="220" customFormat="1" ht="24">
      <c r="A25" s="888" t="s">
        <v>2162</v>
      </c>
      <c r="B25" s="221" t="s">
        <v>2273</v>
      </c>
      <c r="C25" s="1289">
        <f ca="1">ROUND(IF('数据-取费表'!B22&lt;=1,C20*F22*'数据-取费表'!B22/2,C20*(POWER((1+F22),'数据-取费表'!B22/2)-1)),0)</f>
        <v>29284</v>
      </c>
      <c r="D25" s="244"/>
      <c r="E25" s="247"/>
      <c r="F25" s="245"/>
      <c r="G25" s="248" t="s">
        <v>2274</v>
      </c>
    </row>
    <row r="26" spans="1:7" s="220" customFormat="1">
      <c r="A26" s="888" t="s">
        <v>795</v>
      </c>
      <c r="B26" s="221" t="s">
        <v>2197</v>
      </c>
      <c r="C26" s="244">
        <f>ROUND(IF('数据-取费表'!B22&lt;=1,F21*F22*'数据-取费表'!B22/2,F21*(POWER((1+F22),'数据-取费表'!B22/2)-1)),4)</f>
        <v>5.9999999999999995E-4</v>
      </c>
      <c r="D26" s="244"/>
      <c r="E26" s="247"/>
      <c r="F26" s="245"/>
      <c r="G26" s="249"/>
    </row>
    <row r="27" spans="1:7" s="220" customFormat="1" ht="24.75">
      <c r="A27" s="261" t="s">
        <v>2198</v>
      </c>
      <c r="B27" s="250" t="s">
        <v>2199</v>
      </c>
      <c r="C27" s="251">
        <f ca="1">C28</f>
        <v>9311211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9311211</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63845528</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323781393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285269950</v>
      </c>
      <c r="D34" s="223"/>
      <c r="E34" s="226"/>
      <c r="F34" s="263"/>
      <c r="G34" s="225"/>
    </row>
    <row r="35" spans="1:7" ht="13.5" customHeight="1">
      <c r="A35" s="888" t="s">
        <v>796</v>
      </c>
      <c r="B35" s="221" t="s">
        <v>2213</v>
      </c>
      <c r="C35" s="226">
        <f ca="1">ROUND(C34*F35,0)</f>
        <v>11410798</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22821596</v>
      </c>
      <c r="D37" s="223">
        <f ca="1">D19</f>
        <v>114107.98000000001</v>
      </c>
      <c r="E37" s="255">
        <f>'数据-取费表'!B35</f>
        <v>200</v>
      </c>
      <c r="F37" s="265"/>
      <c r="G37" s="267"/>
    </row>
    <row r="38" spans="1:7" ht="13.5" customHeight="1">
      <c r="A38" s="888" t="s">
        <v>799</v>
      </c>
      <c r="B38" s="221" t="s">
        <v>2219</v>
      </c>
      <c r="C38" s="226">
        <f ca="1">ROUND(C34*F38,0)</f>
        <v>4279049</v>
      </c>
      <c r="D38" s="226"/>
      <c r="E38" s="226"/>
      <c r="F38" s="265">
        <f>'数据-取费表'!B36</f>
        <v>1.4999999999999999E-2</v>
      </c>
      <c r="G38" s="225" t="s">
        <v>2214</v>
      </c>
    </row>
    <row r="39" spans="1:7" s="220" customFormat="1" ht="13.5" customHeight="1">
      <c r="A39" s="261" t="s">
        <v>2220</v>
      </c>
      <c r="B39" s="216" t="s">
        <v>2221</v>
      </c>
      <c r="C39" s="238">
        <f ca="1">ROUND(C33*F20,0)</f>
        <v>6475628</v>
      </c>
      <c r="D39" s="238"/>
      <c r="E39" s="238"/>
      <c r="F39" s="2526">
        <f>F20</f>
        <v>0.02</v>
      </c>
      <c r="G39" s="240" t="s">
        <v>2222</v>
      </c>
    </row>
    <row r="40" spans="1:7" s="220" customFormat="1" ht="13.5" customHeight="1">
      <c r="A40" s="261" t="s">
        <v>2223</v>
      </c>
      <c r="B40" s="216" t="s">
        <v>2224</v>
      </c>
      <c r="C40" s="1495">
        <f>F21</f>
        <v>0.02</v>
      </c>
      <c r="D40" s="242" t="s">
        <v>2225</v>
      </c>
      <c r="E40" s="238"/>
      <c r="F40" s="2526">
        <f>F21</f>
        <v>0.02</v>
      </c>
      <c r="G40" s="240" t="s">
        <v>2226</v>
      </c>
    </row>
    <row r="41" spans="1:7" s="220" customFormat="1" ht="13.5" customHeight="1">
      <c r="A41" s="261" t="s">
        <v>2227</v>
      </c>
      <c r="B41" s="216" t="s">
        <v>2228</v>
      </c>
      <c r="C41" s="238">
        <f ca="1">ROUND(SUM(C42:C43),0)</f>
        <v>10594542</v>
      </c>
      <c r="D41" s="241">
        <f>C44</f>
        <v>5.9999999999999995E-4</v>
      </c>
      <c r="E41" s="242" t="s">
        <v>2225</v>
      </c>
      <c r="F41" s="2527">
        <f>F22</f>
        <v>4.2999999999999997E-2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10386806</v>
      </c>
      <c r="D42" s="244"/>
      <c r="E42" s="244"/>
      <c r="F42" s="245"/>
      <c r="G42" s="3282" t="s">
        <v>2277</v>
      </c>
    </row>
    <row r="43" spans="1:7" ht="13.5" customHeight="1">
      <c r="A43" s="888" t="s">
        <v>792</v>
      </c>
      <c r="B43" s="221" t="s">
        <v>2231</v>
      </c>
      <c r="C43" s="244">
        <f ca="1">ROUND(IF('数据-取费表'!B22&lt;=1,C39*F22*'数据-取费表'!B20/2,C39*(POWER((1+F22),'数据-取费表'!B20/2)-1)),0)</f>
        <v>207736</v>
      </c>
      <c r="D43" s="244"/>
      <c r="E43" s="244"/>
      <c r="F43" s="245"/>
      <c r="G43" s="3283"/>
    </row>
    <row r="44" spans="1:7" ht="13.5" customHeight="1">
      <c r="A44" s="888" t="s">
        <v>793</v>
      </c>
      <c r="B44" s="221" t="s">
        <v>2232</v>
      </c>
      <c r="C44" s="244">
        <f>ROUND(IF('数据-取费表'!B22&lt;=1,C40*F22*'数据-取费表'!B20/2,C40*(POWER((1+F22),'数据-取费表'!B20/2)-1)),4)</f>
        <v>5.9999999999999995E-4</v>
      </c>
      <c r="D44" s="244"/>
      <c r="E44" s="244"/>
      <c r="F44" s="245"/>
      <c r="G44" s="3284"/>
    </row>
    <row r="45" spans="1:7" s="220" customFormat="1" ht="13.5" customHeight="1">
      <c r="A45" s="261" t="s">
        <v>2233</v>
      </c>
      <c r="B45" s="250" t="s">
        <v>2199</v>
      </c>
      <c r="C45" s="251">
        <f ca="1">C46</f>
        <v>66051404</v>
      </c>
      <c r="D45" s="241">
        <f ca="1">C47</f>
        <v>4.0000000000000001E-3</v>
      </c>
      <c r="E45" s="242" t="s">
        <v>2225</v>
      </c>
      <c r="F45" s="2528">
        <f ca="1">F27</f>
        <v>0.2</v>
      </c>
      <c r="G45" s="253" t="s">
        <v>2234</v>
      </c>
    </row>
    <row r="46" spans="1:7" s="220" customFormat="1" ht="13.5" customHeight="1">
      <c r="A46" s="888" t="s">
        <v>791</v>
      </c>
      <c r="B46" s="254" t="s">
        <v>2235</v>
      </c>
      <c r="C46" s="255">
        <f ca="1">ROUND((C33+C39)*F27,0)</f>
        <v>66051404</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27">
        <f>F30</f>
        <v>5.6000000000000001E-2</v>
      </c>
      <c r="G48" s="240" t="s">
        <v>2238</v>
      </c>
    </row>
    <row r="49" spans="1:7" ht="16.5" customHeight="1">
      <c r="A49" s="261" t="s">
        <v>2204</v>
      </c>
      <c r="B49" s="216" t="s">
        <v>2278</v>
      </c>
      <c r="C49" s="238">
        <f ca="1">ROUND((C33+C39+C41+C45)/(1-C40-D41-D45-C48),0)</f>
        <v>441278567</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361848425</v>
      </c>
      <c r="D51" s="238"/>
      <c r="E51" s="238"/>
      <c r="F51" s="270"/>
      <c r="G51" s="240" t="s">
        <v>2246</v>
      </c>
    </row>
    <row r="52" spans="1:7" s="214" customFormat="1" ht="16.5" thickBot="1">
      <c r="A52" s="271" t="s">
        <v>2247</v>
      </c>
      <c r="B52" s="272"/>
      <c r="C52" s="273">
        <f ca="1">C31+C51</f>
        <v>425693953</v>
      </c>
      <c r="D52" s="272"/>
      <c r="E52" s="272"/>
      <c r="F52" s="272"/>
      <c r="G52" s="274"/>
    </row>
    <row r="55" spans="1:7" ht="15">
      <c r="B55" s="276" t="s">
        <v>2248</v>
      </c>
      <c r="C55" s="277"/>
    </row>
    <row r="56" spans="1:7">
      <c r="B56" s="279" t="s">
        <v>1478</v>
      </c>
      <c r="C56" s="281">
        <f ca="1">1-C57</f>
        <v>0.15000000000000002</v>
      </c>
    </row>
    <row r="57" spans="1:7">
      <c r="B57" s="279" t="s">
        <v>1479</v>
      </c>
      <c r="C57" s="280">
        <f ca="1">ROUND(C51/C52,3)</f>
        <v>0.85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28"/>
      <c r="F1" s="3028"/>
      <c r="G1" s="2891"/>
      <c r="H1" s="3028"/>
      <c r="I1" s="3028"/>
      <c r="J1" s="3028"/>
      <c r="K1" s="3029">
        <f>MATCH(C1,'数据-取费表'!A6:A16,0)+5</f>
        <v>7</v>
      </c>
    </row>
    <row r="2" spans="1:33" ht="18" customHeight="1">
      <c r="A2" s="207" t="s">
        <v>2148</v>
      </c>
      <c r="B2" s="210">
        <f ca="1">C32</f>
        <v>0</v>
      </c>
      <c r="C2" s="282" t="s">
        <v>2281</v>
      </c>
      <c r="D2" s="282"/>
      <c r="E2" s="3028"/>
      <c r="F2" s="3028"/>
      <c r="G2" s="3028"/>
      <c r="H2" s="3028"/>
      <c r="I2" s="3028"/>
      <c r="J2" s="3028"/>
      <c r="K2" s="3028"/>
    </row>
    <row r="3" spans="1:33" ht="18" customHeight="1" thickBot="1">
      <c r="A3" s="209" t="s">
        <v>2150</v>
      </c>
      <c r="B3" s="210">
        <f ca="1">ROUND(B2*10000/IF(C1="",'数据-汇总表'!E3,INDIRECT("'数据-取费表'!K"&amp;$K$1)),0)</f>
        <v>0</v>
      </c>
      <c r="C3" s="282" t="s">
        <v>2282</v>
      </c>
      <c r="D3" s="282"/>
      <c r="E3" s="3028"/>
      <c r="F3" s="3028"/>
      <c r="G3" s="3028"/>
      <c r="H3" s="3028"/>
      <c r="I3" s="3028"/>
      <c r="J3" s="3028"/>
      <c r="K3" s="302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114107.98000000001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114107.98000000001</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8"/>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0"/>
      <c r="I19" s="918"/>
      <c r="J19" s="918"/>
      <c r="K19" s="919"/>
    </row>
    <row r="20" spans="1:33" s="912" customFormat="1" ht="13.5" customHeight="1">
      <c r="A20" s="908" t="s">
        <v>806</v>
      </c>
      <c r="B20" s="909" t="s">
        <v>2316</v>
      </c>
      <c r="C20" s="24">
        <f ca="1">ROUND(D20*E20/10000,0)</f>
        <v>2282</v>
      </c>
      <c r="D20" s="955">
        <f ca="1">IF(C1="",'数据-汇总表'!E6,IF(INDIRECT("'数据-取费表'!c"&amp;$K$1)="住宅",INDIRECT("'数据-取费表'!s"&amp;$K$1),INDIRECT("'数据-取费表'!k"&amp;$K$1)+INDIRECT("'数据-取费表'!s"&amp;$K$1)))</f>
        <v>114107.98000000001</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5">
        <f ca="1">C27</f>
        <v>0</v>
      </c>
      <c r="D25" s="286">
        <f>C26</f>
        <v>0</v>
      </c>
      <c r="E25" s="288" t="s">
        <v>15</v>
      </c>
      <c r="F25" s="289">
        <f>'数据-取费表'!B40</f>
        <v>4.2999999999999997E-2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6">
        <f>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30" ht="15">
      <c r="A4" s="361" t="s">
        <v>2466</v>
      </c>
      <c r="B4" s="362"/>
      <c r="C4" s="3303" t="s">
        <v>2467</v>
      </c>
      <c r="D4" s="3304"/>
      <c r="E4" s="3305" t="s">
        <v>2468</v>
      </c>
      <c r="F4" s="3306"/>
      <c r="G4" s="3303" t="s">
        <v>2469</v>
      </c>
      <c r="H4" s="3304"/>
      <c r="I4" s="3303" t="s">
        <v>2470</v>
      </c>
      <c r="J4" s="3304"/>
      <c r="K4" s="567" t="s">
        <v>2471</v>
      </c>
      <c r="L4" s="2935"/>
      <c r="M4" s="2936"/>
      <c r="N4" s="2936"/>
      <c r="O4" s="2936"/>
      <c r="P4" s="3307" t="s">
        <v>2472</v>
      </c>
      <c r="Q4" s="3308"/>
      <c r="R4" s="3290" t="s">
        <v>2468</v>
      </c>
      <c r="S4" s="3291"/>
      <c r="T4" s="3290" t="s">
        <v>2469</v>
      </c>
      <c r="U4" s="3291"/>
      <c r="V4" s="3315" t="s">
        <v>2470</v>
      </c>
      <c r="W4" s="3315"/>
      <c r="X4" s="1539"/>
      <c r="Y4" s="3290" t="s">
        <v>2472</v>
      </c>
      <c r="Z4" s="3291"/>
      <c r="AA4" s="3285" t="s">
        <v>2468</v>
      </c>
      <c r="AB4" s="3286" t="s">
        <v>2469</v>
      </c>
      <c r="AC4" s="3285" t="s">
        <v>2470</v>
      </c>
    </row>
    <row r="5" spans="1:30" ht="15">
      <c r="A5" s="364"/>
      <c r="B5" s="365"/>
      <c r="C5" s="3296" t="s">
        <v>2363</v>
      </c>
      <c r="D5" s="3297"/>
      <c r="E5" s="3294" t="s">
        <v>2364</v>
      </c>
      <c r="F5" s="3295"/>
      <c r="G5" s="3296" t="s">
        <v>2365</v>
      </c>
      <c r="H5" s="3297"/>
      <c r="I5" s="3296" t="s">
        <v>2366</v>
      </c>
      <c r="J5" s="3297"/>
      <c r="K5" s="567"/>
      <c r="L5" s="2935"/>
      <c r="M5" s="2936"/>
      <c r="N5" s="2936"/>
      <c r="O5" s="2936"/>
      <c r="P5" s="3309"/>
      <c r="Q5" s="3310"/>
      <c r="R5" s="3292"/>
      <c r="S5" s="3293"/>
      <c r="T5" s="3292"/>
      <c r="U5" s="3293"/>
      <c r="V5" s="3315"/>
      <c r="W5" s="3315"/>
      <c r="X5" s="1539"/>
      <c r="Y5" s="3292"/>
      <c r="Z5" s="3293"/>
      <c r="AA5" s="3286"/>
      <c r="AB5" s="3286"/>
      <c r="AC5" s="3286"/>
    </row>
    <row r="6" spans="1:30" ht="15.75" thickBot="1">
      <c r="A6" s="366"/>
      <c r="B6" s="367"/>
      <c r="C6" s="3298" t="s">
        <v>2367</v>
      </c>
      <c r="D6" s="3299"/>
      <c r="E6" s="3300" t="s">
        <v>2367</v>
      </c>
      <c r="F6" s="3301"/>
      <c r="G6" s="3298" t="s">
        <v>2367</v>
      </c>
      <c r="H6" s="3299"/>
      <c r="I6" s="3298" t="s">
        <v>2367</v>
      </c>
      <c r="J6" s="3299"/>
      <c r="K6" s="567" t="s">
        <v>2368</v>
      </c>
      <c r="L6" s="2935"/>
      <c r="M6" s="2936"/>
      <c r="N6" s="2936"/>
      <c r="O6" s="2936"/>
      <c r="P6" s="3311"/>
      <c r="Q6" s="3312"/>
      <c r="R6" s="3292"/>
      <c r="S6" s="3293"/>
      <c r="T6" s="3313"/>
      <c r="U6" s="3314"/>
      <c r="V6" s="3315"/>
      <c r="W6" s="3315"/>
      <c r="X6" s="1539"/>
      <c r="Y6" s="3313"/>
      <c r="Z6" s="3314"/>
      <c r="AA6" s="3287"/>
      <c r="AB6" s="3287"/>
      <c r="AC6" s="3287"/>
    </row>
    <row r="7" spans="1:30" s="113" customFormat="1" ht="15.75" thickBot="1">
      <c r="A7" s="368" t="s">
        <v>2369</v>
      </c>
      <c r="B7" s="369"/>
      <c r="C7" s="370">
        <f>'数据-取费表'!B2</f>
        <v>44580</v>
      </c>
      <c r="D7" s="371">
        <v>100</v>
      </c>
      <c r="E7" s="372"/>
      <c r="F7" s="373">
        <f>SUMIF(70:70,YEAR(E7)&amp;"-"&amp;INT((MONTH(E7)+2)/3),71:71)</f>
        <v>0</v>
      </c>
      <c r="G7" s="2160"/>
      <c r="H7" s="371">
        <f>SUMIF(70:70,YEAR(G7)&amp;"-"&amp;INT((MONTH(G7)+2)/3),71:71)</f>
        <v>0</v>
      </c>
      <c r="I7" s="2160"/>
      <c r="J7" s="371">
        <f>SUMIF(70:70,YEAR(I7)&amp;"-"&amp;INT((MONTH(I7)+2)/3),71:71)</f>
        <v>0</v>
      </c>
      <c r="K7" s="568"/>
      <c r="L7" s="2937"/>
      <c r="M7" s="2938"/>
      <c r="N7" s="2938"/>
      <c r="O7" s="2938"/>
      <c r="P7" s="3288" t="s">
        <v>2370</v>
      </c>
      <c r="Q7" s="3316"/>
      <c r="R7" s="710" t="s">
        <v>17</v>
      </c>
      <c r="S7" s="711">
        <f t="shared" ref="S7:S15" si="0">F7</f>
        <v>0</v>
      </c>
      <c r="T7" s="710" t="s">
        <v>17</v>
      </c>
      <c r="U7" s="711">
        <f t="shared" ref="U7:U15" si="1">H7</f>
        <v>0</v>
      </c>
      <c r="V7" s="710" t="s">
        <v>17</v>
      </c>
      <c r="W7" s="711">
        <f t="shared" ref="W7:W15" si="2">J7</f>
        <v>0</v>
      </c>
      <c r="X7" s="712"/>
      <c r="Y7" s="3288" t="s">
        <v>2370</v>
      </c>
      <c r="Z7" s="3289"/>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7"/>
      <c r="M8" s="2938"/>
      <c r="N8" s="2938"/>
      <c r="O8" s="2938"/>
      <c r="P8" s="3288" t="s">
        <v>2373</v>
      </c>
      <c r="Q8" s="3289"/>
      <c r="R8" s="710" t="s">
        <v>17</v>
      </c>
      <c r="S8" s="711">
        <f t="shared" si="0"/>
        <v>0</v>
      </c>
      <c r="T8" s="710" t="s">
        <v>17</v>
      </c>
      <c r="U8" s="711">
        <f t="shared" si="1"/>
        <v>0</v>
      </c>
      <c r="V8" s="710" t="s">
        <v>17</v>
      </c>
      <c r="W8" s="711">
        <f t="shared" si="2"/>
        <v>0</v>
      </c>
      <c r="X8" s="712"/>
      <c r="Y8" s="3288" t="s">
        <v>2373</v>
      </c>
      <c r="Z8" s="3289"/>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37"/>
      <c r="M9" s="2938"/>
      <c r="N9" s="2938"/>
      <c r="O9" s="2992"/>
      <c r="P9" s="3302" t="s">
        <v>2376</v>
      </c>
      <c r="Q9" s="1527" t="str">
        <f t="shared" ref="Q9:Q15" si="6">B9</f>
        <v>用途</v>
      </c>
      <c r="R9" s="710" t="s">
        <v>17</v>
      </c>
      <c r="S9" s="711">
        <f t="shared" si="0"/>
        <v>100</v>
      </c>
      <c r="T9" s="710" t="s">
        <v>17</v>
      </c>
      <c r="U9" s="711">
        <f t="shared" si="1"/>
        <v>100</v>
      </c>
      <c r="V9" s="710" t="s">
        <v>17</v>
      </c>
      <c r="W9" s="711">
        <f t="shared" si="2"/>
        <v>100</v>
      </c>
      <c r="X9" s="712"/>
      <c r="Y9" s="325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39"/>
      <c r="M10" s="2940"/>
      <c r="N10" s="2940"/>
      <c r="O10" s="2993"/>
      <c r="P10" s="3302"/>
      <c r="Q10" s="1527" t="str">
        <f t="shared" si="6"/>
        <v>土地使用年限（年）</v>
      </c>
      <c r="R10" s="710" t="s">
        <v>17</v>
      </c>
      <c r="S10" s="711">
        <f t="shared" si="0"/>
        <v>112</v>
      </c>
      <c r="T10" s="710" t="s">
        <v>17</v>
      </c>
      <c r="U10" s="711">
        <f t="shared" si="1"/>
        <v>112</v>
      </c>
      <c r="V10" s="710" t="s">
        <v>17</v>
      </c>
      <c r="W10" s="711">
        <f t="shared" si="2"/>
        <v>112</v>
      </c>
      <c r="X10" s="712"/>
      <c r="Y10" s="3258"/>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1"/>
      <c r="M11" s="2936"/>
      <c r="N11" s="2936"/>
      <c r="O11" s="2994"/>
      <c r="P11" s="3302"/>
      <c r="Q11" s="1527" t="str">
        <f t="shared" si="6"/>
        <v>容积率</v>
      </c>
      <c r="R11" s="710" t="s">
        <v>17</v>
      </c>
      <c r="S11" s="711" t="e">
        <f t="shared" si="0"/>
        <v>#N/A</v>
      </c>
      <c r="T11" s="710" t="s">
        <v>17</v>
      </c>
      <c r="U11" s="711" t="e">
        <f t="shared" si="1"/>
        <v>#N/A</v>
      </c>
      <c r="V11" s="710" t="s">
        <v>17</v>
      </c>
      <c r="W11" s="711" t="e">
        <f t="shared" si="2"/>
        <v>#N/A</v>
      </c>
      <c r="X11" s="712"/>
      <c r="Y11" s="3258"/>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37"/>
      <c r="M12" s="2938"/>
      <c r="N12" s="2938"/>
      <c r="O12" s="2992"/>
      <c r="P12" s="3302"/>
      <c r="Q12" s="1527" t="str">
        <f t="shared" si="6"/>
        <v>配建</v>
      </c>
      <c r="R12" s="710" t="s">
        <v>17</v>
      </c>
      <c r="S12" s="711">
        <f t="shared" si="0"/>
        <v>100</v>
      </c>
      <c r="T12" s="710" t="s">
        <v>17</v>
      </c>
      <c r="U12" s="711">
        <f t="shared" si="1"/>
        <v>100</v>
      </c>
      <c r="V12" s="710" t="s">
        <v>17</v>
      </c>
      <c r="W12" s="711">
        <f t="shared" si="2"/>
        <v>100</v>
      </c>
      <c r="X12" s="712"/>
      <c r="Y12" s="325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302"/>
      <c r="Q13" s="1527">
        <f t="shared" si="6"/>
        <v>111</v>
      </c>
      <c r="R13" s="710" t="s">
        <v>17</v>
      </c>
      <c r="S13" s="711">
        <f t="shared" si="0"/>
        <v>100</v>
      </c>
      <c r="T13" s="710" t="s">
        <v>17</v>
      </c>
      <c r="U13" s="711">
        <f t="shared" si="1"/>
        <v>100</v>
      </c>
      <c r="V13" s="710" t="s">
        <v>17</v>
      </c>
      <c r="W13" s="711">
        <f t="shared" si="2"/>
        <v>100</v>
      </c>
      <c r="X13" s="712"/>
      <c r="Y13" s="325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302"/>
      <c r="Q14" s="1527">
        <f t="shared" si="6"/>
        <v>111</v>
      </c>
      <c r="R14" s="710" t="s">
        <v>17</v>
      </c>
      <c r="S14" s="711">
        <f t="shared" si="0"/>
        <v>100</v>
      </c>
      <c r="T14" s="710" t="s">
        <v>17</v>
      </c>
      <c r="U14" s="711">
        <f t="shared" si="1"/>
        <v>100</v>
      </c>
      <c r="V14" s="710" t="s">
        <v>17</v>
      </c>
      <c r="W14" s="711">
        <f t="shared" si="2"/>
        <v>100</v>
      </c>
      <c r="X14" s="712"/>
      <c r="Y14" s="3258"/>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2"/>
      <c r="M15" s="2936"/>
      <c r="N15" s="2936"/>
      <c r="O15" s="2994"/>
      <c r="P15" s="3317" t="s">
        <v>2381</v>
      </c>
      <c r="Q15" s="1536" t="str">
        <f t="shared" si="6"/>
        <v>居住社区成熟度</v>
      </c>
      <c r="R15" s="714" t="s">
        <v>17</v>
      </c>
      <c r="S15" s="715">
        <f t="shared" si="0"/>
        <v>100</v>
      </c>
      <c r="T15" s="714" t="s">
        <v>17</v>
      </c>
      <c r="U15" s="715">
        <f t="shared" si="1"/>
        <v>100</v>
      </c>
      <c r="V15" s="714" t="s">
        <v>17</v>
      </c>
      <c r="W15" s="715">
        <f t="shared" si="2"/>
        <v>100</v>
      </c>
      <c r="X15" s="1539"/>
      <c r="Y15" s="3317"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2"/>
      <c r="M16" s="2936"/>
      <c r="N16" s="2936"/>
      <c r="O16" s="2994"/>
      <c r="P16" s="3318"/>
      <c r="Q16" s="1536"/>
      <c r="R16" s="714"/>
      <c r="S16" s="715"/>
      <c r="T16" s="714"/>
      <c r="U16" s="715"/>
      <c r="V16" s="714"/>
      <c r="W16" s="715"/>
      <c r="X16" s="1539"/>
      <c r="Y16" s="3318"/>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318"/>
      <c r="Q17" s="1536" t="str">
        <f>B17</f>
        <v>商业繁华度</v>
      </c>
      <c r="R17" s="714" t="s">
        <v>17</v>
      </c>
      <c r="S17" s="715">
        <f>F17</f>
        <v>100</v>
      </c>
      <c r="T17" s="714" t="s">
        <v>17</v>
      </c>
      <c r="U17" s="715">
        <f>H17</f>
        <v>100</v>
      </c>
      <c r="V17" s="714" t="s">
        <v>17</v>
      </c>
      <c r="W17" s="715">
        <f>J17</f>
        <v>100</v>
      </c>
      <c r="X17" s="1539"/>
      <c r="Y17" s="3318"/>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2"/>
      <c r="M18" s="2936"/>
      <c r="N18" s="2936"/>
      <c r="O18" s="2994"/>
      <c r="P18" s="3318"/>
      <c r="Q18" s="1536"/>
      <c r="R18" s="714"/>
      <c r="S18" s="715"/>
      <c r="T18" s="714"/>
      <c r="U18" s="715"/>
      <c r="V18" s="714"/>
      <c r="W18" s="715"/>
      <c r="X18" s="1539"/>
      <c r="Y18" s="3318"/>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318"/>
      <c r="Q19" s="1536" t="str">
        <f>B19</f>
        <v>办公集聚程度</v>
      </c>
      <c r="R19" s="714" t="s">
        <v>17</v>
      </c>
      <c r="S19" s="715">
        <f>F19</f>
        <v>100</v>
      </c>
      <c r="T19" s="714" t="s">
        <v>17</v>
      </c>
      <c r="U19" s="715">
        <f>H19</f>
        <v>100</v>
      </c>
      <c r="V19" s="714" t="s">
        <v>17</v>
      </c>
      <c r="W19" s="715">
        <f>J19</f>
        <v>100</v>
      </c>
      <c r="X19" s="1539"/>
      <c r="Y19" s="3318"/>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2"/>
      <c r="M20" s="2936"/>
      <c r="N20" s="2936"/>
      <c r="O20" s="2994"/>
      <c r="P20" s="3318"/>
      <c r="Q20" s="1536"/>
      <c r="R20" s="714"/>
      <c r="S20" s="715"/>
      <c r="T20" s="714"/>
      <c r="U20" s="715"/>
      <c r="V20" s="714"/>
      <c r="W20" s="715"/>
      <c r="X20" s="1539"/>
      <c r="Y20" s="3318"/>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2"/>
      <c r="M21" s="2936"/>
      <c r="N21" s="2936"/>
      <c r="O21" s="2994"/>
      <c r="P21" s="3318"/>
      <c r="Q21" s="1536" t="str">
        <f>B21</f>
        <v>交通便捷度</v>
      </c>
      <c r="R21" s="714" t="s">
        <v>17</v>
      </c>
      <c r="S21" s="715">
        <f>F21</f>
        <v>100</v>
      </c>
      <c r="T21" s="714" t="s">
        <v>17</v>
      </c>
      <c r="U21" s="715">
        <f>H21</f>
        <v>100</v>
      </c>
      <c r="V21" s="714" t="s">
        <v>17</v>
      </c>
      <c r="W21" s="715">
        <f>J21</f>
        <v>100</v>
      </c>
      <c r="X21" s="1539"/>
      <c r="Y21" s="3318"/>
      <c r="Z21" s="1540" t="str">
        <f>Q21</f>
        <v>交通便捷度</v>
      </c>
      <c r="AA21" s="1537">
        <f t="shared" si="3"/>
        <v>1</v>
      </c>
      <c r="AB21" s="1537">
        <f t="shared" si="4"/>
        <v>1</v>
      </c>
      <c r="AC21" s="1537">
        <f t="shared" si="5"/>
        <v>1</v>
      </c>
    </row>
    <row r="22" spans="1:29" ht="15">
      <c r="A22" s="387"/>
      <c r="B22" s="1292"/>
      <c r="C22" s="406"/>
      <c r="D22" s="409"/>
      <c r="E22" s="2084"/>
      <c r="F22" s="407"/>
      <c r="G22" s="2084"/>
      <c r="H22" s="407"/>
      <c r="I22" s="2083"/>
      <c r="J22" s="407"/>
      <c r="K22" s="628"/>
      <c r="L22" s="2942"/>
      <c r="M22" s="2936"/>
      <c r="N22" s="2936"/>
      <c r="O22" s="2994"/>
      <c r="P22" s="3318"/>
      <c r="Q22" s="1536"/>
      <c r="R22" s="714"/>
      <c r="S22" s="715"/>
      <c r="T22" s="714"/>
      <c r="U22" s="715"/>
      <c r="V22" s="714"/>
      <c r="W22" s="715"/>
      <c r="X22" s="1539"/>
      <c r="Y22" s="3318"/>
      <c r="Z22" s="1540"/>
      <c r="AA22" s="1537">
        <v>1</v>
      </c>
      <c r="AB22" s="1537">
        <v>1</v>
      </c>
      <c r="AC22" s="1537">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2"/>
      <c r="M23" s="2936"/>
      <c r="N23" s="2936"/>
      <c r="O23" s="2994"/>
      <c r="P23" s="3318"/>
      <c r="Q23" s="1536" t="str">
        <f t="shared" ref="Q23:Q37" si="8">B23</f>
        <v>区域土地利用方向</v>
      </c>
      <c r="R23" s="714" t="s">
        <v>17</v>
      </c>
      <c r="S23" s="715">
        <f>F23</f>
        <v>100</v>
      </c>
      <c r="T23" s="714" t="s">
        <v>17</v>
      </c>
      <c r="U23" s="715">
        <f>H23</f>
        <v>100</v>
      </c>
      <c r="V23" s="714" t="s">
        <v>17</v>
      </c>
      <c r="W23" s="715">
        <f>J23</f>
        <v>100</v>
      </c>
      <c r="X23" s="1539"/>
      <c r="Y23" s="3318"/>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2"/>
      <c r="M24" s="2936"/>
      <c r="N24" s="2936"/>
      <c r="O24" s="2994"/>
      <c r="P24" s="3318"/>
      <c r="Q24" s="1536"/>
      <c r="R24" s="714"/>
      <c r="S24" s="715"/>
      <c r="T24" s="714"/>
      <c r="U24" s="715"/>
      <c r="V24" s="714"/>
      <c r="W24" s="715"/>
      <c r="X24" s="1539"/>
      <c r="Y24" s="3318"/>
      <c r="Z24" s="1540"/>
      <c r="AA24" s="1537"/>
      <c r="AB24" s="1537"/>
      <c r="AC24" s="1537"/>
    </row>
    <row r="25" spans="1:29" ht="57">
      <c r="A25" s="364"/>
      <c r="B25" s="1292"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2"/>
      <c r="M25" s="2936"/>
      <c r="N25" s="2936"/>
      <c r="O25" s="2994"/>
      <c r="P25" s="3318"/>
      <c r="Q25" s="1536" t="str">
        <f t="shared" si="8"/>
        <v>自然及人文环境状况</v>
      </c>
      <c r="R25" s="714" t="s">
        <v>17</v>
      </c>
      <c r="S25" s="715">
        <f>F25</f>
        <v>100</v>
      </c>
      <c r="T25" s="714" t="s">
        <v>17</v>
      </c>
      <c r="U25" s="715">
        <f>H25</f>
        <v>100</v>
      </c>
      <c r="V25" s="714" t="s">
        <v>17</v>
      </c>
      <c r="W25" s="715">
        <f>J25</f>
        <v>100</v>
      </c>
      <c r="X25" s="1539"/>
      <c r="Y25" s="3318"/>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2"/>
      <c r="M26" s="2936"/>
      <c r="N26" s="2936"/>
      <c r="O26" s="2994"/>
      <c r="P26" s="3318"/>
      <c r="Q26" s="1536"/>
      <c r="R26" s="714"/>
      <c r="S26" s="715"/>
      <c r="T26" s="714"/>
      <c r="U26" s="715"/>
      <c r="V26" s="714"/>
      <c r="W26" s="715"/>
      <c r="X26" s="1539"/>
      <c r="Y26" s="3318"/>
      <c r="Z26" s="1540"/>
      <c r="AA26" s="1537">
        <v>1</v>
      </c>
      <c r="AB26" s="1537">
        <v>1</v>
      </c>
      <c r="AC26" s="1537">
        <v>1</v>
      </c>
    </row>
    <row r="27" spans="1:29" s="113" customFormat="1" ht="42.75">
      <c r="A27" s="605"/>
      <c r="B27" s="1292"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7"/>
      <c r="M27" s="2938"/>
      <c r="N27" s="2938"/>
      <c r="O27" s="2992"/>
      <c r="P27" s="3318"/>
      <c r="Q27" s="1527" t="str">
        <f t="shared" si="8"/>
        <v>公共配套设施</v>
      </c>
      <c r="R27" s="710" t="s">
        <v>17</v>
      </c>
      <c r="S27" s="711">
        <f>F27</f>
        <v>100</v>
      </c>
      <c r="T27" s="710" t="s">
        <v>17</v>
      </c>
      <c r="U27" s="711">
        <f>H27</f>
        <v>100</v>
      </c>
      <c r="V27" s="710" t="s">
        <v>17</v>
      </c>
      <c r="W27" s="711">
        <f>J27</f>
        <v>100</v>
      </c>
      <c r="X27" s="712"/>
      <c r="Y27" s="3318"/>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7"/>
      <c r="M28" s="2938"/>
      <c r="N28" s="2938"/>
      <c r="O28" s="2992"/>
      <c r="P28" s="3318"/>
      <c r="Q28" s="1527"/>
      <c r="R28" s="710"/>
      <c r="S28" s="711"/>
      <c r="T28" s="710"/>
      <c r="U28" s="711"/>
      <c r="V28" s="710"/>
      <c r="W28" s="711"/>
      <c r="X28" s="712"/>
      <c r="Y28" s="3318"/>
      <c r="Z28" s="55"/>
      <c r="AA28" s="1537">
        <v>1</v>
      </c>
      <c r="AB28" s="1537">
        <v>1</v>
      </c>
      <c r="AC28" s="1537">
        <v>1</v>
      </c>
    </row>
    <row r="29" spans="1:29" s="113" customFormat="1" ht="28.5">
      <c r="A29" s="605"/>
      <c r="B29" s="1292"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7"/>
      <c r="M29" s="2938"/>
      <c r="N29" s="2938"/>
      <c r="O29" s="2992"/>
      <c r="P29" s="3318"/>
      <c r="Q29" s="1527" t="str">
        <f t="shared" ref="Q29" si="9">B29</f>
        <v>基础设施水平</v>
      </c>
      <c r="R29" s="710" t="s">
        <v>17</v>
      </c>
      <c r="S29" s="711">
        <f>F29</f>
        <v>100</v>
      </c>
      <c r="T29" s="710" t="s">
        <v>17</v>
      </c>
      <c r="U29" s="711">
        <f>H29</f>
        <v>100</v>
      </c>
      <c r="V29" s="710" t="s">
        <v>17</v>
      </c>
      <c r="W29" s="711">
        <f>J29</f>
        <v>100</v>
      </c>
      <c r="X29" s="712"/>
      <c r="Y29" s="3318"/>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7"/>
      <c r="M30" s="2938"/>
      <c r="N30" s="2938"/>
      <c r="O30" s="2992"/>
      <c r="P30" s="3318"/>
      <c r="Q30" s="1527"/>
      <c r="R30" s="710"/>
      <c r="S30" s="711"/>
      <c r="T30" s="710"/>
      <c r="U30" s="711"/>
      <c r="V30" s="710"/>
      <c r="W30" s="711"/>
      <c r="X30" s="712"/>
      <c r="Y30" s="3318"/>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2"/>
      <c r="M31" s="2936"/>
      <c r="N31" s="2936"/>
      <c r="O31" s="2994"/>
      <c r="P31" s="331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8"/>
      <c r="Z31" s="1540" t="str">
        <f t="shared" ref="Z31:Z45" si="13">Q31</f>
        <v>临街状况</v>
      </c>
      <c r="AA31" s="1537">
        <f t="shared" si="3"/>
        <v>1</v>
      </c>
      <c r="AB31" s="1537">
        <f t="shared" si="4"/>
        <v>1</v>
      </c>
      <c r="AC31" s="1537">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2"/>
      <c r="M32" s="2936"/>
      <c r="N32" s="2936"/>
      <c r="O32" s="2994"/>
      <c r="P32" s="3318"/>
      <c r="Q32" s="1536" t="str">
        <f t="shared" si="8"/>
        <v>毗邻道路的类型与等级</v>
      </c>
      <c r="R32" s="714" t="s">
        <v>17</v>
      </c>
      <c r="S32" s="715">
        <f t="shared" si="10"/>
        <v>100</v>
      </c>
      <c r="T32" s="714" t="s">
        <v>17</v>
      </c>
      <c r="U32" s="715">
        <f t="shared" si="11"/>
        <v>100</v>
      </c>
      <c r="V32" s="714" t="s">
        <v>17</v>
      </c>
      <c r="W32" s="715">
        <f t="shared" si="12"/>
        <v>100</v>
      </c>
      <c r="X32" s="1539"/>
      <c r="Y32" s="3318"/>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2"/>
      <c r="M33" s="2936"/>
      <c r="N33" s="2936"/>
      <c r="O33" s="2994"/>
      <c r="P33" s="3318"/>
      <c r="Q33" s="1536"/>
      <c r="R33" s="714"/>
      <c r="S33" s="715"/>
      <c r="T33" s="714"/>
      <c r="U33" s="715"/>
      <c r="V33" s="714"/>
      <c r="W33" s="715"/>
      <c r="X33" s="1539"/>
      <c r="Y33" s="3318"/>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318"/>
      <c r="Q34" s="1536" t="str">
        <f t="shared" si="8"/>
        <v>土地级别</v>
      </c>
      <c r="R34" s="714" t="s">
        <v>17</v>
      </c>
      <c r="S34" s="715">
        <f t="shared" si="10"/>
        <v>100</v>
      </c>
      <c r="T34" s="714" t="s">
        <v>17</v>
      </c>
      <c r="U34" s="715">
        <f t="shared" si="11"/>
        <v>100</v>
      </c>
      <c r="V34" s="714" t="s">
        <v>17</v>
      </c>
      <c r="W34" s="715">
        <f t="shared" si="12"/>
        <v>100</v>
      </c>
      <c r="X34" s="1539"/>
      <c r="Y34" s="3318"/>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318"/>
      <c r="Q35" s="1536">
        <f t="shared" si="8"/>
        <v>111</v>
      </c>
      <c r="R35" s="714" t="s">
        <v>17</v>
      </c>
      <c r="S35" s="715">
        <f t="shared" si="10"/>
        <v>100</v>
      </c>
      <c r="T35" s="714" t="s">
        <v>17</v>
      </c>
      <c r="U35" s="715">
        <f t="shared" si="11"/>
        <v>100</v>
      </c>
      <c r="V35" s="714" t="s">
        <v>17</v>
      </c>
      <c r="W35" s="715">
        <f t="shared" si="12"/>
        <v>100</v>
      </c>
      <c r="X35" s="1539"/>
      <c r="Y35" s="3318"/>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319" t="s">
        <v>2386</v>
      </c>
      <c r="Q36" s="1536">
        <f t="shared" si="8"/>
        <v>111</v>
      </c>
      <c r="R36" s="714" t="s">
        <v>17</v>
      </c>
      <c r="S36" s="715">
        <f t="shared" si="10"/>
        <v>100</v>
      </c>
      <c r="T36" s="714" t="s">
        <v>17</v>
      </c>
      <c r="U36" s="715">
        <f t="shared" si="11"/>
        <v>100</v>
      </c>
      <c r="V36" s="714" t="s">
        <v>17</v>
      </c>
      <c r="W36" s="715">
        <f t="shared" si="12"/>
        <v>100</v>
      </c>
      <c r="X36" s="1539"/>
      <c r="Y36" s="3320" t="s">
        <v>2386</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320"/>
      <c r="Q37" s="1536">
        <f t="shared" si="8"/>
        <v>111</v>
      </c>
      <c r="R37" s="717" t="s">
        <v>17</v>
      </c>
      <c r="S37" s="718">
        <f t="shared" si="10"/>
        <v>100</v>
      </c>
      <c r="T37" s="717" t="s">
        <v>17</v>
      </c>
      <c r="U37" s="718">
        <f t="shared" si="11"/>
        <v>100</v>
      </c>
      <c r="V37" s="717" t="s">
        <v>17</v>
      </c>
      <c r="W37" s="718">
        <f t="shared" si="12"/>
        <v>100</v>
      </c>
      <c r="X37" s="719"/>
      <c r="Y37" s="3320"/>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2"/>
      <c r="M38" s="2936"/>
      <c r="N38" s="2936"/>
      <c r="O38" s="2994"/>
      <c r="P38" s="3320"/>
      <c r="Q38" s="1536" t="str">
        <f>B38</f>
        <v>宗地面积</v>
      </c>
      <c r="R38" s="714" t="s">
        <v>17</v>
      </c>
      <c r="S38" s="715" t="e">
        <f t="shared" si="10"/>
        <v>#N/A</v>
      </c>
      <c r="T38" s="714" t="s">
        <v>17</v>
      </c>
      <c r="U38" s="715" t="e">
        <f t="shared" si="11"/>
        <v>#N/A</v>
      </c>
      <c r="V38" s="714" t="s">
        <v>17</v>
      </c>
      <c r="W38" s="715" t="e">
        <f t="shared" si="12"/>
        <v>#N/A</v>
      </c>
      <c r="X38" s="1539"/>
      <c r="Y38" s="3320"/>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2"/>
      <c r="M39" s="2936"/>
      <c r="N39" s="2936"/>
      <c r="O39" s="2994"/>
      <c r="P39" s="3320"/>
      <c r="Q39" s="1536" t="str">
        <f t="shared" ref="Q39:Q45" si="14">B39</f>
        <v>宗地形状</v>
      </c>
      <c r="R39" s="714" t="s">
        <v>17</v>
      </c>
      <c r="S39" s="715">
        <f t="shared" si="10"/>
        <v>100</v>
      </c>
      <c r="T39" s="714" t="s">
        <v>17</v>
      </c>
      <c r="U39" s="715">
        <f t="shared" si="11"/>
        <v>100</v>
      </c>
      <c r="V39" s="714" t="s">
        <v>17</v>
      </c>
      <c r="W39" s="715">
        <f t="shared" si="12"/>
        <v>100</v>
      </c>
      <c r="X39" s="1539"/>
      <c r="Y39" s="332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2"/>
      <c r="M40" s="2936"/>
      <c r="N40" s="2936"/>
      <c r="O40" s="2994"/>
      <c r="P40" s="3320"/>
      <c r="Q40" s="1536" t="str">
        <f t="shared" si="14"/>
        <v>临街宽度及深度</v>
      </c>
      <c r="R40" s="714" t="s">
        <v>17</v>
      </c>
      <c r="S40" s="715">
        <f t="shared" si="10"/>
        <v>100</v>
      </c>
      <c r="T40" s="714" t="s">
        <v>17</v>
      </c>
      <c r="U40" s="715">
        <f t="shared" si="11"/>
        <v>100</v>
      </c>
      <c r="V40" s="714" t="s">
        <v>17</v>
      </c>
      <c r="W40" s="715">
        <f t="shared" si="12"/>
        <v>100</v>
      </c>
      <c r="X40" s="1539"/>
      <c r="Y40" s="332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7"/>
      <c r="M41" s="2938"/>
      <c r="N41" s="2938"/>
      <c r="O41" s="2992"/>
      <c r="P41" s="3320"/>
      <c r="Q41" s="1536" t="str">
        <f t="shared" si="14"/>
        <v>宗地开发程度</v>
      </c>
      <c r="R41" s="710" t="s">
        <v>17</v>
      </c>
      <c r="S41" s="711">
        <f t="shared" si="10"/>
        <v>100</v>
      </c>
      <c r="T41" s="710" t="s">
        <v>17</v>
      </c>
      <c r="U41" s="711">
        <f t="shared" si="11"/>
        <v>100</v>
      </c>
      <c r="V41" s="710" t="s">
        <v>17</v>
      </c>
      <c r="W41" s="711">
        <f t="shared" si="12"/>
        <v>100</v>
      </c>
      <c r="X41" s="712"/>
      <c r="Y41" s="332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2"/>
      <c r="M42" s="2936"/>
      <c r="N42" s="2936"/>
      <c r="O42" s="2994"/>
      <c r="P42" s="3320" t="s">
        <v>2386</v>
      </c>
      <c r="Q42" s="1536" t="str">
        <f t="shared" si="14"/>
        <v>工程地质条件</v>
      </c>
      <c r="R42" s="714" t="s">
        <v>17</v>
      </c>
      <c r="S42" s="715">
        <f t="shared" si="10"/>
        <v>100</v>
      </c>
      <c r="T42" s="714" t="s">
        <v>17</v>
      </c>
      <c r="U42" s="715">
        <f t="shared" si="11"/>
        <v>100</v>
      </c>
      <c r="V42" s="714" t="s">
        <v>17</v>
      </c>
      <c r="W42" s="715">
        <f t="shared" si="12"/>
        <v>100</v>
      </c>
      <c r="X42" s="1539"/>
      <c r="Y42" s="3320" t="s">
        <v>2386</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320"/>
      <c r="Q43" s="1536">
        <f t="shared" si="14"/>
        <v>111</v>
      </c>
      <c r="R43" s="714" t="s">
        <v>17</v>
      </c>
      <c r="S43" s="715">
        <f t="shared" si="10"/>
        <v>100</v>
      </c>
      <c r="T43" s="714" t="s">
        <v>17</v>
      </c>
      <c r="U43" s="715">
        <f t="shared" si="11"/>
        <v>100</v>
      </c>
      <c r="V43" s="714" t="s">
        <v>17</v>
      </c>
      <c r="W43" s="715">
        <f t="shared" si="12"/>
        <v>100</v>
      </c>
      <c r="X43" s="1539"/>
      <c r="Y43" s="3320"/>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320"/>
      <c r="Q44" s="1536">
        <f t="shared" si="14"/>
        <v>111</v>
      </c>
      <c r="R44" s="714" t="s">
        <v>17</v>
      </c>
      <c r="S44" s="715">
        <f t="shared" si="10"/>
        <v>100</v>
      </c>
      <c r="T44" s="714" t="s">
        <v>17</v>
      </c>
      <c r="U44" s="715">
        <f t="shared" si="11"/>
        <v>100</v>
      </c>
      <c r="V44" s="714" t="s">
        <v>17</v>
      </c>
      <c r="W44" s="715">
        <f t="shared" si="12"/>
        <v>100</v>
      </c>
      <c r="X44" s="1539"/>
      <c r="Y44" s="3320"/>
      <c r="Z44" s="1540">
        <f t="shared" si="13"/>
        <v>111</v>
      </c>
      <c r="AA44" s="1537">
        <f t="shared" si="3"/>
        <v>1</v>
      </c>
      <c r="AB44" s="1537">
        <f t="shared" si="4"/>
        <v>1</v>
      </c>
      <c r="AC44" s="1537">
        <f t="shared" si="5"/>
        <v>1</v>
      </c>
    </row>
    <row r="45" spans="1:29" s="430" customFormat="1" ht="15.75" thickBot="1">
      <c r="A45" s="427"/>
      <c r="B45" s="1295">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320"/>
      <c r="Q45" s="1536">
        <f t="shared" si="14"/>
        <v>111</v>
      </c>
      <c r="R45" s="717" t="s">
        <v>17</v>
      </c>
      <c r="S45" s="718">
        <f t="shared" si="10"/>
        <v>100</v>
      </c>
      <c r="T45" s="717" t="s">
        <v>17</v>
      </c>
      <c r="U45" s="718">
        <f t="shared" si="11"/>
        <v>100</v>
      </c>
      <c r="V45" s="717" t="s">
        <v>17</v>
      </c>
      <c r="W45" s="718">
        <f t="shared" si="12"/>
        <v>100</v>
      </c>
      <c r="X45" s="719"/>
      <c r="Y45" s="3320"/>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44"/>
      <c r="M46" s="2945"/>
      <c r="N46" s="2936"/>
      <c r="O46" s="2945"/>
      <c r="P46" s="3302" t="str">
        <f>A46</f>
        <v>成交单价</v>
      </c>
      <c r="Q46" s="3302"/>
      <c r="R46" s="3315">
        <f>E46</f>
        <v>0</v>
      </c>
      <c r="S46" s="3315"/>
      <c r="T46" s="3315">
        <f>G46</f>
        <v>0</v>
      </c>
      <c r="U46" s="3315"/>
      <c r="V46" s="3315">
        <f>I46</f>
        <v>0</v>
      </c>
      <c r="W46" s="3315"/>
      <c r="X46" s="699"/>
      <c r="Y46" s="721"/>
      <c r="Z46" s="699"/>
      <c r="AA46" s="699"/>
      <c r="AB46" s="699"/>
      <c r="AC46" s="699"/>
    </row>
    <row r="47" spans="1:29" ht="15.75" thickBot="1">
      <c r="A47" s="445" t="s">
        <v>2490</v>
      </c>
      <c r="B47" s="639"/>
      <c r="C47" s="448" t="e">
        <f>R48</f>
        <v>#DIV/0!</v>
      </c>
      <c r="D47" s="2529" t="s">
        <v>2879</v>
      </c>
      <c r="E47" s="448" t="e">
        <f>R47</f>
        <v>#DIV/0!</v>
      </c>
      <c r="F47" s="2530"/>
      <c r="G47" s="447" t="e">
        <f>T47</f>
        <v>#DIV/0!</v>
      </c>
      <c r="H47" s="2530"/>
      <c r="I47" s="448" t="e">
        <f>V47</f>
        <v>#DIV/0!</v>
      </c>
      <c r="J47" s="2530"/>
      <c r="K47" s="2532">
        <f>F47+H47+J47</f>
        <v>0</v>
      </c>
      <c r="L47" s="2944"/>
      <c r="M47" s="2945"/>
      <c r="N47" s="2945"/>
      <c r="O47" s="2945"/>
      <c r="P47" s="3302" t="str">
        <f>A47</f>
        <v>比较价值（元/平方米）</v>
      </c>
      <c r="Q47" s="3302"/>
      <c r="R47" s="3321" t="e">
        <f>ROUND(PRODUCT(R46,AA7:AA45),0)</f>
        <v>#DIV/0!</v>
      </c>
      <c r="S47" s="3321"/>
      <c r="T47" s="3321" t="e">
        <f>ROUND(PRODUCT(T46,AB7:AB45),0)</f>
        <v>#DIV/0!</v>
      </c>
      <c r="U47" s="3321"/>
      <c r="V47" s="3321" t="e">
        <f>ROUND(PRODUCT(V46,AC7:AC45),0)</f>
        <v>#DIV/0!</v>
      </c>
      <c r="W47" s="3321"/>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4"/>
      <c r="M48" s="2945"/>
      <c r="N48" s="2945"/>
      <c r="O48" s="2945"/>
      <c r="P48" s="3322" t="str">
        <f>A48</f>
        <v>估价对象XX用房的比较价值（楼面单价，元/平方米）</v>
      </c>
      <c r="Q48" s="3323"/>
      <c r="R48" s="3324" t="e">
        <f>ROUND(IF(D47="简单平均",AVERAGE(R47:W47),R47*F47+T47*H47+V47*J47),0)</f>
        <v>#DIV/0!</v>
      </c>
      <c r="S48" s="3324"/>
      <c r="T48" s="3324"/>
      <c r="U48" s="3324"/>
      <c r="V48" s="3324"/>
      <c r="W48" s="3324"/>
      <c r="X48" s="699"/>
      <c r="Y48" s="699"/>
      <c r="Z48" s="699"/>
      <c r="AA48" s="699"/>
      <c r="AB48" s="699"/>
      <c r="AC48" s="699"/>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2"/>
      <c r="D54" s="700"/>
      <c r="E54" s="700"/>
      <c r="F54" s="700"/>
      <c r="G54" s="700"/>
      <c r="H54" s="700"/>
      <c r="I54" s="700"/>
      <c r="J54" s="700"/>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2579</v>
      </c>
      <c r="B55" s="641" t="s">
        <v>2580</v>
      </c>
      <c r="C55" s="2169" t="s">
        <v>2581</v>
      </c>
      <c r="D55" s="2170" t="s">
        <v>2582</v>
      </c>
      <c r="E55" s="642" t="s">
        <v>2583</v>
      </c>
      <c r="F55" s="1021" t="s">
        <v>2584</v>
      </c>
      <c r="G55" s="3303" t="s">
        <v>2585</v>
      </c>
      <c r="H55" s="3325"/>
      <c r="I55" s="140" t="s">
        <v>2586</v>
      </c>
      <c r="J55" s="2171">
        <f>项目基本情况!F35</f>
        <v>0</v>
      </c>
      <c r="K55" s="2172" t="s">
        <v>2587</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2588</v>
      </c>
      <c r="B56" s="645" t="e">
        <f>C48</f>
        <v>#DIV/0!</v>
      </c>
      <c r="C56" s="646">
        <v>1</v>
      </c>
      <c r="D56" s="1075">
        <v>1</v>
      </c>
      <c r="E56" s="646">
        <f>'数据-汇总表'!E8+'数据-汇总表'!E9</f>
        <v>114107.98000000001</v>
      </c>
      <c r="F56" s="1017" t="e">
        <f t="shared" ref="F56:F65" si="15">ROUND(B56*E56/10000,0)</f>
        <v>#DIV/0!</v>
      </c>
      <c r="G56" s="3326"/>
      <c r="H56" s="3302"/>
      <c r="I56" s="1022">
        <v>1</v>
      </c>
      <c r="J56" s="1025">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2589</v>
      </c>
      <c r="B57" s="224" t="e">
        <f>ROUND($C$48*C57*D57,0)</f>
        <v>#DIV/0!</v>
      </c>
      <c r="C57" s="176">
        <f t="shared" ref="C57:C65" si="16">IF($C$55="北京市系数",I57,J57)</f>
        <v>0</v>
      </c>
      <c r="D57" s="1076">
        <v>0.25</v>
      </c>
      <c r="E57" s="650"/>
      <c r="F57" s="1017" t="e">
        <f t="shared" si="15"/>
        <v>#DIV/0!</v>
      </c>
      <c r="G57" s="3327" t="s">
        <v>2590</v>
      </c>
      <c r="H57" s="1018">
        <f>项目基本情况!B37</f>
        <v>0</v>
      </c>
      <c r="I57" s="1022">
        <f>SUMIF(修正!A45:A56,H57,修正!B45:B56)</f>
        <v>0</v>
      </c>
      <c r="J57" s="1026"/>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2591</v>
      </c>
      <c r="B58" s="224" t="e">
        <f t="shared" ref="B58:B65" si="17">ROUND($C$48*C58*D58,0)</f>
        <v>#DIV/0!</v>
      </c>
      <c r="C58" s="176">
        <f t="shared" si="16"/>
        <v>0</v>
      </c>
      <c r="D58" s="1076">
        <v>0.25</v>
      </c>
      <c r="E58" s="650"/>
      <c r="F58" s="1017" t="e">
        <f t="shared" si="15"/>
        <v>#DIV/0!</v>
      </c>
      <c r="G58" s="3327"/>
      <c r="H58" s="1018">
        <f>项目基本情况!B37</f>
        <v>0</v>
      </c>
      <c r="I58" s="1022">
        <f>SUMIF(修正!A45:A56,H58,修正!C45:C56)</f>
        <v>0</v>
      </c>
      <c r="J58" s="1026"/>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2592</v>
      </c>
      <c r="B59" s="224" t="e">
        <f t="shared" si="17"/>
        <v>#DIV/0!</v>
      </c>
      <c r="C59" s="176">
        <f t="shared" si="16"/>
        <v>0</v>
      </c>
      <c r="D59" s="1076">
        <v>0.25</v>
      </c>
      <c r="E59" s="650"/>
      <c r="F59" s="1017" t="e">
        <f t="shared" si="15"/>
        <v>#DIV/0!</v>
      </c>
      <c r="G59" s="3327"/>
      <c r="H59" s="1018">
        <f>项目基本情况!B37</f>
        <v>0</v>
      </c>
      <c r="I59" s="1022">
        <f>SUMIF(修正!A45:A56,H59,修正!D45:D56)</f>
        <v>0</v>
      </c>
      <c r="J59" s="1026"/>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2593</v>
      </c>
      <c r="B60" s="224" t="e">
        <f t="shared" si="17"/>
        <v>#DIV/0!</v>
      </c>
      <c r="C60" s="176">
        <f t="shared" si="16"/>
        <v>0</v>
      </c>
      <c r="D60" s="1076">
        <v>0.25</v>
      </c>
      <c r="E60" s="650"/>
      <c r="F60" s="1017" t="e">
        <f t="shared" si="15"/>
        <v>#DIV/0!</v>
      </c>
      <c r="G60" s="3327"/>
      <c r="H60" s="1018">
        <f>项目基本情况!B37</f>
        <v>0</v>
      </c>
      <c r="I60" s="1022">
        <f>SUMIF(修正!A45:A56,H60,修正!E45:E56)</f>
        <v>0</v>
      </c>
      <c r="J60" s="1026"/>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2602</v>
      </c>
      <c r="B66" s="652" t="s">
        <v>28</v>
      </c>
      <c r="C66" s="652" t="s">
        <v>29</v>
      </c>
      <c r="D66" s="652" t="s">
        <v>997</v>
      </c>
      <c r="E66" s="652">
        <f>IF(B46="楼面地价",SUM(E56:E65),'数据-汇总表'!D3)</f>
        <v>114107.98000000001</v>
      </c>
      <c r="F66" s="653" t="e">
        <f>IF(B46="楼面地价",SUM(F56:F65),ROUND(C48*E66/10000,0))</f>
        <v>#DIV/0!</v>
      </c>
      <c r="G66" s="726"/>
      <c r="H66" s="726"/>
      <c r="I66" s="726"/>
      <c r="J66" s="726"/>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9"/>
      <c r="B67" s="701"/>
      <c r="C67" s="702"/>
      <c r="D67" s="699"/>
      <c r="E67" s="699"/>
      <c r="F67" s="699"/>
      <c r="G67" s="699"/>
      <c r="H67" s="699"/>
      <c r="I67" s="699"/>
      <c r="J67" s="1058"/>
      <c r="K67" s="1019"/>
      <c r="L67" s="1020"/>
      <c r="M67" s="1058"/>
      <c r="N67" s="1058"/>
      <c r="O67" s="1058"/>
      <c r="P67" s="2945"/>
      <c r="Q67" s="2945"/>
      <c r="R67" s="2945"/>
      <c r="S67" s="2945"/>
      <c r="T67" s="2945"/>
      <c r="U67" s="2945"/>
      <c r="V67" s="2945"/>
      <c r="W67" s="2945"/>
      <c r="X67" s="2945"/>
      <c r="Y67" s="2945"/>
      <c r="Z67" s="2945"/>
      <c r="AA67" s="2945"/>
      <c r="AB67" s="2945"/>
      <c r="AC67" s="2945"/>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45"/>
      <c r="Q68" s="2945"/>
      <c r="R68" s="2945"/>
      <c r="S68" s="2945"/>
      <c r="T68" s="2945"/>
      <c r="U68" s="2945"/>
      <c r="V68" s="2945"/>
      <c r="W68" s="2945"/>
      <c r="X68" s="2945"/>
      <c r="Y68" s="2945"/>
      <c r="Z68" s="2945"/>
      <c r="AA68" s="2945"/>
      <c r="AB68" s="2945"/>
      <c r="AC68" s="2945"/>
    </row>
    <row r="69" spans="1:29" ht="21.75" thickBot="1">
      <c r="A69" s="703" t="s">
        <v>2495</v>
      </c>
      <c r="B69" s="699"/>
      <c r="C69" s="704"/>
      <c r="D69" s="704"/>
      <c r="E69" s="704"/>
      <c r="F69" s="705"/>
      <c r="G69" s="705"/>
      <c r="H69" s="704"/>
      <c r="I69" s="704"/>
      <c r="J69" s="1071"/>
      <c r="K69" s="1072"/>
      <c r="L69" s="1073"/>
      <c r="M69" s="1071"/>
      <c r="N69" s="2989"/>
      <c r="O69" s="2989"/>
      <c r="P69" s="2989"/>
      <c r="Q69" s="2959"/>
      <c r="R69" s="2945"/>
      <c r="S69" s="2945"/>
      <c r="T69" s="2945"/>
      <c r="U69" s="2945"/>
      <c r="V69" s="2945"/>
      <c r="W69" s="2945"/>
      <c r="X69" s="2945"/>
      <c r="Y69" s="2945"/>
      <c r="Z69" s="2945"/>
      <c r="AA69" s="2945"/>
      <c r="AB69" s="2945"/>
      <c r="AC69" s="2945"/>
    </row>
    <row r="70" spans="1:29" s="465" customFormat="1" ht="15">
      <c r="A70" s="2175" t="s">
        <v>2603</v>
      </c>
      <c r="B70" s="1268"/>
      <c r="C70" s="1343" t="str">
        <f>YEAR(C68)&amp;"-"&amp;ROUNDUP(MONTH(C68)/3,0)</f>
        <v>2022-1</v>
      </c>
      <c r="D70" s="1343" t="str">
        <f>YEAR(D68)&amp;"-"&amp;ROUNDUP(MONTH(D68)/3,0)</f>
        <v>2021-4</v>
      </c>
      <c r="E70" s="1343" t="str">
        <f t="shared" ref="E70:O70" si="19">YEAR(E68)&amp;"-"&amp;ROUNDUP(MONTH(E68)/3,0)</f>
        <v>2021-3</v>
      </c>
      <c r="F70" s="1343" t="str">
        <f t="shared" si="19"/>
        <v>2021-2</v>
      </c>
      <c r="G70" s="1343" t="str">
        <f t="shared" si="19"/>
        <v>2021-1</v>
      </c>
      <c r="H70" s="1343" t="str">
        <f t="shared" si="19"/>
        <v>2020-4</v>
      </c>
      <c r="I70" s="1343" t="str">
        <f t="shared" si="19"/>
        <v>2020-3</v>
      </c>
      <c r="J70" s="1343" t="str">
        <f t="shared" si="19"/>
        <v>2020-2</v>
      </c>
      <c r="K70" s="1343" t="str">
        <f t="shared" si="19"/>
        <v>2020-1</v>
      </c>
      <c r="L70" s="1343" t="str">
        <f t="shared" si="19"/>
        <v>2019-4</v>
      </c>
      <c r="M70" s="1343" t="str">
        <f t="shared" si="19"/>
        <v>2019-3</v>
      </c>
      <c r="N70" s="1343" t="str">
        <f t="shared" si="19"/>
        <v>2019-2</v>
      </c>
      <c r="O70" s="1343" t="str">
        <f t="shared" si="19"/>
        <v>2019-1</v>
      </c>
      <c r="P70" s="2996"/>
      <c r="Q70" s="2961"/>
      <c r="R70" s="2961"/>
      <c r="S70" s="2961"/>
      <c r="T70" s="2961"/>
      <c r="U70" s="2961"/>
      <c r="V70" s="2961"/>
      <c r="W70" s="2961"/>
      <c r="X70" s="2961"/>
      <c r="Y70" s="2961"/>
      <c r="Z70" s="2961"/>
      <c r="AA70" s="2961"/>
      <c r="AB70" s="2961"/>
      <c r="AC70" s="2961"/>
    </row>
    <row r="71" spans="1:29" s="113" customFormat="1" ht="30" customHeight="1">
      <c r="A71" s="2176" t="s">
        <v>2604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39"/>
      <c r="N71" s="552"/>
      <c r="O71" s="1340"/>
      <c r="P71" s="2959"/>
      <c r="Q71" s="2879"/>
      <c r="R71" s="2879"/>
      <c r="S71" s="2879"/>
      <c r="T71" s="2879"/>
      <c r="U71" s="2879"/>
      <c r="V71" s="2879"/>
      <c r="W71" s="2879"/>
      <c r="X71" s="2879"/>
      <c r="Y71" s="2879"/>
      <c r="Z71" s="2879"/>
      <c r="AA71" s="2879"/>
      <c r="AB71" s="2879"/>
      <c r="AC71" s="2879"/>
    </row>
    <row r="72" spans="1:29" s="113" customFormat="1" ht="15.75" thickBot="1">
      <c r="A72" s="472" t="s">
        <v>2406</v>
      </c>
      <c r="B72" s="473"/>
      <c r="C72" s="474"/>
      <c r="D72" s="475"/>
      <c r="E72" s="475"/>
      <c r="F72" s="475"/>
      <c r="G72" s="475"/>
      <c r="H72" s="475"/>
      <c r="I72" s="475"/>
      <c r="J72" s="475"/>
      <c r="K72" s="475"/>
      <c r="L72" s="475"/>
      <c r="M72" s="476"/>
      <c r="N72" s="475"/>
      <c r="O72" s="1074"/>
      <c r="P72" s="2959"/>
      <c r="Q72" s="2959"/>
      <c r="R72" s="2879"/>
      <c r="S72" s="2879"/>
      <c r="T72" s="2879"/>
      <c r="U72" s="2879"/>
      <c r="V72" s="2879"/>
      <c r="W72" s="2879"/>
      <c r="X72" s="2879"/>
      <c r="Y72" s="2879"/>
      <c r="Z72" s="2879"/>
      <c r="AA72" s="2879"/>
      <c r="AB72" s="2879"/>
      <c r="AC72" s="2879"/>
    </row>
    <row r="73" spans="1:29" s="113" customFormat="1" ht="15">
      <c r="A73" s="478" t="s">
        <v>2371</v>
      </c>
      <c r="B73" s="467"/>
      <c r="C73" s="479" t="s">
        <v>2473</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2409</v>
      </c>
      <c r="B75" s="485" t="s">
        <v>2375</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2378</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c r="D80" s="506"/>
      <c r="E80" s="506"/>
      <c r="F80" s="506"/>
      <c r="G80" s="506"/>
      <c r="H80" s="506"/>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2380</v>
      </c>
      <c r="B88" s="485" t="s">
        <v>2417</v>
      </c>
      <c r="C88" s="530" t="s">
        <v>2418</v>
      </c>
      <c r="D88" s="530" t="s">
        <v>2419</v>
      </c>
      <c r="E88" s="530" t="s">
        <v>2420</v>
      </c>
      <c r="F88" s="530" t="s">
        <v>2421</v>
      </c>
      <c r="G88" s="530" t="s">
        <v>2422</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2605</v>
      </c>
      <c r="C90" s="535" t="s">
        <v>2418</v>
      </c>
      <c r="D90" s="535" t="s">
        <v>2419</v>
      </c>
      <c r="E90" s="535" t="s">
        <v>2420</v>
      </c>
      <c r="F90" s="535" t="s">
        <v>2421</v>
      </c>
      <c r="G90" s="535" t="s">
        <v>2422</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2518</v>
      </c>
      <c r="C92" s="535" t="s">
        <v>2418</v>
      </c>
      <c r="D92" s="535" t="s">
        <v>2419</v>
      </c>
      <c r="E92" s="535" t="s">
        <v>2420</v>
      </c>
      <c r="F92" s="535" t="s">
        <v>2421</v>
      </c>
      <c r="G92" s="535" t="s">
        <v>2422</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2423</v>
      </c>
      <c r="C94" s="535" t="s">
        <v>2418</v>
      </c>
      <c r="D94" s="535" t="s">
        <v>2419</v>
      </c>
      <c r="E94" s="535" t="s">
        <v>2420</v>
      </c>
      <c r="F94" s="535" t="s">
        <v>2421</v>
      </c>
      <c r="G94" s="535" t="s">
        <v>2422</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2512</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2571</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c r="D117" s="552"/>
      <c r="E117" s="552"/>
      <c r="F117" s="552"/>
      <c r="G117" s="552"/>
      <c r="H117" s="552"/>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c r="D118" s="548"/>
      <c r="E118" s="548"/>
      <c r="F118" s="548"/>
      <c r="G118" s="548"/>
      <c r="H118" s="548"/>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2613</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2614</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2615</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2616</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2466</v>
      </c>
      <c r="B4" s="362"/>
      <c r="C4" s="3303" t="s">
        <v>2467</v>
      </c>
      <c r="D4" s="3304"/>
      <c r="E4" s="3305" t="s">
        <v>2468</v>
      </c>
      <c r="F4" s="3306"/>
      <c r="G4" s="3303" t="s">
        <v>2469</v>
      </c>
      <c r="H4" s="3304"/>
      <c r="I4" s="3303" t="s">
        <v>2470</v>
      </c>
      <c r="J4" s="3304"/>
      <c r="K4" s="567" t="s">
        <v>2471</v>
      </c>
      <c r="L4" s="2935"/>
      <c r="M4" s="2936"/>
      <c r="N4" s="2936"/>
      <c r="O4" s="2936"/>
      <c r="P4" s="3307" t="s">
        <v>2472</v>
      </c>
      <c r="Q4" s="3308"/>
      <c r="R4" s="3290" t="s">
        <v>2468</v>
      </c>
      <c r="S4" s="3291"/>
      <c r="T4" s="3290" t="s">
        <v>2469</v>
      </c>
      <c r="U4" s="3291"/>
      <c r="V4" s="3315" t="s">
        <v>2470</v>
      </c>
      <c r="W4" s="3315"/>
      <c r="X4" s="1539"/>
      <c r="Y4" s="3290" t="s">
        <v>2472</v>
      </c>
      <c r="Z4" s="3291"/>
      <c r="AA4" s="3285" t="s">
        <v>2468</v>
      </c>
      <c r="AB4" s="3286" t="s">
        <v>2469</v>
      </c>
      <c r="AC4" s="3285" t="s">
        <v>2470</v>
      </c>
    </row>
    <row r="5" spans="1:29" ht="15">
      <c r="A5" s="364"/>
      <c r="B5" s="365"/>
      <c r="C5" s="3296" t="s">
        <v>2363</v>
      </c>
      <c r="D5" s="3297"/>
      <c r="E5" s="3294" t="s">
        <v>2364</v>
      </c>
      <c r="F5" s="3295"/>
      <c r="G5" s="3296" t="s">
        <v>2365</v>
      </c>
      <c r="H5" s="3297"/>
      <c r="I5" s="3296" t="s">
        <v>2366</v>
      </c>
      <c r="J5" s="3297"/>
      <c r="K5" s="567"/>
      <c r="L5" s="2935"/>
      <c r="M5" s="2936"/>
      <c r="N5" s="2936"/>
      <c r="O5" s="2936"/>
      <c r="P5" s="3309"/>
      <c r="Q5" s="3310"/>
      <c r="R5" s="3292"/>
      <c r="S5" s="3293"/>
      <c r="T5" s="3292"/>
      <c r="U5" s="3293"/>
      <c r="V5" s="3315"/>
      <c r="W5" s="3315"/>
      <c r="X5" s="1539"/>
      <c r="Y5" s="3292"/>
      <c r="Z5" s="3293"/>
      <c r="AA5" s="3286"/>
      <c r="AB5" s="3286"/>
      <c r="AC5" s="3286"/>
    </row>
    <row r="6" spans="1:29" ht="15.75" thickBot="1">
      <c r="A6" s="366"/>
      <c r="B6" s="367"/>
      <c r="C6" s="3328" t="s">
        <v>2618</v>
      </c>
      <c r="D6" s="3329"/>
      <c r="E6" s="3330" t="s">
        <v>2618</v>
      </c>
      <c r="F6" s="3331"/>
      <c r="G6" s="3328" t="s">
        <v>2618</v>
      </c>
      <c r="H6" s="3329"/>
      <c r="I6" s="3328" t="s">
        <v>2618</v>
      </c>
      <c r="J6" s="3329"/>
      <c r="K6" s="567" t="s">
        <v>2368</v>
      </c>
      <c r="L6" s="2935"/>
      <c r="M6" s="2936"/>
      <c r="N6" s="2936"/>
      <c r="O6" s="2936"/>
      <c r="P6" s="3311"/>
      <c r="Q6" s="3312"/>
      <c r="R6" s="3292"/>
      <c r="S6" s="3293"/>
      <c r="T6" s="3313"/>
      <c r="U6" s="3314"/>
      <c r="V6" s="3315"/>
      <c r="W6" s="3315"/>
      <c r="X6" s="1539"/>
      <c r="Y6" s="3313"/>
      <c r="Z6" s="3314"/>
      <c r="AA6" s="3287"/>
      <c r="AB6" s="3287"/>
      <c r="AC6" s="3287"/>
    </row>
    <row r="7" spans="1:29" s="113" customFormat="1" ht="15.75" thickBot="1">
      <c r="A7" s="368" t="s">
        <v>2369</v>
      </c>
      <c r="B7" s="369"/>
      <c r="C7" s="370">
        <f>'数据-取费表'!B2</f>
        <v>44580</v>
      </c>
      <c r="D7" s="371">
        <v>100</v>
      </c>
      <c r="E7" s="372"/>
      <c r="F7" s="373">
        <f>SUMIF(65:65,YEAR(E7)&amp;"-"&amp;INT((MONTH(E7)+2)/3),66:66)</f>
        <v>0</v>
      </c>
      <c r="G7" s="2160"/>
      <c r="H7" s="371">
        <f>SUMIF(65:65,YEAR(G7)&amp;"-"&amp;INT((MONTH(G7)+2)/3),66:66)</f>
        <v>0</v>
      </c>
      <c r="I7" s="2160"/>
      <c r="J7" s="371">
        <f>SUMIF(65:65,YEAR(I7)&amp;"-"&amp;INT((MONTH(I7)+2)/3),66:66)</f>
        <v>0</v>
      </c>
      <c r="K7" s="568"/>
      <c r="L7" s="2937"/>
      <c r="M7" s="2938"/>
      <c r="N7" s="2938"/>
      <c r="O7" s="2938"/>
      <c r="P7" s="3288" t="s">
        <v>2370</v>
      </c>
      <c r="Q7" s="3316"/>
      <c r="R7" s="710" t="s">
        <v>17</v>
      </c>
      <c r="S7" s="711">
        <f t="shared" ref="S7:S15" si="0">F7</f>
        <v>0</v>
      </c>
      <c r="T7" s="710" t="s">
        <v>17</v>
      </c>
      <c r="U7" s="711">
        <f t="shared" ref="U7:U15" si="1">H7</f>
        <v>0</v>
      </c>
      <c r="V7" s="710" t="s">
        <v>17</v>
      </c>
      <c r="W7" s="711">
        <f t="shared" ref="W7:W15" si="2">J7</f>
        <v>0</v>
      </c>
      <c r="X7" s="712"/>
      <c r="Y7" s="3288" t="s">
        <v>2370</v>
      </c>
      <c r="Z7" s="3289"/>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288" t="s">
        <v>2373</v>
      </c>
      <c r="Q8" s="3289"/>
      <c r="R8" s="710" t="s">
        <v>17</v>
      </c>
      <c r="S8" s="711">
        <f t="shared" si="0"/>
        <v>0</v>
      </c>
      <c r="T8" s="710" t="s">
        <v>17</v>
      </c>
      <c r="U8" s="711">
        <f t="shared" si="1"/>
        <v>0</v>
      </c>
      <c r="V8" s="710" t="s">
        <v>17</v>
      </c>
      <c r="W8" s="711">
        <f t="shared" si="2"/>
        <v>0</v>
      </c>
      <c r="X8" s="712"/>
      <c r="Y8" s="3288" t="s">
        <v>2373</v>
      </c>
      <c r="Z8" s="3289"/>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37"/>
      <c r="M9" s="2938"/>
      <c r="N9" s="2938"/>
      <c r="O9" s="2992"/>
      <c r="P9" s="3302" t="s">
        <v>2376</v>
      </c>
      <c r="Q9" s="1527" t="str">
        <f t="shared" ref="Q9:Q15" si="6">B9</f>
        <v>用途</v>
      </c>
      <c r="R9" s="710" t="s">
        <v>17</v>
      </c>
      <c r="S9" s="711">
        <f t="shared" si="0"/>
        <v>100</v>
      </c>
      <c r="T9" s="710" t="s">
        <v>17</v>
      </c>
      <c r="U9" s="711">
        <f t="shared" si="1"/>
        <v>100</v>
      </c>
      <c r="V9" s="710" t="s">
        <v>17</v>
      </c>
      <c r="W9" s="711">
        <f t="shared" si="2"/>
        <v>100</v>
      </c>
      <c r="X9" s="712"/>
      <c r="Y9" s="325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39"/>
      <c r="M10" s="2940"/>
      <c r="N10" s="2940"/>
      <c r="O10" s="2993"/>
      <c r="P10" s="3302"/>
      <c r="Q10" s="1527" t="str">
        <f t="shared" si="6"/>
        <v>土地使用年限（年）</v>
      </c>
      <c r="R10" s="710" t="s">
        <v>17</v>
      </c>
      <c r="S10" s="711">
        <f t="shared" si="0"/>
        <v>112</v>
      </c>
      <c r="T10" s="710" t="s">
        <v>17</v>
      </c>
      <c r="U10" s="711">
        <f t="shared" si="1"/>
        <v>112</v>
      </c>
      <c r="V10" s="710" t="s">
        <v>17</v>
      </c>
      <c r="W10" s="711">
        <f t="shared" si="2"/>
        <v>112</v>
      </c>
      <c r="X10" s="712"/>
      <c r="Y10" s="3258"/>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302"/>
      <c r="Q11" s="1527" t="str">
        <f t="shared" si="6"/>
        <v>容积率</v>
      </c>
      <c r="R11" s="710" t="s">
        <v>17</v>
      </c>
      <c r="S11" s="711" t="e">
        <f t="shared" si="0"/>
        <v>#N/A</v>
      </c>
      <c r="T11" s="710" t="s">
        <v>17</v>
      </c>
      <c r="U11" s="711" t="e">
        <f t="shared" si="1"/>
        <v>#N/A</v>
      </c>
      <c r="V11" s="710" t="s">
        <v>17</v>
      </c>
      <c r="W11" s="711" t="e">
        <f t="shared" si="2"/>
        <v>#N/A</v>
      </c>
      <c r="X11" s="712"/>
      <c r="Y11" s="325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302"/>
      <c r="Q12" s="1527">
        <f t="shared" si="6"/>
        <v>111</v>
      </c>
      <c r="R12" s="710" t="s">
        <v>17</v>
      </c>
      <c r="S12" s="711">
        <f t="shared" si="0"/>
        <v>100</v>
      </c>
      <c r="T12" s="710" t="s">
        <v>17</v>
      </c>
      <c r="U12" s="711">
        <f t="shared" si="1"/>
        <v>100</v>
      </c>
      <c r="V12" s="710" t="s">
        <v>17</v>
      </c>
      <c r="W12" s="711">
        <f t="shared" si="2"/>
        <v>100</v>
      </c>
      <c r="X12" s="712"/>
      <c r="Y12" s="325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302"/>
      <c r="Q13" s="1527">
        <f t="shared" si="6"/>
        <v>111</v>
      </c>
      <c r="R13" s="710" t="s">
        <v>17</v>
      </c>
      <c r="S13" s="711">
        <f t="shared" si="0"/>
        <v>100</v>
      </c>
      <c r="T13" s="710" t="s">
        <v>17</v>
      </c>
      <c r="U13" s="711">
        <f t="shared" si="1"/>
        <v>100</v>
      </c>
      <c r="V13" s="710" t="s">
        <v>17</v>
      </c>
      <c r="W13" s="711">
        <f t="shared" si="2"/>
        <v>100</v>
      </c>
      <c r="X13" s="712"/>
      <c r="Y13" s="325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302"/>
      <c r="Q14" s="1527">
        <f t="shared" si="6"/>
        <v>111</v>
      </c>
      <c r="R14" s="710" t="s">
        <v>17</v>
      </c>
      <c r="S14" s="711">
        <f t="shared" si="0"/>
        <v>100</v>
      </c>
      <c r="T14" s="710" t="s">
        <v>17</v>
      </c>
      <c r="U14" s="711">
        <f t="shared" si="1"/>
        <v>100</v>
      </c>
      <c r="V14" s="710" t="s">
        <v>17</v>
      </c>
      <c r="W14" s="711">
        <f t="shared" si="2"/>
        <v>100</v>
      </c>
      <c r="X14" s="712"/>
      <c r="Y14" s="3258"/>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317" t="s">
        <v>2381</v>
      </c>
      <c r="Q15" s="1536" t="str">
        <f t="shared" si="6"/>
        <v>产业集聚程度</v>
      </c>
      <c r="R15" s="714" t="s">
        <v>17</v>
      </c>
      <c r="S15" s="715">
        <f t="shared" si="0"/>
        <v>100</v>
      </c>
      <c r="T15" s="714" t="s">
        <v>17</v>
      </c>
      <c r="U15" s="715">
        <f t="shared" si="1"/>
        <v>100</v>
      </c>
      <c r="V15" s="714" t="s">
        <v>17</v>
      </c>
      <c r="W15" s="715">
        <f t="shared" si="2"/>
        <v>100</v>
      </c>
      <c r="X15" s="1539"/>
      <c r="Y15" s="3317"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2"/>
      <c r="M16" s="2936"/>
      <c r="N16" s="2936"/>
      <c r="O16" s="2994"/>
      <c r="P16" s="3318"/>
      <c r="Q16" s="1536"/>
      <c r="R16" s="714"/>
      <c r="S16" s="715"/>
      <c r="T16" s="714"/>
      <c r="U16" s="715"/>
      <c r="V16" s="714"/>
      <c r="W16" s="715"/>
      <c r="X16" s="1539"/>
      <c r="Y16" s="3318"/>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318"/>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2"/>
      <c r="M18" s="2936"/>
      <c r="N18" s="2936"/>
      <c r="O18" s="2994"/>
      <c r="P18" s="3318"/>
      <c r="Q18" s="1536"/>
      <c r="R18" s="714"/>
      <c r="S18" s="715"/>
      <c r="T18" s="714"/>
      <c r="U18" s="715"/>
      <c r="V18" s="714"/>
      <c r="W18" s="715"/>
      <c r="X18" s="1539"/>
      <c r="Y18" s="3318"/>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318"/>
      <c r="Q19" s="1536" t="str">
        <f t="shared" ref="Q19:Q33" si="8">B19</f>
        <v>区域土地利用方向</v>
      </c>
      <c r="R19" s="714" t="s">
        <v>17</v>
      </c>
      <c r="S19" s="715">
        <f>F19</f>
        <v>100</v>
      </c>
      <c r="T19" s="714" t="s">
        <v>17</v>
      </c>
      <c r="U19" s="715">
        <f>H19</f>
        <v>100</v>
      </c>
      <c r="V19" s="714" t="s">
        <v>17</v>
      </c>
      <c r="W19" s="715">
        <f>J19</f>
        <v>100</v>
      </c>
      <c r="X19" s="1539"/>
      <c r="Y19" s="3318"/>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2"/>
      <c r="M20" s="2936"/>
      <c r="N20" s="2936"/>
      <c r="O20" s="2994"/>
      <c r="P20" s="3318"/>
      <c r="Q20" s="1536"/>
      <c r="R20" s="714"/>
      <c r="S20" s="715"/>
      <c r="T20" s="714"/>
      <c r="U20" s="715"/>
      <c r="V20" s="714"/>
      <c r="W20" s="715"/>
      <c r="X20" s="1539"/>
      <c r="Y20" s="3318"/>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318"/>
      <c r="Q21" s="1536" t="str">
        <f t="shared" si="8"/>
        <v>环境状况</v>
      </c>
      <c r="R21" s="714" t="s">
        <v>17</v>
      </c>
      <c r="S21" s="715">
        <f>F21</f>
        <v>100</v>
      </c>
      <c r="T21" s="714" t="s">
        <v>17</v>
      </c>
      <c r="U21" s="715">
        <f>H21</f>
        <v>100</v>
      </c>
      <c r="V21" s="714" t="s">
        <v>17</v>
      </c>
      <c r="W21" s="715">
        <f>J21</f>
        <v>100</v>
      </c>
      <c r="X21" s="1539"/>
      <c r="Y21" s="3318"/>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2"/>
      <c r="M22" s="2936"/>
      <c r="N22" s="2936"/>
      <c r="O22" s="2994"/>
      <c r="P22" s="3318"/>
      <c r="Q22" s="1536"/>
      <c r="R22" s="714"/>
      <c r="S22" s="715"/>
      <c r="T22" s="714"/>
      <c r="U22" s="715"/>
      <c r="V22" s="714"/>
      <c r="W22" s="715"/>
      <c r="X22" s="1539"/>
      <c r="Y22" s="3318"/>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318"/>
      <c r="Q23" s="1527" t="str">
        <f t="shared" si="8"/>
        <v>公共配套设施</v>
      </c>
      <c r="R23" s="710" t="s">
        <v>17</v>
      </c>
      <c r="S23" s="711">
        <f>F23</f>
        <v>100</v>
      </c>
      <c r="T23" s="710" t="s">
        <v>17</v>
      </c>
      <c r="U23" s="711">
        <f>H23</f>
        <v>100</v>
      </c>
      <c r="V23" s="710" t="s">
        <v>17</v>
      </c>
      <c r="W23" s="711">
        <f>J23</f>
        <v>100</v>
      </c>
      <c r="X23" s="712"/>
      <c r="Y23" s="3318"/>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7"/>
      <c r="M24" s="2938"/>
      <c r="N24" s="2938"/>
      <c r="O24" s="2992"/>
      <c r="P24" s="3318"/>
      <c r="Q24" s="1527"/>
      <c r="R24" s="710"/>
      <c r="S24" s="711"/>
      <c r="T24" s="710"/>
      <c r="U24" s="711"/>
      <c r="V24" s="710"/>
      <c r="W24" s="711"/>
      <c r="X24" s="712"/>
      <c r="Y24" s="3318"/>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318"/>
      <c r="Q25" s="1527" t="str">
        <f t="shared" ref="Q25" si="9">B25</f>
        <v>基础设施水平</v>
      </c>
      <c r="R25" s="710" t="s">
        <v>17</v>
      </c>
      <c r="S25" s="711">
        <f>F25</f>
        <v>100</v>
      </c>
      <c r="T25" s="710" t="s">
        <v>17</v>
      </c>
      <c r="U25" s="711">
        <f>H25</f>
        <v>100</v>
      </c>
      <c r="V25" s="710" t="s">
        <v>17</v>
      </c>
      <c r="W25" s="711">
        <f>J25</f>
        <v>100</v>
      </c>
      <c r="X25" s="712"/>
      <c r="Y25" s="3318"/>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7"/>
      <c r="M26" s="2938"/>
      <c r="N26" s="2938"/>
      <c r="O26" s="2992"/>
      <c r="P26" s="3318"/>
      <c r="Q26" s="1527"/>
      <c r="R26" s="710"/>
      <c r="S26" s="711"/>
      <c r="T26" s="710"/>
      <c r="U26" s="711"/>
      <c r="V26" s="710"/>
      <c r="W26" s="711"/>
      <c r="X26" s="712"/>
      <c r="Y26" s="331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31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8"/>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318"/>
      <c r="Q28" s="1536" t="str">
        <f t="shared" si="8"/>
        <v>毗邻道路的类型与等级</v>
      </c>
      <c r="R28" s="714" t="s">
        <v>17</v>
      </c>
      <c r="S28" s="715">
        <f t="shared" si="10"/>
        <v>100</v>
      </c>
      <c r="T28" s="714" t="s">
        <v>17</v>
      </c>
      <c r="U28" s="715">
        <f t="shared" si="11"/>
        <v>100</v>
      </c>
      <c r="V28" s="714" t="s">
        <v>17</v>
      </c>
      <c r="W28" s="715">
        <f t="shared" si="12"/>
        <v>100</v>
      </c>
      <c r="X28" s="1539"/>
      <c r="Y28" s="3318"/>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2"/>
      <c r="M29" s="2936"/>
      <c r="N29" s="2936"/>
      <c r="O29" s="2994"/>
      <c r="P29" s="3318"/>
      <c r="Q29" s="1536"/>
      <c r="R29" s="714"/>
      <c r="S29" s="715"/>
      <c r="T29" s="714"/>
      <c r="U29" s="715"/>
      <c r="V29" s="714"/>
      <c r="W29" s="715"/>
      <c r="X29" s="1539"/>
      <c r="Y29" s="3318"/>
      <c r="Z29" s="1540"/>
      <c r="AA29" s="1537">
        <v>1</v>
      </c>
      <c r="AB29" s="1537">
        <v>1</v>
      </c>
      <c r="AC29" s="1537">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318"/>
      <c r="Q30" s="1536" t="str">
        <f t="shared" si="8"/>
        <v>土地级别</v>
      </c>
      <c r="R30" s="714" t="s">
        <v>17</v>
      </c>
      <c r="S30" s="715">
        <f t="shared" si="10"/>
        <v>100</v>
      </c>
      <c r="T30" s="714" t="s">
        <v>17</v>
      </c>
      <c r="U30" s="715">
        <f t="shared" si="11"/>
        <v>100</v>
      </c>
      <c r="V30" s="714" t="s">
        <v>17</v>
      </c>
      <c r="W30" s="715">
        <f t="shared" si="12"/>
        <v>100</v>
      </c>
      <c r="X30" s="1539"/>
      <c r="Y30" s="3318"/>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318"/>
      <c r="Q31" s="1536">
        <f t="shared" si="8"/>
        <v>111</v>
      </c>
      <c r="R31" s="714" t="s">
        <v>17</v>
      </c>
      <c r="S31" s="715">
        <f t="shared" si="10"/>
        <v>100</v>
      </c>
      <c r="T31" s="714" t="s">
        <v>17</v>
      </c>
      <c r="U31" s="715">
        <f t="shared" si="11"/>
        <v>100</v>
      </c>
      <c r="V31" s="714" t="s">
        <v>17</v>
      </c>
      <c r="W31" s="715">
        <f t="shared" si="12"/>
        <v>100</v>
      </c>
      <c r="X31" s="1539"/>
      <c r="Y31" s="3318"/>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319" t="s">
        <v>2386</v>
      </c>
      <c r="Q32" s="1536">
        <f t="shared" si="8"/>
        <v>111</v>
      </c>
      <c r="R32" s="714" t="s">
        <v>17</v>
      </c>
      <c r="S32" s="715">
        <f t="shared" si="10"/>
        <v>100</v>
      </c>
      <c r="T32" s="714" t="s">
        <v>17</v>
      </c>
      <c r="U32" s="715">
        <f t="shared" si="11"/>
        <v>100</v>
      </c>
      <c r="V32" s="714" t="s">
        <v>17</v>
      </c>
      <c r="W32" s="715">
        <f t="shared" si="12"/>
        <v>100</v>
      </c>
      <c r="X32" s="1539"/>
      <c r="Y32" s="3320"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320"/>
      <c r="Q33" s="1536">
        <f t="shared" si="8"/>
        <v>111</v>
      </c>
      <c r="R33" s="717" t="s">
        <v>17</v>
      </c>
      <c r="S33" s="718">
        <f t="shared" si="10"/>
        <v>100</v>
      </c>
      <c r="T33" s="717" t="s">
        <v>17</v>
      </c>
      <c r="U33" s="718">
        <f t="shared" si="11"/>
        <v>100</v>
      </c>
      <c r="V33" s="717" t="s">
        <v>17</v>
      </c>
      <c r="W33" s="718">
        <f t="shared" si="12"/>
        <v>100</v>
      </c>
      <c r="X33" s="719"/>
      <c r="Y33" s="3320"/>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320"/>
      <c r="Q34" s="1536" t="str">
        <f>B34</f>
        <v>宗地面积</v>
      </c>
      <c r="R34" s="714" t="s">
        <v>17</v>
      </c>
      <c r="S34" s="715" t="e">
        <f t="shared" si="10"/>
        <v>#N/A</v>
      </c>
      <c r="T34" s="714" t="s">
        <v>17</v>
      </c>
      <c r="U34" s="715" t="e">
        <f t="shared" si="11"/>
        <v>#N/A</v>
      </c>
      <c r="V34" s="714" t="s">
        <v>17</v>
      </c>
      <c r="W34" s="715" t="e">
        <f t="shared" si="12"/>
        <v>#N/A</v>
      </c>
      <c r="X34" s="1539"/>
      <c r="Y34" s="3320"/>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2"/>
      <c r="M35" s="2936"/>
      <c r="N35" s="2936"/>
      <c r="O35" s="2994"/>
      <c r="P35" s="3320"/>
      <c r="Q35" s="1536" t="str">
        <f t="shared" ref="Q35:Q40" si="14">B35</f>
        <v>宗地形状</v>
      </c>
      <c r="R35" s="714" t="s">
        <v>17</v>
      </c>
      <c r="S35" s="715">
        <f t="shared" si="10"/>
        <v>100</v>
      </c>
      <c r="T35" s="714" t="s">
        <v>17</v>
      </c>
      <c r="U35" s="715">
        <f t="shared" si="11"/>
        <v>100</v>
      </c>
      <c r="V35" s="714" t="s">
        <v>17</v>
      </c>
      <c r="W35" s="715">
        <f t="shared" si="12"/>
        <v>100</v>
      </c>
      <c r="X35" s="1539"/>
      <c r="Y35" s="332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7"/>
      <c r="M36" s="2938"/>
      <c r="N36" s="2938"/>
      <c r="O36" s="2992"/>
      <c r="P36" s="3320"/>
      <c r="Q36" s="1536" t="str">
        <f t="shared" si="14"/>
        <v>宗地开发程度</v>
      </c>
      <c r="R36" s="710" t="s">
        <v>17</v>
      </c>
      <c r="S36" s="711">
        <f t="shared" si="10"/>
        <v>100</v>
      </c>
      <c r="T36" s="710" t="s">
        <v>17</v>
      </c>
      <c r="U36" s="711">
        <f t="shared" si="11"/>
        <v>100</v>
      </c>
      <c r="V36" s="710" t="s">
        <v>17</v>
      </c>
      <c r="W36" s="711">
        <f t="shared" si="12"/>
        <v>100</v>
      </c>
      <c r="X36" s="712"/>
      <c r="Y36" s="332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2"/>
      <c r="M37" s="2936"/>
      <c r="N37" s="2936"/>
      <c r="O37" s="2994"/>
      <c r="P37" s="3320" t="s">
        <v>2386</v>
      </c>
      <c r="Q37" s="1536" t="str">
        <f t="shared" si="14"/>
        <v>工程地质条件</v>
      </c>
      <c r="R37" s="714" t="s">
        <v>17</v>
      </c>
      <c r="S37" s="715">
        <f t="shared" si="10"/>
        <v>100</v>
      </c>
      <c r="T37" s="714" t="s">
        <v>17</v>
      </c>
      <c r="U37" s="715">
        <f t="shared" si="11"/>
        <v>100</v>
      </c>
      <c r="V37" s="714" t="s">
        <v>17</v>
      </c>
      <c r="W37" s="715">
        <f t="shared" si="12"/>
        <v>100</v>
      </c>
      <c r="X37" s="1539"/>
      <c r="Y37" s="3320" t="s">
        <v>2386</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320"/>
      <c r="Q38" s="1536">
        <f t="shared" si="14"/>
        <v>111</v>
      </c>
      <c r="R38" s="714" t="s">
        <v>17</v>
      </c>
      <c r="S38" s="715">
        <f t="shared" si="10"/>
        <v>100</v>
      </c>
      <c r="T38" s="714" t="s">
        <v>17</v>
      </c>
      <c r="U38" s="715">
        <f t="shared" si="11"/>
        <v>100</v>
      </c>
      <c r="V38" s="714" t="s">
        <v>17</v>
      </c>
      <c r="W38" s="715">
        <f t="shared" si="12"/>
        <v>100</v>
      </c>
      <c r="X38" s="1539"/>
      <c r="Y38" s="3320"/>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320"/>
      <c r="Q39" s="1536">
        <f t="shared" si="14"/>
        <v>111</v>
      </c>
      <c r="R39" s="714" t="s">
        <v>17</v>
      </c>
      <c r="S39" s="715">
        <f t="shared" si="10"/>
        <v>100</v>
      </c>
      <c r="T39" s="714" t="s">
        <v>17</v>
      </c>
      <c r="U39" s="715">
        <f t="shared" si="11"/>
        <v>100</v>
      </c>
      <c r="V39" s="714" t="s">
        <v>17</v>
      </c>
      <c r="W39" s="715">
        <f t="shared" si="12"/>
        <v>100</v>
      </c>
      <c r="X39" s="1539"/>
      <c r="Y39" s="3320"/>
      <c r="Z39" s="1540">
        <f t="shared" si="13"/>
        <v>111</v>
      </c>
      <c r="AA39" s="1537">
        <f t="shared" si="3"/>
        <v>1</v>
      </c>
      <c r="AB39" s="1537">
        <f t="shared" si="4"/>
        <v>1</v>
      </c>
      <c r="AC39" s="1537">
        <f t="shared" si="5"/>
        <v>1</v>
      </c>
    </row>
    <row r="40" spans="1:31" s="430" customFormat="1" ht="15.75" thickBot="1">
      <c r="A40" s="427"/>
      <c r="B40" s="1295">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320"/>
      <c r="Q40" s="1536">
        <f t="shared" si="14"/>
        <v>111</v>
      </c>
      <c r="R40" s="717" t="s">
        <v>17</v>
      </c>
      <c r="S40" s="718">
        <f t="shared" si="10"/>
        <v>100</v>
      </c>
      <c r="T40" s="717" t="s">
        <v>17</v>
      </c>
      <c r="U40" s="718">
        <f t="shared" si="11"/>
        <v>100</v>
      </c>
      <c r="V40" s="717" t="s">
        <v>17</v>
      </c>
      <c r="W40" s="718">
        <f t="shared" si="12"/>
        <v>100</v>
      </c>
      <c r="X40" s="719"/>
      <c r="Y40" s="3320"/>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44"/>
      <c r="M41" s="2936"/>
      <c r="N41" s="2936"/>
      <c r="O41" s="2945"/>
      <c r="P41" s="3302" t="str">
        <f>A41</f>
        <v>成交单价</v>
      </c>
      <c r="Q41" s="3302"/>
      <c r="R41" s="3315">
        <f>E41</f>
        <v>0</v>
      </c>
      <c r="S41" s="3315"/>
      <c r="T41" s="3315">
        <f>G41</f>
        <v>0</v>
      </c>
      <c r="U41" s="3315"/>
      <c r="V41" s="3315">
        <f>I41</f>
        <v>0</v>
      </c>
      <c r="W41" s="3315"/>
      <c r="X41" s="699"/>
      <c r="Y41" s="721"/>
      <c r="Z41" s="699"/>
      <c r="AA41" s="699"/>
      <c r="AB41" s="699"/>
      <c r="AC41" s="699"/>
    </row>
    <row r="42" spans="1:31" ht="15.75" thickBot="1">
      <c r="A42" s="445" t="s">
        <v>2490</v>
      </c>
      <c r="B42" s="639"/>
      <c r="C42" s="448" t="e">
        <f>R43</f>
        <v>#DIV/0!</v>
      </c>
      <c r="D42" s="2529" t="s">
        <v>2879</v>
      </c>
      <c r="E42" s="448" t="e">
        <f>R42</f>
        <v>#DIV/0!</v>
      </c>
      <c r="F42" s="2530"/>
      <c r="G42" s="447" t="e">
        <f>T42</f>
        <v>#DIV/0!</v>
      </c>
      <c r="H42" s="2530"/>
      <c r="I42" s="448" t="e">
        <f>V42</f>
        <v>#DIV/0!</v>
      </c>
      <c r="J42" s="2530"/>
      <c r="K42" s="2532">
        <f>F42+H42+J42</f>
        <v>0</v>
      </c>
      <c r="L42" s="2944"/>
      <c r="M42" s="2936"/>
      <c r="N42" s="2936"/>
      <c r="O42" s="2945"/>
      <c r="P42" s="3302" t="str">
        <f>A42</f>
        <v>比较价值（元/平方米）</v>
      </c>
      <c r="Q42" s="3302"/>
      <c r="R42" s="3321" t="e">
        <f>ROUND(PRODUCT(R41,AA7:AA40),0)</f>
        <v>#DIV/0!</v>
      </c>
      <c r="S42" s="3321"/>
      <c r="T42" s="3321" t="e">
        <f>ROUND(PRODUCT(T41,AB7:AB40),0)</f>
        <v>#DIV/0!</v>
      </c>
      <c r="U42" s="3321"/>
      <c r="V42" s="3321" t="e">
        <f>ROUND(PRODUCT(V41,AC7:AC40),0)</f>
        <v>#DIV/0!</v>
      </c>
      <c r="W42" s="3321"/>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4"/>
      <c r="M43" s="2936"/>
      <c r="N43" s="2936"/>
      <c r="O43" s="2945"/>
      <c r="P43" s="3322" t="str">
        <f>A43</f>
        <v>估价对象XX用房的比较价值（楼面单价，元/平方米）</v>
      </c>
      <c r="Q43" s="3323"/>
      <c r="R43" s="3324" t="e">
        <f>ROUND(IF(D42="简单平均",AVERAGE(R42:W42),R42*F42+T42*H42+V42*J42),0)</f>
        <v>#DIV/0!</v>
      </c>
      <c r="S43" s="3324"/>
      <c r="T43" s="3324"/>
      <c r="U43" s="3324"/>
      <c r="V43" s="3324"/>
      <c r="W43" s="3324"/>
      <c r="X43" s="699"/>
      <c r="Y43" s="699"/>
      <c r="Z43" s="699"/>
      <c r="AA43" s="699"/>
      <c r="AB43" s="699"/>
      <c r="AC43" s="699"/>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2"/>
      <c r="D49" s="700"/>
      <c r="E49" s="700"/>
      <c r="F49" s="700"/>
      <c r="G49" s="700"/>
      <c r="H49" s="700"/>
      <c r="I49" s="700"/>
      <c r="J49" s="700"/>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2579</v>
      </c>
      <c r="B50" s="641" t="s">
        <v>2580</v>
      </c>
      <c r="C50" s="2169" t="s">
        <v>2581</v>
      </c>
      <c r="D50" s="2170" t="s">
        <v>2582</v>
      </c>
      <c r="E50" s="642" t="s">
        <v>2583</v>
      </c>
      <c r="F50" s="643" t="s">
        <v>2584</v>
      </c>
      <c r="G50" s="3303" t="s">
        <v>2585</v>
      </c>
      <c r="H50" s="3325"/>
      <c r="I50" s="1540" t="s">
        <v>2622</v>
      </c>
      <c r="J50" s="1540">
        <f>项目基本情况!F35</f>
        <v>0</v>
      </c>
      <c r="K50" s="2172" t="s">
        <v>2587</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2588</v>
      </c>
      <c r="B51" s="645" t="e">
        <f>C43</f>
        <v>#DIV/0!</v>
      </c>
      <c r="C51" s="646">
        <v>1</v>
      </c>
      <c r="D51" s="1075">
        <v>1</v>
      </c>
      <c r="E51" s="646">
        <f>'数据-汇总表'!E8+'数据-汇总表'!E9</f>
        <v>114107.98000000001</v>
      </c>
      <c r="F51" s="647" t="e">
        <f t="shared" ref="F51:F60" si="15">ROUND(B51*E51/10000,0)</f>
        <v>#DIV/0!</v>
      </c>
      <c r="G51" s="3326"/>
      <c r="H51" s="3302"/>
      <c r="I51" s="879">
        <v>1</v>
      </c>
      <c r="J51" s="879">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2589</v>
      </c>
      <c r="B52" s="224" t="e">
        <f>ROUND($C$43*C52*D52,0)</f>
        <v>#DIV/0!</v>
      </c>
      <c r="C52" s="176">
        <f t="shared" ref="C52:C60" si="16">IF($C$50="北京市系数",I52,J52)</f>
        <v>0</v>
      </c>
      <c r="D52" s="1076">
        <v>0.25</v>
      </c>
      <c r="E52" s="650"/>
      <c r="F52" s="647" t="e">
        <f t="shared" si="15"/>
        <v>#DIV/0!</v>
      </c>
      <c r="G52" s="3327" t="s">
        <v>2590</v>
      </c>
      <c r="H52" s="1018">
        <f>项目基本情况!B37</f>
        <v>0</v>
      </c>
      <c r="I52" s="879">
        <f>SUMIF(修正!A45:A56,H52,修正!B45:B56)</f>
        <v>0</v>
      </c>
      <c r="J52" s="880"/>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2591</v>
      </c>
      <c r="B53" s="224" t="e">
        <f t="shared" ref="B53:B60" si="17">ROUND($C$43*C53*D53,0)</f>
        <v>#DIV/0!</v>
      </c>
      <c r="C53" s="176">
        <f t="shared" si="16"/>
        <v>0</v>
      </c>
      <c r="D53" s="1076">
        <v>0.25</v>
      </c>
      <c r="E53" s="650"/>
      <c r="F53" s="647" t="e">
        <f t="shared" si="15"/>
        <v>#DIV/0!</v>
      </c>
      <c r="G53" s="3327"/>
      <c r="H53" s="1018">
        <f>项目基本情况!B37</f>
        <v>0</v>
      </c>
      <c r="I53" s="879">
        <f>SUMIF(修正!A45:A56,H53,修正!C45:C56)</f>
        <v>0</v>
      </c>
      <c r="J53" s="880"/>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2592</v>
      </c>
      <c r="B54" s="224" t="e">
        <f t="shared" si="17"/>
        <v>#DIV/0!</v>
      </c>
      <c r="C54" s="176">
        <f t="shared" si="16"/>
        <v>0</v>
      </c>
      <c r="D54" s="1076">
        <v>0.25</v>
      </c>
      <c r="E54" s="650"/>
      <c r="F54" s="647" t="e">
        <f t="shared" si="15"/>
        <v>#DIV/0!</v>
      </c>
      <c r="G54" s="3327"/>
      <c r="H54" s="1018">
        <f>项目基本情况!B37</f>
        <v>0</v>
      </c>
      <c r="I54" s="879">
        <f>SUMIF(修正!A45:A56,H54,修正!D45:D56)</f>
        <v>0</v>
      </c>
      <c r="J54" s="880"/>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2593</v>
      </c>
      <c r="B55" s="224" t="e">
        <f t="shared" si="17"/>
        <v>#DIV/0!</v>
      </c>
      <c r="C55" s="176">
        <f t="shared" si="16"/>
        <v>0</v>
      </c>
      <c r="D55" s="1076">
        <v>0.25</v>
      </c>
      <c r="E55" s="650"/>
      <c r="F55" s="647" t="e">
        <f t="shared" si="15"/>
        <v>#DIV/0!</v>
      </c>
      <c r="G55" s="3327"/>
      <c r="H55" s="1018">
        <f>项目基本情况!B37</f>
        <v>0</v>
      </c>
      <c r="I55" s="879">
        <f>SUMIF(修正!A45:A56,H55,修正!E45:E56)</f>
        <v>0</v>
      </c>
      <c r="J55" s="880"/>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2602</v>
      </c>
      <c r="B61" s="652" t="s">
        <v>28</v>
      </c>
      <c r="C61" s="652" t="s">
        <v>29</v>
      </c>
      <c r="D61" s="652" t="s">
        <v>997</v>
      </c>
      <c r="E61" s="652">
        <f>IF(B41="楼面地价",SUM(E51:E60),'数据-汇总表'!D3)</f>
        <v>236852.67</v>
      </c>
      <c r="F61" s="653" t="e">
        <f>IF(B41="楼面地价",SUM(F51:F60),ROUND(C43*E61/10000,0))</f>
        <v>#DIV/0!</v>
      </c>
      <c r="G61" s="1070"/>
      <c r="H61" s="1070"/>
      <c r="I61" s="1070"/>
      <c r="J61" s="1070"/>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8"/>
      <c r="B62" s="1060"/>
      <c r="C62" s="1062"/>
      <c r="D62" s="1058"/>
      <c r="E62" s="1058"/>
      <c r="F62" s="1058"/>
      <c r="G62" s="1058"/>
      <c r="H62" s="1058"/>
      <c r="I62" s="1058"/>
      <c r="J62" s="1058"/>
      <c r="K62" s="1019"/>
      <c r="L62" s="1020"/>
      <c r="M62" s="1058"/>
      <c r="N62" s="1058"/>
      <c r="O62" s="1058"/>
      <c r="P62" s="2945"/>
      <c r="Q62" s="2945"/>
      <c r="R62" s="2945"/>
      <c r="S62" s="2945"/>
      <c r="T62" s="2945"/>
      <c r="U62" s="2945"/>
      <c r="V62" s="2945"/>
      <c r="W62" s="2945"/>
      <c r="X62" s="2945"/>
      <c r="Y62" s="2945"/>
      <c r="Z62" s="2945"/>
      <c r="AA62" s="2945"/>
      <c r="AB62" s="2945"/>
      <c r="AC62" s="2945"/>
      <c r="AD62" s="2945"/>
      <c r="AE62" s="2945"/>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45"/>
      <c r="Q63" s="2945"/>
      <c r="R63" s="2945"/>
      <c r="S63" s="2945"/>
      <c r="T63" s="2945"/>
      <c r="U63" s="2945"/>
      <c r="V63" s="2945"/>
      <c r="W63" s="2945"/>
      <c r="X63" s="2945"/>
      <c r="Y63" s="2945"/>
      <c r="Z63" s="2945"/>
      <c r="AA63" s="2945"/>
      <c r="AB63" s="2945"/>
      <c r="AC63" s="2945"/>
      <c r="AD63" s="2945"/>
      <c r="AE63" s="2945"/>
    </row>
    <row r="64" spans="1:31" ht="21.75" thickBot="1">
      <c r="A64" s="703" t="s">
        <v>2495</v>
      </c>
      <c r="B64" s="699"/>
      <c r="C64" s="704"/>
      <c r="D64" s="704"/>
      <c r="E64" s="704"/>
      <c r="F64" s="705"/>
      <c r="G64" s="705"/>
      <c r="H64" s="704"/>
      <c r="I64" s="704"/>
      <c r="J64" s="704"/>
      <c r="K64" s="706"/>
      <c r="L64" s="707"/>
      <c r="M64" s="704"/>
      <c r="N64" s="704"/>
      <c r="O64" s="1071"/>
      <c r="P64" s="2989"/>
      <c r="Q64" s="2959"/>
      <c r="R64" s="2945"/>
      <c r="S64" s="2945"/>
      <c r="T64" s="2945"/>
      <c r="U64" s="2945"/>
      <c r="V64" s="2945"/>
      <c r="W64" s="2945"/>
      <c r="X64" s="2945"/>
      <c r="Y64" s="2945"/>
      <c r="Z64" s="2945"/>
      <c r="AA64" s="2945"/>
      <c r="AB64" s="2945"/>
      <c r="AC64" s="2945"/>
      <c r="AD64" s="2945"/>
      <c r="AE64" s="2945"/>
    </row>
    <row r="65" spans="1:31" s="465" customFormat="1" ht="15">
      <c r="A65" s="2175" t="s">
        <v>2603</v>
      </c>
      <c r="B65" s="1268"/>
      <c r="C65" s="1343" t="str">
        <f>YEAR(C63)&amp;"-"&amp;ROUNDUP(MONTH(C63)/3,0)</f>
        <v>2022-1</v>
      </c>
      <c r="D65" s="1343" t="str">
        <f t="shared" ref="D65:O65" si="19">YEAR(D63)&amp;"-"&amp;ROUNDUP(MONTH(D63)/3,0)</f>
        <v>2021-4</v>
      </c>
      <c r="E65" s="1343" t="str">
        <f t="shared" si="19"/>
        <v>2021-3</v>
      </c>
      <c r="F65" s="1343" t="str">
        <f t="shared" si="19"/>
        <v>2021-2</v>
      </c>
      <c r="G65" s="1343" t="str">
        <f t="shared" si="19"/>
        <v>2021-1</v>
      </c>
      <c r="H65" s="1343" t="str">
        <f t="shared" si="19"/>
        <v>2020-4</v>
      </c>
      <c r="I65" s="1343" t="str">
        <f t="shared" si="19"/>
        <v>2020-3</v>
      </c>
      <c r="J65" s="1343" t="str">
        <f t="shared" si="19"/>
        <v>2020-2</v>
      </c>
      <c r="K65" s="1343" t="str">
        <f t="shared" si="19"/>
        <v>2020-1</v>
      </c>
      <c r="L65" s="1343" t="str">
        <f t="shared" si="19"/>
        <v>2019-4</v>
      </c>
      <c r="M65" s="1343" t="str">
        <f t="shared" si="19"/>
        <v>2019-3</v>
      </c>
      <c r="N65" s="1343" t="str">
        <f t="shared" si="19"/>
        <v>2019-2</v>
      </c>
      <c r="O65" s="1343" t="str">
        <f t="shared" si="19"/>
        <v>2019-1</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80" t="s">
        <v>2623</v>
      </c>
      <c r="B66" s="294" t="str">
        <f>"北京市平均增长率"&amp;TEXT(基准地价修正!P24,"0.00%")</f>
        <v>北京市平均增长率1.18%</v>
      </c>
      <c r="C66" s="560">
        <v>100</v>
      </c>
      <c r="D66" s="552"/>
      <c r="E66" s="552"/>
      <c r="F66" s="552"/>
      <c r="G66" s="552"/>
      <c r="H66" s="552"/>
      <c r="I66" s="552"/>
      <c r="J66" s="552"/>
      <c r="K66" s="552"/>
      <c r="L66" s="552"/>
      <c r="M66" s="1339"/>
      <c r="N66" s="1339"/>
      <c r="O66" s="1341"/>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2406</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2371</v>
      </c>
      <c r="B68" s="467"/>
      <c r="C68" s="479" t="s">
        <v>2473</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2409</v>
      </c>
      <c r="B70" s="485" t="s">
        <v>2375</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2378</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2380</v>
      </c>
      <c r="B83" s="485" t="s">
        <v>2526</v>
      </c>
      <c r="C83" s="530" t="s">
        <v>2418</v>
      </c>
      <c r="D83" s="530" t="s">
        <v>2419</v>
      </c>
      <c r="E83" s="530" t="s">
        <v>2420</v>
      </c>
      <c r="F83" s="530" t="s">
        <v>2421</v>
      </c>
      <c r="G83" s="530" t="s">
        <v>2422</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2423</v>
      </c>
      <c r="C85" s="535" t="s">
        <v>2418</v>
      </c>
      <c r="D85" s="535" t="s">
        <v>2419</v>
      </c>
      <c r="E85" s="535" t="s">
        <v>2420</v>
      </c>
      <c r="F85" s="535" t="s">
        <v>2421</v>
      </c>
      <c r="G85" s="535" t="s">
        <v>2422</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2512</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2571</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2613</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2615</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2616</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7" priority="18" stopIfTrue="1" operator="containsText" text="超过">
      <formula>NOT(ISERROR(SEARCH("超过",F46)))</formula>
    </cfRule>
  </conditionalFormatting>
  <conditionalFormatting sqref="J48">
    <cfRule type="containsText" dxfId="146" priority="17" stopIfTrue="1" operator="containsText" text="超过">
      <formula>NOT(ISERROR(SEARCH("超过",J48)))</formula>
    </cfRule>
  </conditionalFormatting>
  <conditionalFormatting sqref="H48">
    <cfRule type="containsText" dxfId="145" priority="16" stopIfTrue="1" operator="containsText" text="超过">
      <formula>NOT(ISERROR(SEARCH("超过",H48)))</formula>
    </cfRule>
  </conditionalFormatting>
  <conditionalFormatting sqref="F48">
    <cfRule type="containsText" dxfId="144" priority="15" stopIfTrue="1" operator="containsText" text="超过">
      <formula>NOT(ISERROR(SEARCH("超过",F48)))</formula>
    </cfRule>
  </conditionalFormatting>
  <conditionalFormatting sqref="F47 H47 J47">
    <cfRule type="containsText" dxfId="143" priority="14" stopIfTrue="1" operator="containsText" text="超过">
      <formula>NOT(ISERROR(SEARCH("超过",F47)))</formula>
    </cfRule>
  </conditionalFormatting>
  <conditionalFormatting sqref="E46">
    <cfRule type="expression" dxfId="142" priority="13" stopIfTrue="1">
      <formula>$F$46="超过30%"</formula>
    </cfRule>
  </conditionalFormatting>
  <conditionalFormatting sqref="G48">
    <cfRule type="expression" dxfId="141" priority="12" stopIfTrue="1">
      <formula>$H$48="超过30%"</formula>
    </cfRule>
  </conditionalFormatting>
  <conditionalFormatting sqref="E48">
    <cfRule type="expression" dxfId="140" priority="10" stopIfTrue="1">
      <formula>$F$48="超过30%"</formula>
    </cfRule>
  </conditionalFormatting>
  <conditionalFormatting sqref="G46">
    <cfRule type="expression" dxfId="139" priority="9" stopIfTrue="1">
      <formula>$H$46="超过30%"</formula>
    </cfRule>
  </conditionalFormatting>
  <conditionalFormatting sqref="G47">
    <cfRule type="expression" dxfId="138" priority="8" stopIfTrue="1">
      <formula>$H$47="超过20%"</formula>
    </cfRule>
  </conditionalFormatting>
  <conditionalFormatting sqref="I46">
    <cfRule type="expression" dxfId="137" priority="7" stopIfTrue="1">
      <formula>$J$46="超过30%"</formula>
    </cfRule>
  </conditionalFormatting>
  <conditionalFormatting sqref="I47">
    <cfRule type="expression" dxfId="136" priority="6" stopIfTrue="1">
      <formula>$J$47="超过20%"</formula>
    </cfRule>
  </conditionalFormatting>
  <conditionalFormatting sqref="I48">
    <cfRule type="expression" dxfId="135" priority="5" stopIfTrue="1">
      <formula>$J$48="超过30%"</formula>
    </cfRule>
  </conditionalFormatting>
  <conditionalFormatting sqref="E47">
    <cfRule type="expression" dxfId="134" priority="53" stopIfTrue="1">
      <formula>#REF!+$F$47="超过20%"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21" sqref="C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2" t="s">
        <v>2625</v>
      </c>
      <c r="B1" s="203"/>
      <c r="C1" s="207" t="s">
        <v>2626</v>
      </c>
      <c r="D1" s="348">
        <f>SUM(D29:D30,D33:D39)</f>
        <v>114107.98000000001</v>
      </c>
      <c r="E1" s="2181"/>
      <c r="F1" s="2181"/>
      <c r="G1" s="2181"/>
      <c r="H1" s="2181"/>
      <c r="I1" s="2181"/>
      <c r="J1" s="2181"/>
      <c r="K1" s="1279"/>
      <c r="L1" s="2182" t="s">
        <v>2627</v>
      </c>
      <c r="M1" s="994">
        <f>SUMPRODUCT((区片价!B5:B9=I2)*(区片价!C3:F3=E2)*(区片价!C5:F9))</f>
        <v>0</v>
      </c>
      <c r="N1" s="997">
        <f>SUMPRODUCT((因素修正幅度!B5:B9=I2)*(因素修正幅度!C3:F3=E2)*(因素修正幅度!C5:F9))</f>
        <v>0</v>
      </c>
      <c r="O1" s="2183"/>
      <c r="P1" s="2183"/>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 ca="1">C26</f>
        <v>75482</v>
      </c>
      <c r="C2" s="2185" t="s">
        <v>2634</v>
      </c>
      <c r="D2" s="2186" t="s">
        <v>2635</v>
      </c>
      <c r="E2" s="2187" t="s">
        <v>6</v>
      </c>
      <c r="F2" s="2186" t="s">
        <v>2636</v>
      </c>
      <c r="G2" s="2188" t="str">
        <f>IF(E2="商业",项目基本情况!B37,IF(E2="办公",项目基本情况!C37,IF(E2="住宅",项目基本情况!D37,项目基本情况!E37)))</f>
        <v>七级</v>
      </c>
      <c r="H2" s="2186" t="s">
        <v>2637</v>
      </c>
      <c r="I2" s="2188" t="str">
        <f>IF(E2="商业",项目基本情况!B38,IF(E2="办公",项目基本情况!C38,IF(E2="住宅",项目基本情况!D38,项目基本情况!E38)))</f>
        <v>Ⅶ-顺2</v>
      </c>
      <c r="J2" s="2189"/>
      <c r="K2" s="1279"/>
      <c r="L2" s="2190"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3.8809999999999998</v>
      </c>
      <c r="T2" s="1373">
        <f ca="1">ROUND($C$5*$C$18*$C$19*$C$20*S2*$C$24,0)</f>
        <v>10995</v>
      </c>
      <c r="U2" s="1374"/>
      <c r="V2" s="1373">
        <f ca="1">ROUND(T2*U2/10000,0)</f>
        <v>0</v>
      </c>
      <c r="W2" s="1377"/>
      <c r="X2" s="1377"/>
      <c r="Y2" s="1377"/>
      <c r="Z2" s="1377"/>
      <c r="AA2" s="1377"/>
      <c r="AB2" s="1377"/>
      <c r="AC2" s="1378"/>
      <c r="AD2" s="1379"/>
      <c r="AE2" s="1379"/>
      <c r="AF2" s="1379"/>
      <c r="AG2" s="1379"/>
      <c r="AH2" s="1379"/>
      <c r="AI2" s="1379"/>
      <c r="AJ2" s="1380"/>
    </row>
    <row r="3" spans="1:36" ht="15.75">
      <c r="A3" s="209" t="s">
        <v>2639</v>
      </c>
      <c r="B3" s="210">
        <f ca="1">ROUND(B2*10000/D1,0)</f>
        <v>6615</v>
      </c>
      <c r="C3" s="2185" t="s">
        <v>2640</v>
      </c>
      <c r="D3" s="2186" t="s">
        <v>2641</v>
      </c>
      <c r="E3" s="2191" t="s">
        <v>3122</v>
      </c>
      <c r="F3" s="2192" t="s">
        <v>2642</v>
      </c>
      <c r="G3" s="855">
        <f>IF(F3="宗地容积率",'数据-汇总表'!I4,IF(F3="估价对象容积率",'数据-汇总表'!I6,'数据-汇总表'!I7))</f>
        <v>0.48</v>
      </c>
      <c r="H3" s="175" t="s">
        <v>2643</v>
      </c>
      <c r="I3" s="881"/>
      <c r="J3" s="2189" t="s">
        <v>2644</v>
      </c>
      <c r="K3" s="1279"/>
      <c r="L3" s="2190" t="s">
        <v>2645</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2.7858000000000001</v>
      </c>
      <c r="T3" s="1373">
        <f t="shared" ref="T3:T16" ca="1" si="0">ROUND($C$5*$C$18*$C$19*$C$20*S3*$C$24,0)</f>
        <v>7892</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351"/>
      <c r="B4" s="3352"/>
      <c r="C4" s="3352"/>
      <c r="D4" s="3353"/>
      <c r="E4" s="3353"/>
      <c r="F4" s="3353"/>
      <c r="G4" s="3353"/>
      <c r="H4" s="3353"/>
      <c r="I4" s="3353"/>
      <c r="J4" s="3354"/>
      <c r="K4" s="1279"/>
      <c r="L4" s="2190" t="s">
        <v>2646</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2.2475000000000001</v>
      </c>
      <c r="T4" s="1373">
        <f t="shared" ca="1" si="0"/>
        <v>6367</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2647</v>
      </c>
      <c r="C5" s="856">
        <f>ROUND(IF(E2="商业",C6*C7+C16,(IF(E2="住宅",C6*C12+C16,C6+C16))),0)</f>
        <v>1405</v>
      </c>
      <c r="D5" s="1523">
        <f>ROUND(C6+C16,0)</f>
        <v>1405</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1.8032999999999999</v>
      </c>
      <c r="T5" s="1373">
        <f t="shared" ca="1" si="0"/>
        <v>5109</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2649</v>
      </c>
      <c r="B6" s="2204" t="s">
        <v>2650</v>
      </c>
      <c r="C6" s="857">
        <f>SUMIF(L1:L12,G2,M1:M12)</f>
        <v>1480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1.5356000000000001</v>
      </c>
      <c r="T6" s="1373">
        <f t="shared" ca="1" si="0"/>
        <v>4350</v>
      </c>
      <c r="U6" s="1374"/>
      <c r="V6" s="1373">
        <f t="shared" ca="1" si="1"/>
        <v>0</v>
      </c>
      <c r="W6" s="1377"/>
      <c r="X6" s="1377"/>
      <c r="Y6" s="1377"/>
      <c r="Z6" s="1377"/>
      <c r="AA6" s="1377"/>
      <c r="AB6" s="1377"/>
      <c r="AC6" s="2199"/>
      <c r="AD6" s="2200"/>
      <c r="AE6" s="2200"/>
      <c r="AF6" s="2200"/>
      <c r="AG6" s="2200"/>
      <c r="AH6" s="2200"/>
      <c r="AI6" s="2200"/>
      <c r="AJ6" s="2201"/>
    </row>
    <row r="7" spans="1:36" ht="24">
      <c r="A7" s="3332"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1480</v>
      </c>
      <c r="N7" s="997">
        <f>SUMPRODUCT((因素修正幅度!B158:B205=I2)*(因素修正幅度!C3:F3=E2)*(因素修正幅度!C158:F205))</f>
        <v>0.13</v>
      </c>
      <c r="O7" s="1279"/>
      <c r="P7" s="1279"/>
      <c r="Q7" s="1279"/>
      <c r="R7" s="1373">
        <v>6</v>
      </c>
      <c r="S7" s="1373">
        <f>ROUND(IF(G3&gt;1,IF(R7&lt;7,SUMPRODUCT((B93:B98=R7)*(C92:N92=G2)*(C93:N98)),SUMIF(C92:N92,G2,C100:N100)),IF(R7&lt;7,SUMPRODUCT((B102:B107=R7)*(C92:N92=G2)*(C102:N107)),SUMIF(C92:N92,G2,C109:N109))),4)</f>
        <v>1.3504</v>
      </c>
      <c r="T7" s="1373">
        <f t="shared" ca="1" si="0"/>
        <v>3826</v>
      </c>
      <c r="U7" s="1374"/>
      <c r="V7" s="1373">
        <f t="shared" ca="1" si="1"/>
        <v>0</v>
      </c>
      <c r="W7" s="1542" t="s">
        <v>2656</v>
      </c>
      <c r="X7" s="1375" t="str">
        <f>G2</f>
        <v>七级</v>
      </c>
      <c r="Y7" s="1375" t="s">
        <v>2657</v>
      </c>
      <c r="Z7" s="1376">
        <f>G3</f>
        <v>0.48</v>
      </c>
      <c r="AA7" s="1377"/>
      <c r="AB7" s="1377"/>
      <c r="AC7" s="1378"/>
      <c r="AD7" s="1379"/>
      <c r="AE7" s="1379"/>
      <c r="AF7" s="1379"/>
      <c r="AG7" s="1379"/>
      <c r="AH7" s="1379"/>
      <c r="AI7" s="1379"/>
      <c r="AJ7" s="1380"/>
    </row>
    <row r="8" spans="1:36" ht="25.5">
      <c r="A8" s="3355"/>
      <c r="B8" s="175" t="s">
        <v>2658</v>
      </c>
      <c r="C8" s="2214" t="s">
        <v>3123</v>
      </c>
      <c r="D8" s="859" t="s">
        <v>139</v>
      </c>
      <c r="E8" s="860" t="e">
        <f>ROUND(C11/E7,4)</f>
        <v>#DIV/0!</v>
      </c>
      <c r="F8" s="2215" t="s">
        <v>2659</v>
      </c>
      <c r="G8" s="2216"/>
      <c r="H8" s="2216"/>
      <c r="I8" s="2216"/>
      <c r="J8" s="2217"/>
      <c r="K8" s="1279"/>
      <c r="L8" s="2190" t="s">
        <v>2660</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ca="1" si="0"/>
        <v>0</v>
      </c>
      <c r="U8" s="1374"/>
      <c r="V8" s="1373">
        <f t="shared" ca="1" si="1"/>
        <v>0</v>
      </c>
      <c r="W8" s="3348" t="s">
        <v>2661</v>
      </c>
      <c r="X8" s="3349"/>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55"/>
      <c r="B9" s="175" t="s">
        <v>2674</v>
      </c>
      <c r="C9" s="861">
        <f>SUMIF(修正!C59:C119,C8,修正!E59:E119)</f>
        <v>0</v>
      </c>
      <c r="D9" s="176" t="s">
        <v>140</v>
      </c>
      <c r="E9" s="176" t="e">
        <f>ROUND(C11/E7,4)</f>
        <v>#DIV/0!</v>
      </c>
      <c r="F9" s="2215" t="s">
        <v>2675</v>
      </c>
      <c r="G9" s="2216"/>
      <c r="H9" s="2216"/>
      <c r="I9" s="2216"/>
      <c r="J9" s="2217"/>
      <c r="K9" s="1279"/>
      <c r="L9" s="2190" t="s">
        <v>2676</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350" t="s">
        <v>2677</v>
      </c>
      <c r="X9" s="1382" t="s">
        <v>2678</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55"/>
      <c r="B10" s="175" t="s">
        <v>2679</v>
      </c>
      <c r="C10" s="176">
        <f>SUMIF(修正!C59:C119,C8,修正!F59:F119)</f>
        <v>0</v>
      </c>
      <c r="D10" s="176" t="s">
        <v>141</v>
      </c>
      <c r="E10" s="176" t="e">
        <f>ROUND(C11/E7,4)</f>
        <v>#DIV/0!</v>
      </c>
      <c r="F10" s="2215" t="s">
        <v>2680</v>
      </c>
      <c r="G10" s="2216"/>
      <c r="H10" s="2216"/>
      <c r="I10" s="2216"/>
      <c r="J10" s="2217"/>
      <c r="K10" s="1279"/>
      <c r="L10" s="2190" t="s">
        <v>2681</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35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55"/>
      <c r="B11" s="2218" t="s">
        <v>2682</v>
      </c>
      <c r="C11" s="862">
        <f>C10/4</f>
        <v>0</v>
      </c>
      <c r="D11" s="862" t="s">
        <v>142</v>
      </c>
      <c r="E11" s="862" t="e">
        <f>ROUND(C11/E7,4)</f>
        <v>#DIV/0!</v>
      </c>
      <c r="F11" s="2219" t="s">
        <v>2683</v>
      </c>
      <c r="G11" s="2220"/>
      <c r="H11" s="2220"/>
      <c r="I11" s="2220"/>
      <c r="J11" s="2221"/>
      <c r="K11" s="1279"/>
      <c r="L11" s="2190" t="s">
        <v>2684</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350" t="s">
        <v>2685</v>
      </c>
      <c r="X11" s="1385" t="s">
        <v>2686</v>
      </c>
      <c r="Y11" s="1386">
        <f>$G$3</f>
        <v>0.48</v>
      </c>
      <c r="Z11" s="1386">
        <f t="shared" ref="Z11:AJ11" si="3">$G$3</f>
        <v>0.48</v>
      </c>
      <c r="AA11" s="1386">
        <f t="shared" si="3"/>
        <v>0.48</v>
      </c>
      <c r="AB11" s="1386">
        <f t="shared" si="3"/>
        <v>0.48</v>
      </c>
      <c r="AC11" s="1386">
        <f t="shared" si="3"/>
        <v>0.48</v>
      </c>
      <c r="AD11" s="1386">
        <f t="shared" si="3"/>
        <v>0.48</v>
      </c>
      <c r="AE11" s="1386">
        <f t="shared" si="3"/>
        <v>0.48</v>
      </c>
      <c r="AF11" s="1386">
        <f t="shared" si="3"/>
        <v>0.48</v>
      </c>
      <c r="AG11" s="1386">
        <f t="shared" si="3"/>
        <v>0.48</v>
      </c>
      <c r="AH11" s="1386">
        <f t="shared" si="3"/>
        <v>0.48</v>
      </c>
      <c r="AI11" s="1386">
        <f t="shared" si="3"/>
        <v>0.48</v>
      </c>
      <c r="AJ11" s="1386">
        <f t="shared" si="3"/>
        <v>0.48</v>
      </c>
    </row>
    <row r="12" spans="1:36" ht="25.5" thickBot="1">
      <c r="A12" s="3332" t="s">
        <v>2687</v>
      </c>
      <c r="B12" s="2222" t="s">
        <v>2688</v>
      </c>
      <c r="C12" s="858">
        <f>ROUND(C15*D15*E15*F15*G15*H15*I15*J15,4)</f>
        <v>1</v>
      </c>
      <c r="D12" s="2223" t="s">
        <v>2689</v>
      </c>
      <c r="E12" s="2224"/>
      <c r="F12" s="2224"/>
      <c r="G12" s="2225"/>
      <c r="H12" s="2225"/>
      <c r="I12" s="2225"/>
      <c r="J12" s="2226"/>
      <c r="K12" s="1279"/>
      <c r="L12" s="2227" t="s">
        <v>2690</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350"/>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56"/>
      <c r="B13" s="2228" t="s">
        <v>2692</v>
      </c>
      <c r="C13" s="2229" t="s">
        <v>2693</v>
      </c>
      <c r="D13" s="1534" t="s">
        <v>2694</v>
      </c>
      <c r="E13" s="1534" t="s">
        <v>2695</v>
      </c>
      <c r="F13" s="30" t="s">
        <v>2696</v>
      </c>
      <c r="G13" s="2230" t="s">
        <v>2697</v>
      </c>
      <c r="H13" s="2230" t="s">
        <v>2697</v>
      </c>
      <c r="I13" s="2230" t="s">
        <v>2697</v>
      </c>
      <c r="J13" s="2231" t="s">
        <v>2697</v>
      </c>
      <c r="K13" s="1279"/>
      <c r="L13" s="1279"/>
      <c r="M13" s="1279"/>
      <c r="N13" s="1279"/>
      <c r="O13" s="1279"/>
      <c r="P13" s="1279"/>
      <c r="Q13" s="1279"/>
      <c r="R13" s="1373">
        <v>12</v>
      </c>
      <c r="S13" s="1374"/>
      <c r="T13" s="1373">
        <f t="shared" ca="1" si="0"/>
        <v>0</v>
      </c>
      <c r="U13" s="1374"/>
      <c r="V13" s="1373">
        <f t="shared" ca="1" si="1"/>
        <v>0</v>
      </c>
      <c r="W13" s="3350"/>
      <c r="X13" s="1387"/>
      <c r="Y13" s="1384">
        <f>(-0.163*(Y12^2)-0.59*Y12+7617)*(10^(-4))/Y11</f>
        <v>1.5868750000000003</v>
      </c>
      <c r="Z13" s="1384">
        <f t="shared" ref="Z13:AJ13" si="5">(-0.163*(Z12^2)-0.59*Z12+7617)*(10^(-4))/Z11</f>
        <v>1.5868750000000003</v>
      </c>
      <c r="AA13" s="1384">
        <f t="shared" si="5"/>
        <v>1.5868750000000003</v>
      </c>
      <c r="AB13" s="1384">
        <f t="shared" si="5"/>
        <v>1.5868750000000003</v>
      </c>
      <c r="AC13" s="1384">
        <f t="shared" si="5"/>
        <v>1.5868750000000003</v>
      </c>
      <c r="AD13" s="1384">
        <f t="shared" si="5"/>
        <v>1.5868750000000003</v>
      </c>
      <c r="AE13" s="1384">
        <f t="shared" si="5"/>
        <v>1.5868750000000003</v>
      </c>
      <c r="AF13" s="1384">
        <f t="shared" si="5"/>
        <v>1.5868750000000003</v>
      </c>
      <c r="AG13" s="1384">
        <f t="shared" si="5"/>
        <v>1.5868750000000003</v>
      </c>
      <c r="AH13" s="1384">
        <f t="shared" si="5"/>
        <v>1.5868750000000003</v>
      </c>
      <c r="AI13" s="1384">
        <f t="shared" si="5"/>
        <v>1.5868750000000003</v>
      </c>
      <c r="AJ13" s="1384">
        <f t="shared" si="5"/>
        <v>1.5868750000000003</v>
      </c>
    </row>
    <row r="14" spans="1:36" ht="15">
      <c r="A14" s="3356"/>
      <c r="B14" s="2232"/>
      <c r="C14" s="2233"/>
      <c r="D14" s="2234"/>
      <c r="E14" s="2234"/>
      <c r="F14" s="2235"/>
      <c r="G14" s="2236" t="s">
        <v>2698</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1"/>
      <c r="AE14" s="3011"/>
      <c r="AF14" s="3011"/>
      <c r="AG14" s="3011"/>
      <c r="AH14" s="3011"/>
      <c r="AI14" s="3011"/>
      <c r="AJ14" s="3012"/>
    </row>
    <row r="15" spans="1:36" ht="15.75" thickBot="1">
      <c r="A15" s="3357"/>
      <c r="B15" s="2240" t="s">
        <v>2699</v>
      </c>
      <c r="C15" s="193">
        <f>IF(C14="有",1.1,1)</f>
        <v>1</v>
      </c>
      <c r="D15" s="193">
        <f>IF(D14="有",1.1,1)</f>
        <v>1</v>
      </c>
      <c r="E15" s="193">
        <f>IF(E14="有",1.1,1)</f>
        <v>1</v>
      </c>
      <c r="F15" s="193">
        <f>IF(F14="500米范围内",1.2,IF(F14="500-1000米",1.1,1))</f>
        <v>1</v>
      </c>
      <c r="G15" s="883">
        <v>1</v>
      </c>
      <c r="H15" s="883">
        <v>1</v>
      </c>
      <c r="I15" s="883">
        <v>1</v>
      </c>
      <c r="J15" s="884">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11"/>
      <c r="AE15" s="3011"/>
      <c r="AF15" s="3011"/>
      <c r="AG15" s="3011"/>
      <c r="AH15" s="3011"/>
      <c r="AI15" s="3011"/>
      <c r="AJ15" s="3012"/>
    </row>
    <row r="16" spans="1:36" ht="24.6" customHeight="1">
      <c r="A16" s="3332" t="s">
        <v>2704</v>
      </c>
      <c r="B16" s="2209" t="s">
        <v>2705</v>
      </c>
      <c r="C16" s="2371">
        <f>ROUND(IF(F17="与级别开发程度一致",0,(G17-E17)/C17),0)</f>
        <v>-75</v>
      </c>
      <c r="D16" s="3345" t="s">
        <v>2709</v>
      </c>
      <c r="E16" s="3346"/>
      <c r="F16" s="3345" t="s">
        <v>2706</v>
      </c>
      <c r="G16" s="3346"/>
      <c r="H16" s="2241" t="s">
        <v>3065</v>
      </c>
      <c r="I16" s="2241" t="s">
        <v>3066</v>
      </c>
      <c r="J16" s="2375" t="s">
        <v>3067</v>
      </c>
      <c r="K16" s="2241" t="s">
        <v>3068</v>
      </c>
      <c r="L16" s="2241" t="s">
        <v>3069</v>
      </c>
      <c r="M16" s="2241" t="s">
        <v>70</v>
      </c>
      <c r="N16" s="2241" t="s">
        <v>70</v>
      </c>
      <c r="O16" s="2242" t="s">
        <v>3124</v>
      </c>
      <c r="P16" s="2183"/>
      <c r="Q16" s="1279"/>
      <c r="R16" s="1373">
        <v>15</v>
      </c>
      <c r="S16" s="1374"/>
      <c r="T16" s="1373">
        <f t="shared" ca="1" si="0"/>
        <v>0</v>
      </c>
      <c r="U16" s="1374"/>
      <c r="V16" s="1373">
        <f t="shared" ca="1" si="1"/>
        <v>0</v>
      </c>
      <c r="W16" s="1377"/>
      <c r="X16" s="1377"/>
      <c r="Y16" s="1377"/>
      <c r="Z16" s="1377"/>
      <c r="AA16" s="1377"/>
      <c r="AB16" s="1377"/>
      <c r="AC16" s="1378"/>
      <c r="AD16" s="3011"/>
      <c r="AE16" s="3011"/>
      <c r="AF16" s="3011"/>
      <c r="AG16" s="3011"/>
      <c r="AH16" s="3011"/>
      <c r="AI16" s="3011"/>
      <c r="AJ16" s="3012"/>
    </row>
    <row r="17" spans="1:37" ht="26.25" thickBot="1">
      <c r="A17" s="3333"/>
      <c r="B17" s="2382" t="s">
        <v>2708</v>
      </c>
      <c r="C17" s="2383">
        <f>SUMPRODUCT((修正!A2:A5=E2)*(修正!B1:M1=G2)*(修正!B2:M5))</f>
        <v>1.2</v>
      </c>
      <c r="D17" s="193" t="str">
        <f>IF(OR(G2="八级",G2="九级",G2="十级",G2="十一级",G2="十二级"),"五通一平","七通一平")</f>
        <v>七通一平</v>
      </c>
      <c r="E17" s="2372">
        <f>SUMPRODUCT((修正!B1:M1=G2)*(修正!B15:M15))</f>
        <v>300</v>
      </c>
      <c r="F17" s="2373" t="s">
        <v>3125</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0</v>
      </c>
      <c r="N17" s="2383">
        <f>SUMPRODUCT((七通一平=N16)*(修正!B1:M1=G2)*(修正!B6:M14))</f>
        <v>0</v>
      </c>
      <c r="O17" s="2385">
        <f>SUMPRODUCT((七通一平=O16)*(修正!B1:M1=G2)*(修正!B6:M14))</f>
        <v>15</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2711</v>
      </c>
      <c r="C18" s="2378">
        <f>SUMIF(修正!C18:C39,E3,修正!E18:E39)</f>
        <v>1.5</v>
      </c>
      <c r="D18" s="2379"/>
      <c r="E18" s="2380"/>
      <c r="F18" s="2380"/>
      <c r="G18" s="2380"/>
      <c r="H18" s="2380"/>
      <c r="I18" s="2380"/>
      <c r="J18" s="2381"/>
      <c r="K18" s="1286"/>
      <c r="L18" s="3010"/>
      <c r="M18" s="3010"/>
      <c r="N18" s="3010"/>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0"/>
    </row>
    <row r="19" spans="1:37" s="2202" customFormat="1" ht="29.25" thickBot="1">
      <c r="A19" s="2246" t="s">
        <v>809</v>
      </c>
      <c r="B19" s="2247" t="s">
        <v>2712</v>
      </c>
      <c r="C19" s="863">
        <f>ROUND(IF(H19="按公示增长率计算",SUMPRODUCT((地价!A3:A37=YEAR(G19)&amp;"-"&amp;ROUNDUP(MONTH(G19)/3,0))*(地价!X2:AB2=E2)*(地价!X3:AB37)),IF(H19="地价指数",M20/M19,(1+I19)^O19)),4)</f>
        <v>1.4529000000000001</v>
      </c>
      <c r="D19" s="2251" t="s">
        <v>2713</v>
      </c>
      <c r="E19" s="864">
        <v>41640</v>
      </c>
      <c r="F19" s="2251" t="s">
        <v>2714</v>
      </c>
      <c r="G19" s="865">
        <f>'数据-取费表'!B2</f>
        <v>44580</v>
      </c>
      <c r="H19" s="2252" t="s">
        <v>3126</v>
      </c>
      <c r="I19" s="866" t="str">
        <f>IF(H19="季度增幅（自定义）",SUMIF(N21:N24,E2,O21:O24),"")</f>
        <v/>
      </c>
      <c r="J19" s="2249"/>
      <c r="K19" s="1286"/>
      <c r="L19" s="2253" t="s">
        <v>2715</v>
      </c>
      <c r="M19" s="1496">
        <f>ROUND(SUMIF(地价!B2:F2,E2,地价!B37:F37),0)</f>
        <v>230</v>
      </c>
      <c r="N19" s="2254" t="s">
        <v>2716</v>
      </c>
      <c r="O19" s="867">
        <f>ROUNDDOWN(DATEDIF(E19,G19,"M")/3,0)</f>
        <v>32</v>
      </c>
      <c r="P19" s="1283"/>
      <c r="Q19" s="1285"/>
      <c r="R19" s="1285"/>
      <c r="S19" s="1285"/>
      <c r="T19" s="1280"/>
      <c r="U19" s="1280"/>
      <c r="V19" s="1280"/>
      <c r="W19" s="1279"/>
      <c r="X19" s="1279"/>
      <c r="Y19" s="1279"/>
      <c r="Z19" s="1286"/>
      <c r="AA19" s="1286"/>
      <c r="AB19" s="1286"/>
      <c r="AC19" s="1286"/>
      <c r="AD19" s="1286"/>
      <c r="AE19" s="1286"/>
      <c r="AF19" s="1285"/>
      <c r="AG19" s="3013"/>
      <c r="AH19" s="2340"/>
      <c r="AI19" s="3014"/>
      <c r="AJ19" s="3014"/>
      <c r="AK19" s="2255"/>
    </row>
    <row r="20" spans="1:37" s="2202" customFormat="1" ht="27.75" thickBot="1">
      <c r="A20" s="2256" t="s">
        <v>810</v>
      </c>
      <c r="B20" s="2257" t="s">
        <v>2717</v>
      </c>
      <c r="C20" s="868">
        <f ca="1">ROUND(POWER(1+G20,J20-I20)*(POWER(1+G20,I20)-1)/(POWER(1+G20,J20)-1),4)</f>
        <v>0.86950000000000005</v>
      </c>
      <c r="D20" s="2258" t="s">
        <v>2718</v>
      </c>
      <c r="E20" s="1505">
        <f ca="1">存贷款利率!D4/100</f>
        <v>3.85E-2</v>
      </c>
      <c r="F20" s="2258" t="s">
        <v>2710</v>
      </c>
      <c r="G20" s="873">
        <f ca="1">SUMIF(M26:P26,E2,M28:P28)</f>
        <v>4.2000000000000003E-2</v>
      </c>
      <c r="H20" s="2258" t="s">
        <v>2719</v>
      </c>
      <c r="I20" s="874">
        <f>SUMIF('数据-取费表'!C6:C15,E2,'数据-取费表'!F6:F15)/COUNTIF('数据-取费表'!C6:C15,E2)</f>
        <v>34.520000000000003</v>
      </c>
      <c r="J20" s="875">
        <f>IF(E2="住宅",70,IF(E2="商业",40,50))</f>
        <v>50</v>
      </c>
      <c r="K20" s="1286"/>
      <c r="L20" s="2259" t="s">
        <v>2720</v>
      </c>
      <c r="M20" s="1497">
        <f>ROUND(SUMPRODUCT((地价!A4:A37=YEAR(G19)&amp;"-"&amp;ROUNDUP(MONTH(G19)/3,0))*(地价!B2:F2=E2)*(地价!B4:F37)),0)</f>
        <v>334</v>
      </c>
      <c r="N20" s="2260" t="s">
        <v>2721</v>
      </c>
      <c r="O20" s="2261" t="s">
        <v>2722</v>
      </c>
      <c r="P20" s="2262" t="s">
        <v>2723</v>
      </c>
      <c r="Q20" s="3010"/>
      <c r="R20" s="1285"/>
      <c r="S20" s="1285"/>
      <c r="T20" s="1280"/>
      <c r="U20" s="1280"/>
      <c r="V20" s="1280"/>
      <c r="W20" s="1279"/>
      <c r="X20" s="1279"/>
      <c r="Y20" s="1279"/>
      <c r="Z20" s="1286"/>
      <c r="AA20" s="1286"/>
      <c r="AB20" s="1286"/>
      <c r="AC20" s="1286"/>
      <c r="AD20" s="1286"/>
      <c r="AE20" s="1286"/>
      <c r="AF20" s="1286"/>
      <c r="AG20" s="3010"/>
      <c r="AH20" s="3010"/>
      <c r="AI20" s="3010"/>
      <c r="AJ20" s="3010"/>
    </row>
    <row r="21" spans="1:37" s="2202" customFormat="1" ht="15">
      <c r="A21" s="2263" t="s">
        <v>811</v>
      </c>
      <c r="B21" s="2264" t="s">
        <v>3127</v>
      </c>
      <c r="C21" s="876">
        <f>IF(B21="容积率修正",IF(G3&lt;=10,D22,J22),C23)</f>
        <v>2.3348</v>
      </c>
      <c r="D21" s="2265"/>
      <c r="E21" s="2265"/>
      <c r="F21" s="2265"/>
      <c r="G21" s="2265"/>
      <c r="H21" s="2265"/>
      <c r="I21" s="2265"/>
      <c r="J21" s="2266"/>
      <c r="K21" s="1286"/>
      <c r="L21" s="3010"/>
      <c r="M21" s="3010"/>
      <c r="N21" s="2267" t="s">
        <v>2724</v>
      </c>
      <c r="O21" s="1334"/>
      <c r="P21" s="1335">
        <f>SUMPRODUCT((地价!A3:A37=YEAR(G19)&amp;"-"&amp;ROUNDUP(MONTH(G19)/3,0))*(地价!AD2:AH2=N21)*(地价!AD3:AH37))</f>
        <v>1.0200000000000001E-2</v>
      </c>
      <c r="Q21" s="3010"/>
      <c r="R21" s="1285"/>
      <c r="S21" s="1285"/>
      <c r="T21" s="1280"/>
      <c r="U21" s="1280"/>
      <c r="V21" s="1280"/>
      <c r="W21" s="1279"/>
      <c r="X21" s="1279"/>
      <c r="Y21" s="1279"/>
      <c r="Z21" s="1286"/>
      <c r="AA21" s="1286"/>
      <c r="AB21" s="1286"/>
      <c r="AC21" s="1286"/>
      <c r="AD21" s="1286"/>
      <c r="AE21" s="1286"/>
      <c r="AF21" s="1286"/>
      <c r="AG21" s="3010"/>
      <c r="AH21" s="3010"/>
      <c r="AI21" s="3010"/>
      <c r="AJ21" s="3010"/>
    </row>
    <row r="22" spans="1:37" s="2202" customFormat="1" ht="14.25">
      <c r="A22" s="2141" t="s">
        <v>2725</v>
      </c>
      <c r="B22" s="2268" t="s">
        <v>2726</v>
      </c>
      <c r="C22" s="1536" t="s">
        <v>2727</v>
      </c>
      <c r="D22" s="1536">
        <f>IF(E22=G22,F22,IF(G3&lt;=10,ROUND(F22+(H22-F22)*(G3-E22)/(G22-E22),4),"——"))</f>
        <v>2.3348</v>
      </c>
      <c r="E22" s="855">
        <f>ROUNDDOWN(G3,1)</f>
        <v>0.4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855">
        <f>ROUNDUP(G3,1)</f>
        <v>0.5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536" t="s">
        <v>155</v>
      </c>
      <c r="J22" s="877" t="str">
        <f>IF(G3&gt;10,D113,"——")</f>
        <v>——</v>
      </c>
      <c r="K22" s="1286"/>
      <c r="L22" s="3010"/>
      <c r="M22" s="3010"/>
      <c r="N22" s="2267" t="s">
        <v>2728</v>
      </c>
      <c r="O22" s="1334"/>
      <c r="P22" s="1335">
        <f>SUMPRODUCT((地价!A3:A37=YEAR(G19)&amp;"-"&amp;ROUNDUP(MONTH(G19)/3,0))*(地价!AD2:AH2=N22)*(地价!AD3:AH37))</f>
        <v>1.0200000000000001E-2</v>
      </c>
      <c r="Q22" s="3010"/>
      <c r="R22" s="1285"/>
      <c r="S22" s="1285"/>
      <c r="T22" s="1280"/>
      <c r="U22" s="1280"/>
      <c r="V22" s="1280"/>
      <c r="W22" s="1279"/>
      <c r="X22" s="1279"/>
      <c r="Y22" s="1279"/>
      <c r="Z22" s="1286"/>
      <c r="AA22" s="1286"/>
      <c r="AB22" s="1286"/>
      <c r="AC22" s="1286"/>
      <c r="AD22" s="1286"/>
      <c r="AE22" s="1286"/>
      <c r="AF22" s="1286"/>
      <c r="AG22" s="3010"/>
      <c r="AH22" s="3010"/>
      <c r="AI22" s="3010"/>
      <c r="AJ22" s="3010"/>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79"/>
      <c r="L23" s="2183">
        <v>1.4529000000000001</v>
      </c>
      <c r="M23" s="2183"/>
      <c r="N23" s="2267" t="s">
        <v>2731</v>
      </c>
      <c r="O23" s="1334"/>
      <c r="P23" s="1335">
        <f>SUMPRODUCT((地价!A3:A37=YEAR(G19)&amp;"-"&amp;ROUNDUP(MONTH(G19)/3,0))*(地价!AD2:AH2=N23)*(地价!AD3:AH37))</f>
        <v>1.77E-2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2732</v>
      </c>
      <c r="C24" s="863">
        <f>SUMIF(A45:A88,E2,B45:B88)</f>
        <v>1.0641</v>
      </c>
      <c r="D24" s="2248"/>
      <c r="E24" s="2275"/>
      <c r="F24" s="2275"/>
      <c r="G24" s="2275"/>
      <c r="H24" s="2275"/>
      <c r="I24" s="2275"/>
      <c r="J24" s="2276"/>
      <c r="K24" s="1286"/>
      <c r="L24" s="3010"/>
      <c r="M24" s="3010"/>
      <c r="N24" s="2277" t="s">
        <v>2733</v>
      </c>
      <c r="O24" s="1336"/>
      <c r="P24" s="1337">
        <f>SUMPRODUCT((地价!A3:A37=YEAR(G19)&amp;"-"&amp;ROUNDUP(MONTH(G19)/3,0))*(地价!AD2:AH2=N24)*(地价!AD3:AH37))</f>
        <v>1.18E-2</v>
      </c>
      <c r="Q24" s="3010"/>
      <c r="R24" s="1285"/>
      <c r="S24" s="1285"/>
      <c r="T24" s="1280"/>
      <c r="U24" s="1280"/>
      <c r="V24" s="1280"/>
      <c r="W24" s="1279"/>
      <c r="X24" s="1279"/>
      <c r="Y24" s="1279"/>
      <c r="Z24" s="1286"/>
      <c r="AA24" s="1286"/>
      <c r="AB24" s="1286"/>
      <c r="AC24" s="1286"/>
      <c r="AD24" s="1286"/>
      <c r="AE24" s="1286"/>
      <c r="AF24" s="1286"/>
      <c r="AG24" s="3010"/>
      <c r="AH24" s="3010"/>
      <c r="AI24" s="3010"/>
      <c r="AJ24" s="3010"/>
    </row>
    <row r="25" spans="1:37" ht="15.75" thickBot="1">
      <c r="A25" s="2256" t="s">
        <v>813</v>
      </c>
      <c r="B25" s="2278" t="s">
        <v>2734</v>
      </c>
      <c r="C25" s="869"/>
      <c r="D25" s="2212"/>
      <c r="E25" s="2212"/>
      <c r="F25" s="2279"/>
      <c r="G25" s="2212"/>
      <c r="H25" s="2212"/>
      <c r="I25" s="2212"/>
      <c r="J25" s="2213"/>
      <c r="K25" s="1279"/>
      <c r="L25" s="2183"/>
      <c r="M25" s="2183"/>
      <c r="N25" s="3005" t="s">
        <v>2735</v>
      </c>
      <c r="O25" s="3006"/>
      <c r="P25" s="3007">
        <f>SUMPRODUCT((地价!A3:A37=YEAR(G19)&amp;"-"&amp;ROUNDUP(MONTH(G19)/3,0))*(地价!AD2:AH2=N25)*(地价!AD3:AH37))</f>
        <v>1.61E-2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2736</v>
      </c>
      <c r="C26" s="2533">
        <f ca="1">IF(B21="容积率修正",E29+SUM(E33:E39),SUM(V2:V16)+SUM(E33:E39))</f>
        <v>75482</v>
      </c>
      <c r="D26" s="2281"/>
      <c r="E26" s="2237"/>
      <c r="F26" s="2282"/>
      <c r="G26" s="2237"/>
      <c r="H26" s="2237"/>
      <c r="I26" s="2237"/>
      <c r="J26" s="2283"/>
      <c r="K26" s="1279"/>
      <c r="L26" s="3008" t="s">
        <v>2635</v>
      </c>
      <c r="M26" s="2210" t="s">
        <v>2700</v>
      </c>
      <c r="N26" s="2210" t="s">
        <v>2701</v>
      </c>
      <c r="O26" s="2210" t="s">
        <v>2702</v>
      </c>
      <c r="P26" s="3009" t="s">
        <v>2703</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2737</v>
      </c>
      <c r="C27" s="870">
        <f ca="1">E30+SUM(I33:I39)</f>
        <v>0</v>
      </c>
      <c r="D27" s="2285"/>
      <c r="E27" s="2286"/>
      <c r="F27" s="2287"/>
      <c r="G27" s="2286"/>
      <c r="H27" s="2286"/>
      <c r="I27" s="2286"/>
      <c r="J27" s="2288"/>
      <c r="K27" s="1279"/>
      <c r="L27" s="2243" t="s">
        <v>2707</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79"/>
      <c r="L28" s="2244" t="s">
        <v>2710</v>
      </c>
      <c r="M28" s="183">
        <f ca="1">ROUND($E$20*(1+M27),3)</f>
        <v>4.8000000000000001E-2</v>
      </c>
      <c r="N28" s="183">
        <f ca="1">ROUND($E$20*(1+N27),3)</f>
        <v>4.5999999999999999E-2</v>
      </c>
      <c r="O28" s="183">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2742</v>
      </c>
      <c r="C29" s="180">
        <f ca="1">ROUND(C5*C18*C19*C20*C21*C24,0)</f>
        <v>6615</v>
      </c>
      <c r="D29" s="2296">
        <f>'数据-汇总表'!F19</f>
        <v>114107.98000000001</v>
      </c>
      <c r="E29" s="879">
        <f ca="1">ROUND(C29*D29/10000,0)</f>
        <v>75482</v>
      </c>
      <c r="F29" s="2297" t="s">
        <v>2743</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2744</v>
      </c>
      <c r="C30" s="193">
        <f ca="1">ROUND(IF(E2="工业",C29*M39,C29*M38),0)</f>
        <v>992</v>
      </c>
      <c r="D30" s="2302"/>
      <c r="E30" s="879">
        <f ca="1">ROUND(C30*D30/10000,0)</f>
        <v>0</v>
      </c>
      <c r="F30" s="2303" t="s">
        <v>2745</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2746</v>
      </c>
      <c r="C31" s="2308" t="s">
        <v>2747</v>
      </c>
      <c r="D31" s="2225"/>
      <c r="E31" s="2308"/>
      <c r="F31" s="2308"/>
      <c r="G31" s="2223" t="s">
        <v>2748</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342"/>
      <c r="B33" s="2312" t="s">
        <v>2750</v>
      </c>
      <c r="C33" s="180">
        <f ca="1">ROUND(D5*C19*C20*C24*F33,0)</f>
        <v>1322</v>
      </c>
      <c r="D33" s="2296"/>
      <c r="E33" s="176">
        <f ca="1">ROUND(C33*D33/10000,0)</f>
        <v>0</v>
      </c>
      <c r="F33" s="176">
        <f>SUMIF(修正!A45:A56,G2,修正!B45:B56)</f>
        <v>0.7</v>
      </c>
      <c r="G33" s="176">
        <f t="shared" ref="G33" ca="1" si="6">ROUND(IF(E2="工业",C33*$M$39,C33*$M$38),0)</f>
        <v>198</v>
      </c>
      <c r="H33" s="176">
        <f>D33</f>
        <v>0</v>
      </c>
      <c r="I33" s="176">
        <f ca="1">ROUND(G33*H33/10000,0)</f>
        <v>0</v>
      </c>
      <c r="J33" s="3347"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343"/>
      <c r="B34" s="2229" t="s">
        <v>2751</v>
      </c>
      <c r="C34" s="180">
        <f ca="1">ROUND(D5*C19*C20*C24*F34,0)</f>
        <v>755</v>
      </c>
      <c r="D34" s="2296"/>
      <c r="E34" s="176">
        <f t="shared" ref="E34:E39" ca="1" si="7">ROUND(C34*D34/10000,0)</f>
        <v>0</v>
      </c>
      <c r="F34" s="176">
        <f>SUMIF(修正!A45:A56,G2,修正!C45:C56)</f>
        <v>0.4</v>
      </c>
      <c r="G34" s="176">
        <f ca="1">ROUND(IF(E2="工业",C34*$M$39,C34*$M$38),0)</f>
        <v>113</v>
      </c>
      <c r="H34" s="176">
        <f t="shared" ref="H34:H39" si="8">D34</f>
        <v>0</v>
      </c>
      <c r="I34" s="176">
        <f t="shared" ref="I34:I39" ca="1" si="9">ROUND(G34*H34/10000,0)</f>
        <v>0</v>
      </c>
      <c r="J34" s="3343"/>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343"/>
      <c r="B35" s="2229" t="s">
        <v>2752</v>
      </c>
      <c r="C35" s="180">
        <f ca="1">ROUND(D5*C19*C20*C24*F35,0)</f>
        <v>529</v>
      </c>
      <c r="D35" s="2296"/>
      <c r="E35" s="176">
        <f t="shared" ca="1" si="7"/>
        <v>0</v>
      </c>
      <c r="F35" s="176">
        <f>SUMIF(修正!A45:A56,G2,修正!D45:D56)</f>
        <v>0.28000000000000003</v>
      </c>
      <c r="G35" s="176">
        <f ca="1">ROUND(IF(E2="工业",C35*$M$39,C35*$M$38),0)</f>
        <v>79</v>
      </c>
      <c r="H35" s="176">
        <f t="shared" si="8"/>
        <v>0</v>
      </c>
      <c r="I35" s="176">
        <f t="shared" ca="1" si="9"/>
        <v>0</v>
      </c>
      <c r="J35" s="3343"/>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344"/>
      <c r="B36" s="2229" t="s">
        <v>2753</v>
      </c>
      <c r="C36" s="180">
        <f ca="1">ROUND(D5*C19*C20*C24*F36,0)</f>
        <v>472</v>
      </c>
      <c r="D36" s="2296"/>
      <c r="E36" s="176">
        <f t="shared" ca="1" si="7"/>
        <v>0</v>
      </c>
      <c r="F36" s="176">
        <f>SUMIF(修正!A45:A56,G2,修正!E45:E56)</f>
        <v>0.25</v>
      </c>
      <c r="G36" s="176">
        <f ca="1">ROUND(IF(E2="工业",C36*$M$39,C36*$M$38),0)</f>
        <v>71</v>
      </c>
      <c r="H36" s="176">
        <f t="shared" si="8"/>
        <v>0</v>
      </c>
      <c r="I36" s="176">
        <f t="shared" ca="1" si="9"/>
        <v>0</v>
      </c>
      <c r="J36" s="3344"/>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2754</v>
      </c>
      <c r="C37" s="176">
        <f ca="1">ROUND(D5*C19*C20*C24*F37,0)</f>
        <v>472</v>
      </c>
      <c r="D37" s="2296"/>
      <c r="E37" s="176">
        <f t="shared" ca="1" si="7"/>
        <v>0</v>
      </c>
      <c r="F37" s="180">
        <f>SUMIF(修正!A45:A56,G2,修正!F45:F56)</f>
        <v>0.25</v>
      </c>
      <c r="G37" s="176">
        <f ca="1">ROUND(IF(E2="工业",C37*$M$39,C37*$M$38),0)</f>
        <v>71</v>
      </c>
      <c r="H37" s="176">
        <f t="shared" si="8"/>
        <v>0</v>
      </c>
      <c r="I37" s="176">
        <f t="shared" ca="1" si="9"/>
        <v>0</v>
      </c>
      <c r="J37" s="2313"/>
      <c r="K37" s="1279"/>
      <c r="L37" s="2315" t="s">
        <v>2755</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2756</v>
      </c>
      <c r="C38" s="176">
        <f ca="1">ROUND(D5*C19*C41*C24*F38,0)</f>
        <v>0</v>
      </c>
      <c r="D38" s="2296"/>
      <c r="E38" s="176">
        <f t="shared" ca="1" si="7"/>
        <v>0</v>
      </c>
      <c r="F38" s="180">
        <f>SUMIF(修正!A45:A56,G2,修正!G45:G56)</f>
        <v>0.25</v>
      </c>
      <c r="G38" s="176">
        <f ca="1">ROUND(IF(E2="工业",C38*$M$39,C38*$M$38),0)</f>
        <v>0</v>
      </c>
      <c r="H38" s="176">
        <f t="shared" si="8"/>
        <v>0</v>
      </c>
      <c r="I38" s="176">
        <f t="shared" ca="1" si="9"/>
        <v>0</v>
      </c>
      <c r="J38" s="2313"/>
      <c r="K38" s="1279"/>
      <c r="L38" s="1605" t="s">
        <v>2757</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2758</v>
      </c>
      <c r="C39" s="193">
        <f ca="1">ROUND(D5*C19*C41*C24*F39,0)</f>
        <v>0</v>
      </c>
      <c r="D39" s="2302"/>
      <c r="E39" s="193">
        <f t="shared" ca="1" si="7"/>
        <v>0</v>
      </c>
      <c r="F39" s="871">
        <f>SUMIF(修正!A45:A56,G2,修正!H45:H56)</f>
        <v>0.2</v>
      </c>
      <c r="G39" s="193">
        <f ca="1">ROUND(IF(E2="工业",C39*$M$39,C39*$M$38),0)</f>
        <v>0</v>
      </c>
      <c r="H39" s="193">
        <f t="shared" si="8"/>
        <v>0</v>
      </c>
      <c r="I39" s="193">
        <f t="shared" ca="1" si="9"/>
        <v>0</v>
      </c>
      <c r="J39" s="2319"/>
      <c r="K39" s="1279"/>
      <c r="L39" s="2320" t="s">
        <v>2703</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2862</v>
      </c>
      <c r="C41" s="348">
        <f ca="1">ROUND(POWER(1+E41,H41-G41)*(POWER(1+E41,G41)-1)/(POWER(1+E41,H41)-1),4)</f>
        <v>0</v>
      </c>
      <c r="D41" s="176" t="s">
        <v>2710</v>
      </c>
      <c r="E41" s="2369">
        <f ca="1">G20</f>
        <v>4.2000000000000003E-2</v>
      </c>
      <c r="F41" s="176" t="s">
        <v>2719</v>
      </c>
      <c r="G41" s="189"/>
      <c r="H41" s="176">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2759</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hidden="1">
      <c r="A46" s="2325" t="s">
        <v>2760</v>
      </c>
      <c r="B46" s="2326">
        <f>1+E48</f>
        <v>1</v>
      </c>
      <c r="C46" s="2327"/>
      <c r="D46" s="753"/>
      <c r="E46" s="754"/>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0"/>
      <c r="AB48" s="1280"/>
      <c r="AC48" s="1280"/>
      <c r="AD48" s="1280"/>
      <c r="AE48" s="1280"/>
      <c r="AF48" s="1280"/>
      <c r="AG48" s="1280"/>
      <c r="AH48" s="1280"/>
      <c r="AI48" s="1280"/>
      <c r="AJ48" s="1280"/>
      <c r="AK48" s="1280"/>
    </row>
    <row r="49" spans="1:37" s="1279"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0"/>
      <c r="AB49" s="1280"/>
      <c r="AC49" s="1280"/>
      <c r="AD49" s="1280"/>
      <c r="AE49" s="1280"/>
      <c r="AF49" s="1280"/>
      <c r="AG49" s="1280"/>
      <c r="AH49" s="1280"/>
      <c r="AI49" s="1280"/>
      <c r="AJ49" s="1280"/>
      <c r="AK49" s="1280"/>
    </row>
    <row r="50" spans="1:37" s="1279"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0"/>
      <c r="AB50" s="1280"/>
      <c r="AC50" s="1280"/>
      <c r="AD50" s="1280"/>
      <c r="AE50" s="1280"/>
      <c r="AF50" s="1280"/>
      <c r="AG50" s="1280"/>
      <c r="AH50" s="1280"/>
      <c r="AI50" s="1280"/>
      <c r="AJ50" s="1280"/>
      <c r="AK50" s="1280"/>
    </row>
    <row r="51" spans="1:37" s="1279"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0"/>
      <c r="AB51" s="1280"/>
      <c r="AC51" s="1280"/>
      <c r="AD51" s="1280"/>
      <c r="AE51" s="1280"/>
      <c r="AF51" s="1280"/>
      <c r="AG51" s="1280"/>
      <c r="AH51" s="1280"/>
      <c r="AI51" s="1280"/>
      <c r="AJ51" s="1280"/>
      <c r="AK51" s="1280"/>
    </row>
    <row r="52" spans="1:37" s="1279"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0"/>
      <c r="AB52" s="1280"/>
      <c r="AC52" s="1280"/>
      <c r="AD52" s="1280"/>
      <c r="AE52" s="1280"/>
      <c r="AF52" s="1280"/>
      <c r="AG52" s="1280"/>
      <c r="AH52" s="1280"/>
      <c r="AI52" s="1280"/>
      <c r="AJ52" s="1280"/>
      <c r="AK52" s="1280"/>
    </row>
    <row r="53" spans="1:37" s="1279"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0"/>
      <c r="AB53" s="1280"/>
      <c r="AC53" s="1280"/>
      <c r="AD53" s="1280"/>
      <c r="AE53" s="1280"/>
      <c r="AF53" s="1280"/>
      <c r="AG53" s="1280"/>
      <c r="AH53" s="1280"/>
      <c r="AI53" s="1280"/>
      <c r="AJ53" s="1280"/>
      <c r="AK53" s="1280"/>
    </row>
    <row r="54" spans="1:37" s="1279"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0"/>
      <c r="AB54" s="1280"/>
      <c r="AC54" s="1280"/>
      <c r="AD54" s="1280"/>
      <c r="AE54" s="1280"/>
      <c r="AF54" s="1280"/>
      <c r="AG54" s="1280"/>
      <c r="AH54" s="1280"/>
      <c r="AI54" s="1280"/>
      <c r="AJ54" s="1280"/>
      <c r="AK54" s="1280"/>
    </row>
    <row r="55" spans="1:37" s="1279"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0"/>
      <c r="AB55" s="1280"/>
      <c r="AC55" s="1280"/>
      <c r="AD55" s="1280"/>
      <c r="AE55" s="1280"/>
      <c r="AF55" s="1280"/>
      <c r="AG55" s="1280"/>
      <c r="AH55" s="1280"/>
      <c r="AI55" s="1280"/>
      <c r="AJ55" s="1280"/>
      <c r="AK55" s="1280"/>
    </row>
    <row r="56" spans="1:37" s="1279"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0"/>
      <c r="AB56" s="1280"/>
      <c r="AC56" s="1280"/>
      <c r="AD56" s="1280"/>
      <c r="AE56" s="1280"/>
      <c r="AF56" s="1280"/>
      <c r="AG56" s="1280"/>
      <c r="AH56" s="1280"/>
      <c r="AI56" s="1280"/>
      <c r="AJ56" s="1280"/>
      <c r="AK56" s="1280"/>
    </row>
    <row r="57" spans="1:37" s="1279" customFormat="1" ht="15" hidden="1">
      <c r="A57" s="2325" t="s">
        <v>2780</v>
      </c>
      <c r="B57" s="2326">
        <f>1+E59</f>
        <v>1</v>
      </c>
      <c r="C57" s="753"/>
      <c r="D57" s="753"/>
      <c r="E57" s="754"/>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hidden="1">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hidden="1">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0"/>
      <c r="AB59" s="1280"/>
      <c r="AC59" s="1280"/>
      <c r="AD59" s="1280"/>
      <c r="AE59" s="1280"/>
      <c r="AF59" s="1280"/>
      <c r="AG59" s="1280"/>
      <c r="AH59" s="1280"/>
      <c r="AI59" s="1280"/>
      <c r="AJ59" s="1280"/>
      <c r="AK59" s="1280"/>
    </row>
    <row r="60" spans="1:37" s="1279" customFormat="1" ht="51" hidden="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0"/>
      <c r="AB60" s="1280"/>
      <c r="AC60" s="1280"/>
      <c r="AD60" s="1280"/>
      <c r="AE60" s="1280"/>
      <c r="AF60" s="1280"/>
      <c r="AG60" s="1280"/>
      <c r="AH60" s="1280"/>
      <c r="AI60" s="1280"/>
      <c r="AJ60" s="1280"/>
      <c r="AK60" s="1280"/>
    </row>
    <row r="61" spans="1:37" s="1279" customFormat="1" ht="24" hidden="1">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0"/>
      <c r="AB61" s="1280"/>
      <c r="AC61" s="1280"/>
      <c r="AD61" s="1280"/>
      <c r="AE61" s="1280"/>
      <c r="AF61" s="1280"/>
      <c r="AG61" s="1280"/>
      <c r="AH61" s="1280"/>
      <c r="AI61" s="1280"/>
      <c r="AJ61" s="1280"/>
      <c r="AK61" s="1280"/>
    </row>
    <row r="62" spans="1:37" s="1279" customFormat="1" ht="36.75" hidden="1">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0"/>
      <c r="AB62" s="1280"/>
      <c r="AC62" s="1280"/>
      <c r="AD62" s="1280"/>
      <c r="AE62" s="1280"/>
      <c r="AF62" s="1280"/>
      <c r="AG62" s="1280"/>
      <c r="AH62" s="1280"/>
      <c r="AI62" s="1280"/>
      <c r="AJ62" s="1280"/>
      <c r="AK62" s="1280"/>
    </row>
    <row r="63" spans="1:37" s="1279" customFormat="1" ht="24" hidden="1">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0"/>
      <c r="AB63" s="1280"/>
      <c r="AC63" s="1280"/>
      <c r="AD63" s="1280"/>
      <c r="AE63" s="1280"/>
      <c r="AF63" s="1280"/>
      <c r="AG63" s="1280"/>
      <c r="AH63" s="1280"/>
      <c r="AI63" s="1280"/>
      <c r="AJ63" s="1280"/>
      <c r="AK63" s="1280"/>
    </row>
    <row r="64" spans="1:37" s="1279" customFormat="1" ht="24" hidden="1">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0"/>
      <c r="AB64" s="1280"/>
      <c r="AC64" s="1280"/>
      <c r="AD64" s="1280"/>
      <c r="AE64" s="1280"/>
      <c r="AF64" s="1280"/>
      <c r="AG64" s="1280"/>
      <c r="AH64" s="1280"/>
      <c r="AI64" s="1280"/>
      <c r="AJ64" s="1280"/>
      <c r="AK64" s="1280"/>
    </row>
    <row r="65" spans="1:37" s="1279" customFormat="1" ht="25.5" hidden="1">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0"/>
      <c r="AB65" s="1280"/>
      <c r="AC65" s="1280"/>
      <c r="AD65" s="1280"/>
      <c r="AE65" s="1280"/>
      <c r="AF65" s="1280"/>
      <c r="AG65" s="1280"/>
      <c r="AH65" s="1280"/>
      <c r="AI65" s="1280"/>
      <c r="AJ65" s="1280"/>
      <c r="AK65" s="1280"/>
    </row>
    <row r="66" spans="1:37" s="1279" customFormat="1" ht="25.5" hidden="1">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0"/>
      <c r="AB66" s="1280"/>
      <c r="AC66" s="1280"/>
      <c r="AD66" s="1280"/>
      <c r="AE66" s="1280"/>
      <c r="AF66" s="1280"/>
      <c r="AG66" s="1280"/>
      <c r="AH66" s="1280"/>
      <c r="AI66" s="1280"/>
      <c r="AJ66" s="1280"/>
      <c r="AK66" s="1280"/>
    </row>
    <row r="67" spans="1:37" s="1279" customFormat="1" ht="39" hidden="1"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0"/>
      <c r="AB67" s="1280"/>
      <c r="AC67" s="1280"/>
      <c r="AD67" s="1280"/>
      <c r="AE67" s="1280"/>
      <c r="AF67" s="1280"/>
      <c r="AG67" s="1280"/>
      <c r="AH67" s="1280"/>
      <c r="AI67" s="1280"/>
      <c r="AJ67" s="1280"/>
      <c r="AK67" s="1280"/>
    </row>
    <row r="68" spans="1:37" s="1279" customFormat="1" ht="15" hidden="1">
      <c r="A68" s="2325" t="s">
        <v>2783</v>
      </c>
      <c r="B68" s="2326">
        <f>1+E70</f>
        <v>1</v>
      </c>
      <c r="C68" s="753"/>
      <c r="D68" s="753"/>
      <c r="E68" s="754"/>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0"/>
      <c r="AB70" s="1280"/>
      <c r="AC70" s="1280"/>
      <c r="AD70" s="1280"/>
      <c r="AE70" s="1280"/>
      <c r="AF70" s="1280"/>
      <c r="AG70" s="1280"/>
      <c r="AH70" s="1280"/>
      <c r="AI70" s="1280"/>
      <c r="AJ70" s="1280"/>
      <c r="AK70" s="1280"/>
    </row>
    <row r="71" spans="1:37" s="1279"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0"/>
      <c r="AB71" s="1280"/>
      <c r="AC71" s="1280"/>
      <c r="AD71" s="1280"/>
      <c r="AE71" s="1280"/>
      <c r="AF71" s="1280"/>
      <c r="AG71" s="1280"/>
      <c r="AH71" s="1280"/>
      <c r="AI71" s="1280"/>
      <c r="AJ71" s="1280"/>
      <c r="AK71" s="1280"/>
    </row>
    <row r="72" spans="1:37" s="1279"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0"/>
      <c r="AB72" s="1280"/>
      <c r="AC72" s="1280"/>
      <c r="AD72" s="1280"/>
      <c r="AE72" s="1280"/>
      <c r="AF72" s="1280"/>
      <c r="AG72" s="1280"/>
      <c r="AH72" s="1280"/>
      <c r="AI72" s="1280"/>
      <c r="AJ72" s="1280"/>
      <c r="AK72" s="1280"/>
    </row>
    <row r="73" spans="1:37" s="1279"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0"/>
      <c r="AB73" s="1280"/>
      <c r="AC73" s="1280"/>
      <c r="AD73" s="1280"/>
      <c r="AE73" s="1280"/>
      <c r="AF73" s="1280"/>
      <c r="AG73" s="1280"/>
      <c r="AH73" s="1280"/>
      <c r="AI73" s="1280"/>
      <c r="AJ73" s="1280"/>
      <c r="AK73" s="1280"/>
    </row>
    <row r="74" spans="1:37" s="1279"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0"/>
      <c r="AB74" s="1280"/>
      <c r="AC74" s="1280"/>
      <c r="AD74" s="1280"/>
      <c r="AE74" s="1280"/>
      <c r="AF74" s="1280"/>
      <c r="AG74" s="1280"/>
      <c r="AH74" s="1280"/>
      <c r="AI74" s="1280"/>
      <c r="AJ74" s="1280"/>
      <c r="AK74" s="1280"/>
    </row>
    <row r="75" spans="1:37" s="1279"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0"/>
      <c r="AB75" s="1280"/>
      <c r="AC75" s="1280"/>
      <c r="AD75" s="1280"/>
      <c r="AE75" s="1280"/>
      <c r="AF75" s="1280"/>
      <c r="AG75" s="1280"/>
      <c r="AH75" s="1280"/>
      <c r="AI75" s="1280"/>
      <c r="AJ75" s="1280"/>
      <c r="AK75" s="1280"/>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0"/>
      <c r="AC76" s="1280"/>
      <c r="AD76" s="1280"/>
      <c r="AE76" s="1280"/>
      <c r="AF76" s="1280"/>
      <c r="AG76" s="1280"/>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1"/>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1"/>
      <c r="AK78" s="2250"/>
    </row>
    <row r="79" spans="1:37" ht="15">
      <c r="A79" s="2325" t="s">
        <v>2787</v>
      </c>
      <c r="B79" s="2326">
        <f>1+E81</f>
        <v>1.0641</v>
      </c>
      <c r="C79" s="753"/>
      <c r="D79" s="753"/>
      <c r="E79" s="754"/>
      <c r="F79" s="2328"/>
      <c r="G79" s="6"/>
      <c r="H79" s="6"/>
      <c r="I79" s="6"/>
      <c r="J79" s="7"/>
      <c r="K79" s="7"/>
      <c r="L79" s="7"/>
      <c r="M79" s="7"/>
      <c r="N79" s="7"/>
      <c r="Z79" s="2184"/>
      <c r="AA79" s="2250"/>
      <c r="AG79" s="1281"/>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1"/>
      <c r="AK80" s="2250"/>
    </row>
    <row r="81" spans="1:37" ht="38.25">
      <c r="A81" s="2329" t="s">
        <v>2788</v>
      </c>
      <c r="B81" s="2333" t="str">
        <f>估价对象房地状况!G15</f>
        <v>估价对象位于XX开发区，园区建设成熟度XX，产业集聚程度XX</v>
      </c>
      <c r="C81" s="2234" t="s">
        <v>3128</v>
      </c>
      <c r="D81" s="1196">
        <f t="shared" ref="D81:D88" si="25">SUMIF($J$80:$N$80,C81,J81:N81)</f>
        <v>1.6899999999999998E-2</v>
      </c>
      <c r="E81" s="760">
        <f>ROUND(SUM(D81:D88),4)</f>
        <v>6.4100000000000004E-2</v>
      </c>
      <c r="F81" s="2000">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4"/>
      <c r="AA81" s="2250"/>
      <c r="AG81" s="1281"/>
      <c r="AK81" s="2250"/>
    </row>
    <row r="82" spans="1:37" ht="51">
      <c r="A82" s="2329" t="s">
        <v>2770</v>
      </c>
      <c r="B82" s="2333" t="str">
        <f>估价对象房地状况!G16</f>
        <v>估价对象周边道路状况、公共交通通达情况、停车便捷程度，综合评价交通便捷度较好</v>
      </c>
      <c r="C82" s="2234" t="s">
        <v>3128</v>
      </c>
      <c r="D82" s="1196">
        <f t="shared" si="25"/>
        <v>2.1399999999999999E-2</v>
      </c>
      <c r="E82" s="765"/>
      <c r="F82" s="2000"/>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4"/>
      <c r="AA82" s="2250"/>
      <c r="AG82" s="1281"/>
      <c r="AK82" s="2250"/>
    </row>
    <row r="83" spans="1:37" ht="24">
      <c r="A83" s="2329" t="s">
        <v>2771</v>
      </c>
      <c r="B83" s="2333">
        <f>估价对象房地状况!G17</f>
        <v>0</v>
      </c>
      <c r="C83" s="2234" t="s">
        <v>3128</v>
      </c>
      <c r="D83" s="1196">
        <f t="shared" si="25"/>
        <v>3.2000000000000002E-3</v>
      </c>
      <c r="E83" s="765"/>
      <c r="F83" s="2000"/>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4"/>
      <c r="AA83" s="2250"/>
      <c r="AG83" s="1281"/>
      <c r="AK83" s="2250"/>
    </row>
    <row r="84" spans="1:37" ht="14.25">
      <c r="A84" s="2329" t="s">
        <v>2785</v>
      </c>
      <c r="B84" s="2333">
        <f>估价对象房地状况!G22</f>
        <v>0</v>
      </c>
      <c r="C84" s="2234" t="s">
        <v>3129</v>
      </c>
      <c r="D84" s="1196">
        <f t="shared" si="25"/>
        <v>0</v>
      </c>
      <c r="E84" s="765"/>
      <c r="F84" s="2000"/>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4"/>
      <c r="AA84" s="2250"/>
      <c r="AG84" s="1281"/>
      <c r="AK84" s="2250"/>
    </row>
    <row r="85" spans="1:37" ht="25.5">
      <c r="A85" s="2329" t="s">
        <v>2777</v>
      </c>
      <c r="B85" s="1494" t="str">
        <f>估价对象房地状况!G19</f>
        <v>估价对象所在区域公共配套设施齐备情况</v>
      </c>
      <c r="C85" s="2234" t="s">
        <v>3129</v>
      </c>
      <c r="D85" s="1196">
        <f t="shared" si="25"/>
        <v>0</v>
      </c>
      <c r="E85" s="765"/>
      <c r="F85" s="2000"/>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4"/>
      <c r="AA85" s="2250"/>
      <c r="AG85" s="1281"/>
      <c r="AK85" s="2250"/>
    </row>
    <row r="86" spans="1:37" ht="25.5">
      <c r="A86" s="2329" t="s">
        <v>2778</v>
      </c>
      <c r="B86" s="1494" t="str">
        <f>估价对象房地状况!G20</f>
        <v>估价对象所在区域基础设施水平</v>
      </c>
      <c r="C86" s="2234" t="s">
        <v>3130</v>
      </c>
      <c r="D86" s="1196">
        <f t="shared" si="25"/>
        <v>1.9400000000000001E-2</v>
      </c>
      <c r="E86" s="765"/>
      <c r="F86" s="2000"/>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4"/>
      <c r="AA86" s="2250"/>
      <c r="AG86" s="1281"/>
      <c r="AK86" s="2250"/>
    </row>
    <row r="87" spans="1:37" ht="24">
      <c r="A87" s="2329" t="s">
        <v>2775</v>
      </c>
      <c r="B87" s="2335" t="s">
        <v>2789</v>
      </c>
      <c r="C87" s="2234" t="s">
        <v>3128</v>
      </c>
      <c r="D87" s="1196">
        <f t="shared" si="25"/>
        <v>3.2000000000000002E-3</v>
      </c>
      <c r="E87" s="765"/>
      <c r="F87" s="2000"/>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4"/>
      <c r="AA87" s="2250"/>
      <c r="AG87" s="1281"/>
      <c r="AK87" s="2250"/>
    </row>
    <row r="88" spans="1:37" ht="39" thickBot="1">
      <c r="A88" s="2337" t="s">
        <v>2790</v>
      </c>
      <c r="B88" s="2342" t="str">
        <f>估价对象房地状况!G18</f>
        <v>该园区内是否有污染型企业，绿化情况，卫生条件，整体环境状况判断</v>
      </c>
      <c r="C88" s="2234" t="s">
        <v>3129</v>
      </c>
      <c r="D88" s="1196">
        <f t="shared" si="25"/>
        <v>0</v>
      </c>
      <c r="E88" s="766"/>
      <c r="F88" s="2000"/>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4"/>
      <c r="AA88" s="2250"/>
      <c r="AG88" s="1281"/>
      <c r="AK88" s="2250"/>
    </row>
    <row r="90" spans="1:37">
      <c r="A90" s="3334" t="s">
        <v>2791</v>
      </c>
      <c r="B90" s="3334"/>
      <c r="C90" s="3334"/>
      <c r="D90" s="3334"/>
      <c r="E90" s="3334"/>
      <c r="F90" s="3334"/>
      <c r="G90" s="3334"/>
      <c r="H90" s="3334"/>
      <c r="I90" s="3334"/>
      <c r="J90" s="3334"/>
      <c r="K90" s="2343"/>
      <c r="L90" s="2343"/>
      <c r="M90" s="2343"/>
      <c r="N90" s="2343"/>
    </row>
    <row r="91" spans="1:37">
      <c r="A91" s="3336" t="s">
        <v>2792</v>
      </c>
      <c r="B91" s="3336" t="s">
        <v>2793</v>
      </c>
      <c r="C91" s="2297" t="s">
        <v>2794</v>
      </c>
      <c r="D91" s="2298"/>
      <c r="E91" s="2298"/>
      <c r="F91" s="2298"/>
      <c r="G91" s="2298"/>
      <c r="H91" s="2298"/>
      <c r="I91" s="2298"/>
      <c r="J91" s="2344"/>
      <c r="K91" s="2345"/>
      <c r="L91" s="2345"/>
      <c r="M91" s="2345"/>
      <c r="N91" s="2345"/>
    </row>
    <row r="92" spans="1:37">
      <c r="A92" s="3336"/>
      <c r="B92" s="3336"/>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37"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3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3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3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3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3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38"/>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3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37" t="s">
        <v>2796</v>
      </c>
      <c r="B101" s="2350" t="s">
        <v>2797</v>
      </c>
      <c r="C101" s="2351">
        <f>$G$3</f>
        <v>0.48</v>
      </c>
      <c r="D101" s="2351">
        <f t="shared" ref="D101:N101" si="32">$G$3</f>
        <v>0.48</v>
      </c>
      <c r="E101" s="2351">
        <f t="shared" si="32"/>
        <v>0.48</v>
      </c>
      <c r="F101" s="2351">
        <f t="shared" si="32"/>
        <v>0.48</v>
      </c>
      <c r="G101" s="2351">
        <f t="shared" si="32"/>
        <v>0.48</v>
      </c>
      <c r="H101" s="2351">
        <f t="shared" si="32"/>
        <v>0.48</v>
      </c>
      <c r="I101" s="2351">
        <f t="shared" si="32"/>
        <v>0.48</v>
      </c>
      <c r="J101" s="2351">
        <f t="shared" si="32"/>
        <v>0.48</v>
      </c>
      <c r="K101" s="2351">
        <f t="shared" si="32"/>
        <v>0.48</v>
      </c>
      <c r="L101" s="2351">
        <f t="shared" si="32"/>
        <v>0.48</v>
      </c>
      <c r="M101" s="2351">
        <f t="shared" si="32"/>
        <v>0.48</v>
      </c>
      <c r="N101" s="2351">
        <f t="shared" si="32"/>
        <v>0.48</v>
      </c>
    </row>
    <row r="102" spans="1:14">
      <c r="A102" s="3338"/>
      <c r="B102" s="2346">
        <v>1</v>
      </c>
      <c r="C102" s="2347">
        <f>1.9362/C101</f>
        <v>4.0337500000000004</v>
      </c>
      <c r="D102" s="2347">
        <f>1.9362/D101</f>
        <v>4.0337500000000004</v>
      </c>
      <c r="E102" s="2347">
        <f>1.8629/E101</f>
        <v>3.8810416666666669</v>
      </c>
      <c r="F102" s="2347">
        <f>1.8629/F101</f>
        <v>3.8810416666666669</v>
      </c>
      <c r="G102" s="2347">
        <f>1.8629/G101</f>
        <v>3.8810416666666669</v>
      </c>
      <c r="H102" s="2347">
        <f>1.8629/H101</f>
        <v>3.8810416666666669</v>
      </c>
      <c r="I102" s="2347">
        <f>1.8629/I101</f>
        <v>3.8810416666666669</v>
      </c>
      <c r="J102" s="2347">
        <f>1.942/J101</f>
        <v>4.0458333333333334</v>
      </c>
      <c r="K102" s="2347">
        <f>1.942/K101</f>
        <v>4.0458333333333334</v>
      </c>
      <c r="L102" s="2347">
        <f>1.942/L101</f>
        <v>4.0458333333333334</v>
      </c>
      <c r="M102" s="2347">
        <f>1.942/M101</f>
        <v>4.0458333333333334</v>
      </c>
      <c r="N102" s="2347">
        <f>1.942/N101</f>
        <v>4.0458333333333334</v>
      </c>
    </row>
    <row r="103" spans="1:14">
      <c r="A103" s="3338"/>
      <c r="B103" s="2346">
        <v>2</v>
      </c>
      <c r="C103" s="2347">
        <f>1.4198/C101</f>
        <v>2.9579166666666667</v>
      </c>
      <c r="D103" s="2347">
        <f>1.4198/D101</f>
        <v>2.9579166666666667</v>
      </c>
      <c r="E103" s="2347">
        <f>1.3372/E101</f>
        <v>2.7858333333333332</v>
      </c>
      <c r="F103" s="2347">
        <f>1.3372/F101</f>
        <v>2.7858333333333332</v>
      </c>
      <c r="G103" s="2347">
        <f>1.3372/G101</f>
        <v>2.7858333333333332</v>
      </c>
      <c r="H103" s="2347">
        <f>1.3372/H101</f>
        <v>2.7858333333333332</v>
      </c>
      <c r="I103" s="2347">
        <f>1.3372/I101</f>
        <v>2.7858333333333332</v>
      </c>
      <c r="J103" s="2347">
        <f>1.2799/J101</f>
        <v>2.6664583333333334</v>
      </c>
      <c r="K103" s="2347">
        <f>1.2799/K101</f>
        <v>2.6664583333333334</v>
      </c>
      <c r="L103" s="2347">
        <f>1.2799/L101</f>
        <v>2.6664583333333334</v>
      </c>
      <c r="M103" s="2347">
        <f>1.2799/M101</f>
        <v>2.6664583333333334</v>
      </c>
      <c r="N103" s="2347">
        <f>1.2799/N101</f>
        <v>2.6664583333333334</v>
      </c>
    </row>
    <row r="104" spans="1:14">
      <c r="A104" s="3338"/>
      <c r="B104" s="2346">
        <v>3</v>
      </c>
      <c r="C104" s="2347">
        <f>1.1594/C101</f>
        <v>2.4154166666666668</v>
      </c>
      <c r="D104" s="2347">
        <f>1.1594/D101</f>
        <v>2.4154166666666668</v>
      </c>
      <c r="E104" s="2347">
        <f>1.0788/E101</f>
        <v>2.2475000000000001</v>
      </c>
      <c r="F104" s="2347">
        <f>1.0788/F101</f>
        <v>2.2475000000000001</v>
      </c>
      <c r="G104" s="2347">
        <f>1.0788/G101</f>
        <v>2.2475000000000001</v>
      </c>
      <c r="H104" s="2347">
        <f>1.0788/H101</f>
        <v>2.2475000000000001</v>
      </c>
      <c r="I104" s="2347">
        <f>1.0788/I101</f>
        <v>2.2475000000000001</v>
      </c>
      <c r="J104" s="2347">
        <f>1.0072/J101</f>
        <v>2.0983333333333336</v>
      </c>
      <c r="K104" s="2347">
        <f>1.0072/K101</f>
        <v>2.0983333333333336</v>
      </c>
      <c r="L104" s="2347">
        <f>1.0072/L101</f>
        <v>2.0983333333333336</v>
      </c>
      <c r="M104" s="2347">
        <f>1.0072/M101</f>
        <v>2.0983333333333336</v>
      </c>
      <c r="N104" s="2347">
        <f>1.0072/N101</f>
        <v>2.0983333333333336</v>
      </c>
    </row>
    <row r="105" spans="1:14">
      <c r="A105" s="3338"/>
      <c r="B105" s="2346">
        <v>4</v>
      </c>
      <c r="C105" s="2347">
        <f>0.9622/C101</f>
        <v>2.0045833333333336</v>
      </c>
      <c r="D105" s="2347">
        <f>0.9622/D101</f>
        <v>2.0045833333333336</v>
      </c>
      <c r="E105" s="2347">
        <f>0.8656/E101</f>
        <v>1.8033333333333335</v>
      </c>
      <c r="F105" s="2347">
        <f>0.8656/F101</f>
        <v>1.8033333333333335</v>
      </c>
      <c r="G105" s="2347">
        <f>0.8656/G101</f>
        <v>1.8033333333333335</v>
      </c>
      <c r="H105" s="2347">
        <f>0.8656/H101</f>
        <v>1.8033333333333335</v>
      </c>
      <c r="I105" s="2347">
        <f>0.8656/I101</f>
        <v>1.8033333333333335</v>
      </c>
      <c r="J105" s="2347">
        <f>0.7525/J101</f>
        <v>1.5677083333333333</v>
      </c>
      <c r="K105" s="2347">
        <f>0.7525/K101</f>
        <v>1.5677083333333333</v>
      </c>
      <c r="L105" s="2347">
        <f>0.7525/L101</f>
        <v>1.5677083333333333</v>
      </c>
      <c r="M105" s="2347">
        <f>0.7525/M101</f>
        <v>1.5677083333333333</v>
      </c>
      <c r="N105" s="2347">
        <f>0.7525/N101</f>
        <v>1.5677083333333333</v>
      </c>
    </row>
    <row r="106" spans="1:14">
      <c r="A106" s="3338"/>
      <c r="B106" s="2346">
        <v>5</v>
      </c>
      <c r="C106" s="2347">
        <f>0.8417/C101</f>
        <v>1.7535416666666668</v>
      </c>
      <c r="D106" s="2347">
        <f>0.8417/D101</f>
        <v>1.7535416666666668</v>
      </c>
      <c r="E106" s="2347">
        <f>0.7371/E101</f>
        <v>1.535625</v>
      </c>
      <c r="F106" s="2347">
        <f>0.7371/F101</f>
        <v>1.535625</v>
      </c>
      <c r="G106" s="2347">
        <f>0.7371/G101</f>
        <v>1.535625</v>
      </c>
      <c r="H106" s="2347">
        <f>0.7371/H101</f>
        <v>1.535625</v>
      </c>
      <c r="I106" s="2347">
        <f>0.7371/I101</f>
        <v>1.535625</v>
      </c>
      <c r="J106" s="2347">
        <f>0.5659/J101</f>
        <v>1.1789583333333333</v>
      </c>
      <c r="K106" s="2347">
        <f>0.5659/K101</f>
        <v>1.1789583333333333</v>
      </c>
      <c r="L106" s="2347">
        <f>0.5659/L101</f>
        <v>1.1789583333333333</v>
      </c>
      <c r="M106" s="2347">
        <f>0.5659/M101</f>
        <v>1.1789583333333333</v>
      </c>
      <c r="N106" s="2347">
        <f>0.5659/N101</f>
        <v>1.1789583333333333</v>
      </c>
    </row>
    <row r="107" spans="1:14">
      <c r="A107" s="3338"/>
      <c r="B107" s="2346">
        <v>6</v>
      </c>
      <c r="C107" s="2347">
        <f>0.7608/C101</f>
        <v>1.5850000000000002</v>
      </c>
      <c r="D107" s="2347">
        <f>0.7608/D101</f>
        <v>1.5850000000000002</v>
      </c>
      <c r="E107" s="2347">
        <f>0.6482/E101</f>
        <v>1.3504166666666668</v>
      </c>
      <c r="F107" s="2347">
        <f>0.6482/F101</f>
        <v>1.3504166666666668</v>
      </c>
      <c r="G107" s="2347">
        <f>0.6482/G101</f>
        <v>1.3504166666666668</v>
      </c>
      <c r="H107" s="2347">
        <f>0.6482/H101</f>
        <v>1.3504166666666668</v>
      </c>
      <c r="I107" s="2347">
        <f>0.6482/I101</f>
        <v>1.3504166666666668</v>
      </c>
      <c r="J107" s="2347">
        <f>0.4525/J101</f>
        <v>0.94270833333333337</v>
      </c>
      <c r="K107" s="2347">
        <f>0.4525/K101</f>
        <v>0.94270833333333337</v>
      </c>
      <c r="L107" s="2347">
        <f>0.4525/L101</f>
        <v>0.94270833333333337</v>
      </c>
      <c r="M107" s="2347">
        <f>0.4525/M101</f>
        <v>0.94270833333333337</v>
      </c>
      <c r="N107" s="2347">
        <f>0.4525/N101</f>
        <v>0.94270833333333337</v>
      </c>
    </row>
    <row r="108" spans="1:14">
      <c r="A108" s="3338"/>
      <c r="B108" s="3340"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39"/>
      <c r="B109" s="3341"/>
      <c r="C109" s="2349">
        <f>(-0.163*(C108^2)-0.59*C108+7617)*(10^(-4))/C101</f>
        <v>1.5868750000000003</v>
      </c>
      <c r="D109" s="2349">
        <f>(-0.163*(D108^2)-0.59*D108+7617)*(10^(-4))/D101</f>
        <v>1.5868750000000003</v>
      </c>
      <c r="E109" s="2349">
        <f>(-0.161*(E108^2)-7.509*E108+6533)*(10^(-4))/E101</f>
        <v>1.3610416666666667</v>
      </c>
      <c r="F109" s="2349">
        <f>(-0.161*(F108^2)-7.509*F108+6533)*(10^(-4))/F101</f>
        <v>1.3610416666666667</v>
      </c>
      <c r="G109" s="2349">
        <f>(-0.161*(G108^2)-7.509*G108+6533)*(10^(-4))/G101</f>
        <v>1.3610416666666667</v>
      </c>
      <c r="H109" s="2349">
        <f>(-0.161*(H108^2)-7.509*H108+6533)*(10^(-4))/H101</f>
        <v>1.3610416666666667</v>
      </c>
      <c r="I109" s="2349">
        <f>(-0.161*(I108^2)-7.509*I108+6533)*(10^(-4))/I101</f>
        <v>1.3610416666666667</v>
      </c>
      <c r="J109" s="2349">
        <f>(-0.214*(J108^2)-21.991*J108+4665)*(10^(-4))/J101</f>
        <v>0.97187500000000004</v>
      </c>
      <c r="K109" s="2349">
        <f>(-0.214*(K108^2)-21.991*K108+4665)*(10^(-4))/K101</f>
        <v>0.97187500000000004</v>
      </c>
      <c r="L109" s="2349">
        <f>(-0.214*(L108^2)-21.991*L108+4665)*(10^(-4))/L101</f>
        <v>0.97187500000000004</v>
      </c>
      <c r="M109" s="2349">
        <f>(-0.214*(M108^2)-21.991*M108+4665)*(10^(-4))/M101</f>
        <v>0.97187500000000004</v>
      </c>
      <c r="N109" s="2349">
        <f>(-0.214*(N108^2)-21.991*N108+4665)*(10^(-4))/N101</f>
        <v>0.97187500000000004</v>
      </c>
    </row>
    <row r="110" spans="1:14">
      <c r="A110" s="3335" t="s">
        <v>2799</v>
      </c>
      <c r="B110" s="3335"/>
      <c r="C110" s="3335"/>
      <c r="D110" s="3335"/>
      <c r="E110" s="3335"/>
      <c r="F110" s="3335"/>
      <c r="G110" s="3335"/>
      <c r="H110" s="3335"/>
      <c r="I110" s="3335"/>
      <c r="J110" s="3335"/>
      <c r="K110" s="2352"/>
      <c r="L110" s="2352"/>
      <c r="M110" s="2352"/>
      <c r="N110" s="2352"/>
    </row>
    <row r="112" spans="1:14" ht="13.5" thickBot="1"/>
    <row r="113" spans="1:13" ht="25.5" thickBot="1">
      <c r="A113" s="842" t="s">
        <v>2800</v>
      </c>
      <c r="B113" s="1197">
        <f>G3</f>
        <v>0.48</v>
      </c>
      <c r="C113" s="843" t="s">
        <v>2801</v>
      </c>
      <c r="D113" s="844">
        <f>SUMPRODUCT((A115:A118=F113)*(B114:M114=H113)*B115:M118)</f>
        <v>0.624</v>
      </c>
      <c r="E113" s="2188" t="s">
        <v>2635</v>
      </c>
      <c r="F113" s="2354" t="str">
        <f>E2</f>
        <v>工业</v>
      </c>
      <c r="G113" s="2188" t="s">
        <v>2636</v>
      </c>
      <c r="H113" s="2354" t="str">
        <f>G2</f>
        <v>七级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0.92900000000000005</v>
      </c>
      <c r="C115" s="849">
        <f>B115</f>
        <v>0.92900000000000005</v>
      </c>
      <c r="D115" s="849">
        <f>ROUND(0.8331-0.0109*B113,4)</f>
        <v>0.82789999999999997</v>
      </c>
      <c r="E115" s="849">
        <f>D115</f>
        <v>0.82789999999999997</v>
      </c>
      <c r="F115" s="849">
        <f>E115</f>
        <v>0.82789999999999997</v>
      </c>
      <c r="G115" s="849">
        <f>F115</f>
        <v>0.82789999999999997</v>
      </c>
      <c r="H115" s="849">
        <f>G115</f>
        <v>0.82789999999999997</v>
      </c>
      <c r="I115" s="849">
        <f>ROUND(0.689-0.0155*B113,4)</f>
        <v>0.68159999999999998</v>
      </c>
      <c r="J115" s="849">
        <f t="shared" ref="J115:M118" si="34">I115</f>
        <v>0.68159999999999998</v>
      </c>
      <c r="K115" s="849">
        <f t="shared" si="34"/>
        <v>0.68159999999999998</v>
      </c>
      <c r="L115" s="849">
        <f t="shared" si="34"/>
        <v>0.68159999999999998</v>
      </c>
      <c r="M115" s="850">
        <f t="shared" si="34"/>
        <v>0.68159999999999998</v>
      </c>
    </row>
    <row r="116" spans="1:13">
      <c r="A116" s="848" t="s">
        <v>2701</v>
      </c>
      <c r="B116" s="849">
        <f>ROUND(0.949-0.012*B113,4)</f>
        <v>0.94320000000000004</v>
      </c>
      <c r="C116" s="849">
        <f>B116</f>
        <v>0.94320000000000004</v>
      </c>
      <c r="D116" s="849">
        <f>ROUND(0.8567-0.013*B113,4)</f>
        <v>0.85050000000000003</v>
      </c>
      <c r="E116" s="849">
        <f t="shared" ref="E116:H117" si="35">D116</f>
        <v>0.85050000000000003</v>
      </c>
      <c r="F116" s="849">
        <f t="shared" si="35"/>
        <v>0.85050000000000003</v>
      </c>
      <c r="G116" s="849">
        <f t="shared" si="35"/>
        <v>0.85050000000000003</v>
      </c>
      <c r="H116" s="849">
        <f t="shared" si="35"/>
        <v>0.85050000000000003</v>
      </c>
      <c r="I116" s="849">
        <f>ROUND(0.7694-0.014*B113,4)</f>
        <v>0.76270000000000004</v>
      </c>
      <c r="J116" s="849">
        <f t="shared" si="34"/>
        <v>0.76270000000000004</v>
      </c>
      <c r="K116" s="849">
        <f t="shared" si="34"/>
        <v>0.76270000000000004</v>
      </c>
      <c r="L116" s="849">
        <f t="shared" si="34"/>
        <v>0.76270000000000004</v>
      </c>
      <c r="M116" s="850">
        <f t="shared" si="34"/>
        <v>0.76270000000000004</v>
      </c>
    </row>
    <row r="117" spans="1:13">
      <c r="A117" s="848" t="s">
        <v>2702</v>
      </c>
      <c r="B117" s="849">
        <f>ROUND(0.8808-0.006*B113,4)</f>
        <v>0.87790000000000001</v>
      </c>
      <c r="C117" s="849">
        <f>B117</f>
        <v>0.87790000000000001</v>
      </c>
      <c r="D117" s="849">
        <f>ROUND(0.8748-0.008*B113,4)</f>
        <v>0.871</v>
      </c>
      <c r="E117" s="849">
        <f t="shared" si="35"/>
        <v>0.871</v>
      </c>
      <c r="F117" s="849">
        <f t="shared" si="35"/>
        <v>0.871</v>
      </c>
      <c r="G117" s="849">
        <f t="shared" si="35"/>
        <v>0.871</v>
      </c>
      <c r="H117" s="849">
        <f t="shared" si="35"/>
        <v>0.871</v>
      </c>
      <c r="I117" s="849">
        <f>ROUND(0.7412-0.0095*B113,4)</f>
        <v>0.73660000000000003</v>
      </c>
      <c r="J117" s="849">
        <f t="shared" si="34"/>
        <v>0.73660000000000003</v>
      </c>
      <c r="K117" s="849">
        <f t="shared" si="34"/>
        <v>0.73660000000000003</v>
      </c>
      <c r="L117" s="849">
        <f t="shared" si="34"/>
        <v>0.73660000000000003</v>
      </c>
      <c r="M117" s="850">
        <f t="shared" si="34"/>
        <v>0.73660000000000003</v>
      </c>
    </row>
    <row r="118" spans="1:13" ht="13.5" thickBot="1">
      <c r="A118" s="670" t="s">
        <v>2703</v>
      </c>
      <c r="B118" s="851">
        <f>ROUND(0.7275-0.01*B113,4)</f>
        <v>0.72270000000000001</v>
      </c>
      <c r="C118" s="851">
        <f>B118</f>
        <v>0.72270000000000001</v>
      </c>
      <c r="D118" s="851">
        <f>ROUND(0.7043-0.012*B113,4)</f>
        <v>0.69850000000000001</v>
      </c>
      <c r="E118" s="851">
        <f>D118</f>
        <v>0.69850000000000001</v>
      </c>
      <c r="F118" s="851">
        <f>E118</f>
        <v>0.69850000000000001</v>
      </c>
      <c r="G118" s="851">
        <f>ROUND(0.6299-0.0122*B113,4)</f>
        <v>0.624</v>
      </c>
      <c r="H118" s="851">
        <f>G118</f>
        <v>0.624</v>
      </c>
      <c r="I118" s="851">
        <f>ROUND(0.5667-0.0136*B113,4)</f>
        <v>0.56020000000000003</v>
      </c>
      <c r="J118" s="851">
        <f t="shared" si="34"/>
        <v>0.56020000000000003</v>
      </c>
      <c r="K118" s="851">
        <f t="shared" si="34"/>
        <v>0.56020000000000003</v>
      </c>
      <c r="L118" s="851">
        <f t="shared" si="34"/>
        <v>0.56020000000000003</v>
      </c>
      <c r="M118" s="852">
        <f t="shared" si="34"/>
        <v>0.56020000000000003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29" priority="5" stopIfTrue="1" operator="notEqual">
      <formula>"——"</formula>
    </cfRule>
  </conditionalFormatting>
  <conditionalFormatting sqref="F59">
    <cfRule type="cellIs" dxfId="128" priority="4" stopIfTrue="1" operator="notEqual">
      <formula>"——"</formula>
    </cfRule>
  </conditionalFormatting>
  <conditionalFormatting sqref="F70">
    <cfRule type="cellIs" dxfId="127" priority="3" stopIfTrue="1" operator="notEqual">
      <formula>"——"</formula>
    </cfRule>
  </conditionalFormatting>
  <conditionalFormatting sqref="F81">
    <cfRule type="cellIs" dxfId="126" priority="2" stopIfTrue="1" operator="notEqual">
      <formula>"——"</formula>
    </cfRule>
  </conditionalFormatting>
  <conditionalFormatting sqref="H48:H56 H59:H67 H70:H78 H81:H88">
    <cfRule type="cellIs" dxfId="12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3113</v>
      </c>
      <c r="D1" s="1546" t="s">
        <v>70</v>
      </c>
      <c r="E1" s="1547" t="s">
        <v>1352</v>
      </c>
      <c r="F1" s="1193">
        <f ca="1">J53</f>
        <v>34.520000000000003</v>
      </c>
      <c r="G1" s="1562">
        <f>MATCH(C1,'数据-取费表'!A6:A16,0)+5</f>
        <v>6</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298414</v>
      </c>
      <c r="C2" s="1571" t="s">
        <v>1481</v>
      </c>
      <c r="D2" s="1571"/>
      <c r="E2" s="1572"/>
      <c r="F2" s="1573"/>
      <c r="G2" s="2926"/>
      <c r="H2" s="2915"/>
      <c r="I2" s="2915"/>
      <c r="J2" s="2915"/>
      <c r="K2" s="2916"/>
      <c r="L2" s="2915"/>
      <c r="M2" s="2915"/>
    </row>
    <row r="3" spans="1:37" ht="18" customHeight="1" thickBot="1">
      <c r="A3" s="1574" t="s">
        <v>1482</v>
      </c>
      <c r="B3" s="1575">
        <f ca="1">IF(ISERROR(B2*10000/F43),0,ROUND(B2*10000/F43,0))</f>
        <v>26152</v>
      </c>
      <c r="C3" s="1571" t="s">
        <v>1483</v>
      </c>
      <c r="D3" s="1571"/>
      <c r="E3" s="1572"/>
      <c r="F3" s="1573"/>
      <c r="G3" s="2926"/>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18015</v>
      </c>
      <c r="D5" s="1548" t="s">
        <v>1367</v>
      </c>
      <c r="E5" s="1203"/>
      <c r="F5" s="1204"/>
      <c r="G5" s="1568"/>
      <c r="H5" s="305">
        <v>1</v>
      </c>
      <c r="I5" s="306" t="s">
        <v>1366</v>
      </c>
      <c r="J5" s="1202">
        <f ca="1">J6+J10+J12</f>
        <v>0</v>
      </c>
      <c r="K5" s="1548" t="s">
        <v>1367</v>
      </c>
      <c r="L5" s="1203"/>
      <c r="M5" s="1204"/>
    </row>
    <row r="6" spans="1:37" ht="18" customHeight="1">
      <c r="A6" s="1201" t="s">
        <v>1003</v>
      </c>
      <c r="B6" s="3360" t="s">
        <v>1368</v>
      </c>
      <c r="C6" s="1206">
        <f ca="1">ROUND(F6*F8*F7*(1-F9)/10000,0)</f>
        <v>17993</v>
      </c>
      <c r="D6" s="160" t="s">
        <v>2850</v>
      </c>
      <c r="E6" s="308" t="s">
        <v>1370</v>
      </c>
      <c r="F6" s="309">
        <f ca="1">INDIRECT("'数据-取费表'!u"&amp;$G$1)</f>
        <v>4.8</v>
      </c>
      <c r="G6" s="1568"/>
      <c r="H6" s="1201" t="s">
        <v>1003</v>
      </c>
      <c r="I6" s="3360" t="s">
        <v>1368</v>
      </c>
      <c r="J6" s="307">
        <f ca="1">ROUND(M6*M8*M7*(1-M9)/10000,0)</f>
        <v>0</v>
      </c>
      <c r="K6" s="160" t="s">
        <v>2849</v>
      </c>
      <c r="L6" s="308" t="s">
        <v>1370</v>
      </c>
      <c r="M6" s="309">
        <f ca="1">INDIRECT("'数据-取费表'!z"&amp;$G$1)</f>
        <v>0</v>
      </c>
    </row>
    <row r="7" spans="1:37" ht="18" customHeight="1">
      <c r="A7" s="1205"/>
      <c r="B7" s="3361"/>
      <c r="C7" s="1207"/>
      <c r="D7" s="313"/>
      <c r="E7" s="1208" t="s">
        <v>1371</v>
      </c>
      <c r="F7" s="309">
        <f ca="1">IF(INDIRECT("'数据-取费表'!ah"&amp;$G$1)="",INDIRECT("'数据-取费表'!k"&amp;$G$1),INDIRECT("'数据-取费表'!ah"&amp;$G$1))</f>
        <v>114107.98000000001</v>
      </c>
      <c r="G7" s="1568"/>
      <c r="H7" s="310"/>
      <c r="I7" s="3361"/>
      <c r="J7" s="312"/>
      <c r="K7" s="313"/>
      <c r="L7" s="308" t="s">
        <v>1371</v>
      </c>
      <c r="M7" s="309">
        <f ca="1">F7</f>
        <v>114107.98000000001</v>
      </c>
    </row>
    <row r="8" spans="1:37" ht="18" customHeight="1">
      <c r="A8" s="310"/>
      <c r="B8" s="3361"/>
      <c r="C8" s="312"/>
      <c r="D8" s="313"/>
      <c r="E8" s="308" t="s">
        <v>1372</v>
      </c>
      <c r="F8" s="309">
        <f ca="1">INDIRECT("'数据-取费表'!ai"&amp;$G$1)</f>
        <v>365</v>
      </c>
      <c r="G8" s="1568"/>
      <c r="H8" s="310"/>
      <c r="I8" s="3361"/>
      <c r="J8" s="312"/>
      <c r="K8" s="313"/>
      <c r="L8" s="308" t="s">
        <v>1372</v>
      </c>
      <c r="M8" s="309">
        <f ca="1">INDIRECT("'数据-取费表'!ai"&amp;$G$1)</f>
        <v>365</v>
      </c>
    </row>
    <row r="9" spans="1:37" ht="18" customHeight="1">
      <c r="A9" s="310"/>
      <c r="B9" s="3362"/>
      <c r="C9" s="312"/>
      <c r="D9" s="313"/>
      <c r="E9" s="308" t="s">
        <v>1373</v>
      </c>
      <c r="F9" s="318">
        <f ca="1">INDIRECT("'数据-取费表'!w"&amp;$G$1)</f>
        <v>0.1</v>
      </c>
      <c r="G9" s="1568"/>
      <c r="H9" s="310"/>
      <c r="I9" s="3362"/>
      <c r="J9" s="312"/>
      <c r="K9" s="313"/>
      <c r="L9" s="319" t="s">
        <v>1373</v>
      </c>
      <c r="M9" s="320">
        <f ca="1">INDIRECT("'数据-取费表'!ab"&amp;$G$1)</f>
        <v>0</v>
      </c>
    </row>
    <row r="10" spans="1:37" ht="18" customHeight="1">
      <c r="A10" s="1201" t="s">
        <v>1007</v>
      </c>
      <c r="B10" s="1549" t="s">
        <v>1374</v>
      </c>
      <c r="C10" s="322">
        <f ca="1">ROUND(IF(F10="押一",C6/12*F11,IF(F10="押二",C6/12*2*F11,IF(F10="押三",C6/12*3*F11,C11*F11))),0)</f>
        <v>22</v>
      </c>
      <c r="D10" s="1550" t="s">
        <v>2857</v>
      </c>
      <c r="E10" s="319" t="s">
        <v>1375</v>
      </c>
      <c r="F10" s="1275" t="s">
        <v>3118</v>
      </c>
      <c r="G10" s="1568"/>
      <c r="H10" s="1201" t="s">
        <v>1007</v>
      </c>
      <c r="I10" s="1549" t="s">
        <v>1374</v>
      </c>
      <c r="J10" s="307">
        <f ca="1">ROUND(IF(M10="押一",J6/12*M11,IF(M10="押二",J6/12*2*M11,IF(M10="押三",J6/12*3*M11,J11*M11))),0)</f>
        <v>0</v>
      </c>
      <c r="K10" s="1550" t="s">
        <v>2856</v>
      </c>
      <c r="L10" s="319" t="s">
        <v>1375</v>
      </c>
      <c r="M10" s="1275"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36186</v>
      </c>
      <c r="D13" s="1240" t="s">
        <v>1380</v>
      </c>
      <c r="E13" s="1240" t="s">
        <v>1381</v>
      </c>
      <c r="F13" s="1241">
        <f ca="1">INDIRECT("'数据-取费表'!y"&amp;$G$1)</f>
        <v>0.82</v>
      </c>
      <c r="G13" s="1568"/>
      <c r="H13" s="1238">
        <v>2</v>
      </c>
      <c r="I13" s="1239" t="s">
        <v>1379</v>
      </c>
      <c r="J13" s="1200">
        <f ca="1">ROUND(J14*J15,0)</f>
        <v>0</v>
      </c>
      <c r="K13" s="1246" t="s">
        <v>1380</v>
      </c>
      <c r="L13" s="1576"/>
      <c r="M13" s="1577"/>
    </row>
    <row r="14" spans="1:37" ht="18" customHeight="1">
      <c r="A14" s="1113" t="s">
        <v>1002</v>
      </c>
      <c r="B14" s="308" t="s">
        <v>1382</v>
      </c>
      <c r="C14" s="324">
        <f ca="1">INDIRECT("'数据-取费表'!m"&amp;$G$1)+INDIRECT("'数据-取费表'!t"&amp;$G$1)</f>
        <v>28527</v>
      </c>
      <c r="D14" s="1529" t="s">
        <v>1383</v>
      </c>
      <c r="E14" s="1526"/>
      <c r="F14" s="325"/>
      <c r="G14" s="1568"/>
      <c r="H14" s="1113" t="s">
        <v>1003</v>
      </c>
      <c r="I14" s="308" t="s">
        <v>1384</v>
      </c>
      <c r="J14" s="24">
        <f ca="1">C29</f>
        <v>44129</v>
      </c>
      <c r="K14" s="15"/>
      <c r="L14" s="916"/>
      <c r="M14" s="917"/>
    </row>
    <row r="15" spans="1:37" s="1581" customFormat="1" ht="18" customHeight="1" thickBot="1">
      <c r="A15" s="1113" t="s">
        <v>1004</v>
      </c>
      <c r="B15" s="308" t="s">
        <v>1385</v>
      </c>
      <c r="C15" s="24">
        <f ca="1">ROUND(C14*F15,0)</f>
        <v>1141</v>
      </c>
      <c r="D15" s="326" t="s">
        <v>1386</v>
      </c>
      <c r="E15" s="326" t="s">
        <v>1387</v>
      </c>
      <c r="F15" s="327">
        <f>'数据-取费表'!B33</f>
        <v>0.04</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847</v>
      </c>
      <c r="K16" s="1246" t="s">
        <v>1390</v>
      </c>
      <c r="L16" s="1247"/>
      <c r="M16" s="1204"/>
    </row>
    <row r="17" spans="1:37" s="1581" customFormat="1" ht="18" customHeight="1">
      <c r="A17" s="1113" t="s">
        <v>1355</v>
      </c>
      <c r="B17" s="308" t="s">
        <v>1391</v>
      </c>
      <c r="C17" s="24">
        <f ca="1">ROUND(F17*(F43+INDIRECT("'数据-取费表'!S"&amp;$G$1))/10000,0)</f>
        <v>2282</v>
      </c>
      <c r="D17" s="308" t="s">
        <v>1392</v>
      </c>
      <c r="E17" s="308" t="s">
        <v>1393</v>
      </c>
      <c r="F17" s="26">
        <f>'数据-取费表'!B35</f>
        <v>200</v>
      </c>
      <c r="G17" s="1580"/>
      <c r="H17" s="1113" t="s">
        <v>1003</v>
      </c>
      <c r="I17" s="308" t="s">
        <v>1394</v>
      </c>
      <c r="J17" s="2525">
        <f ca="1">ROUND(IF(AND(项目基本情况!B11="自然人",项目基本情况!B10="北京市"),J6*M17/(1+'数据-取费表'!C42),J18+J19+J20),0)</f>
        <v>406</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428</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32378</v>
      </c>
      <c r="D19" s="136" t="s">
        <v>1401</v>
      </c>
      <c r="E19" s="1544"/>
      <c r="F19" s="26"/>
      <c r="G19" s="1568"/>
      <c r="H19" s="1113" t="s">
        <v>1004</v>
      </c>
      <c r="I19" s="308" t="s">
        <v>1402</v>
      </c>
      <c r="J19" s="24">
        <f ca="1">IF(K19="按租金收入计税",ROUND(J6*M19/(1+'数据-取费表'!C42),2),ROUND(C29*M19*0.7,2))</f>
        <v>370.68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648</v>
      </c>
      <c r="D20" s="329" t="s">
        <v>1405</v>
      </c>
      <c r="E20" s="308" t="s">
        <v>1387</v>
      </c>
      <c r="F20" s="328">
        <f>'数据-取费表'!B37</f>
        <v>0.02</v>
      </c>
      <c r="G20" s="1580"/>
      <c r="H20" s="1113" t="s">
        <v>1354</v>
      </c>
      <c r="I20" s="160" t="s">
        <v>1406</v>
      </c>
      <c r="J20" s="25">
        <f ca="1">ROUND(M20*M21/10000,2)</f>
        <v>35.53</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236852.67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441.3</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1060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ROUND(IF('数据-取费表'!B22&lt;=1,F21*F24*F23/2,F21*(POWER((1+F24),F23/2)-1)),4)</f>
        <v>5.9999999999999995E-4</v>
      </c>
      <c r="D24" s="335" t="str">
        <f>IF(F23&lt;=1,"销售费用×利率×(建设周期÷2)","销售费用×((1+利率)^(建设周期÷2)-1)")</f>
        <v>销售费用×((1+利率)^(建设周期÷2)-1)</v>
      </c>
      <c r="E24" s="308" t="s">
        <v>1423</v>
      </c>
      <c r="F24" s="337">
        <f>'数据-取费表'!B40</f>
        <v>4.2999999999999997E-2</v>
      </c>
      <c r="G24" s="1580"/>
      <c r="H24" s="1248" t="s">
        <v>1358</v>
      </c>
      <c r="I24" s="1249" t="s">
        <v>1404</v>
      </c>
      <c r="J24" s="1250">
        <f ca="1">ROUND(J5*M24,1)</f>
        <v>0</v>
      </c>
      <c r="K24" s="1251" t="s">
        <v>1424</v>
      </c>
      <c r="L24" s="1249" t="s">
        <v>1420</v>
      </c>
      <c r="M24" s="1245">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8" t="s">
        <v>999</v>
      </c>
      <c r="I25" s="1253" t="s">
        <v>1428</v>
      </c>
      <c r="J25" s="316">
        <f ca="1">J5-J16</f>
        <v>-847</v>
      </c>
      <c r="K25" s="1254" t="s">
        <v>1429</v>
      </c>
      <c r="L25" s="1255"/>
      <c r="M25" s="1256"/>
    </row>
    <row r="26" spans="1:37">
      <c r="A26" s="1113" t="s">
        <v>1002</v>
      </c>
      <c r="B26" s="308" t="s">
        <v>1430</v>
      </c>
      <c r="C26" s="24">
        <f ca="1">ROUND((C19+C20)*F26,0)</f>
        <v>6605</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44129</v>
      </c>
      <c r="D29" s="1251"/>
      <c r="E29" s="1249"/>
      <c r="F29" s="1252"/>
      <c r="G29" s="1580"/>
      <c r="H29" s="340" t="s">
        <v>1001</v>
      </c>
      <c r="I29" s="341" t="s">
        <v>1444</v>
      </c>
      <c r="J29" s="342">
        <f ca="1">ROUND(J26/(1+F40)^F41,0)</f>
        <v>0</v>
      </c>
      <c r="K29" s="343" t="s">
        <v>1445</v>
      </c>
      <c r="L29" s="344"/>
      <c r="M29" s="345">
        <f ca="1">INDIRECT("'数据-取费表'!k"&amp;$G$1)</f>
        <v>114107.98000000001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3818</v>
      </c>
      <c r="D30" s="1246" t="s">
        <v>1390</v>
      </c>
      <c r="E30" s="1247"/>
      <c r="F30" s="1204"/>
      <c r="G30" s="1568"/>
      <c r="H30" s="2917"/>
      <c r="I30" s="1582"/>
      <c r="J30" s="1583"/>
      <c r="K30" s="2692"/>
      <c r="L30" s="2918"/>
      <c r="M30" s="2919"/>
    </row>
    <row r="31" spans="1:37" ht="18" customHeight="1">
      <c r="A31" s="1113" t="s">
        <v>1003</v>
      </c>
      <c r="B31" s="308" t="s">
        <v>1394</v>
      </c>
      <c r="C31" s="2525">
        <f ca="1">ROUND(IF(AND(项目基本情况!B11="自然人",项目基本情况!B10="北京市"),C6*F31/(1+'数据-取费表'!C42),C32+C33+C34),0)</f>
        <v>3052</v>
      </c>
      <c r="D31" s="1529" t="s">
        <v>1395</v>
      </c>
      <c r="E31" s="1528" t="s">
        <v>1446</v>
      </c>
      <c r="F31" s="2524" t="str">
        <f>IF(项目基本情况!B11="企业","——",IF('数据-取费表'!B10="住宅",IF(F6*F7*F8/12/(1+'数据-取费表'!F30)&gt;100000,4%,2.5%),IF(F6*F7*F8/12/(1+'数据-取费表'!F30)&gt;100000,12%,7%)))</f>
        <v>——</v>
      </c>
      <c r="G31" s="1568"/>
      <c r="H31" s="3030" t="s">
        <v>3056</v>
      </c>
      <c r="I31" s="1582"/>
      <c r="J31" s="1583"/>
      <c r="K31" s="2692"/>
      <c r="L31" s="2918"/>
      <c r="M31" s="2919"/>
    </row>
    <row r="32" spans="1:37" ht="18" customHeight="1">
      <c r="A32" s="1113" t="s">
        <v>1002</v>
      </c>
      <c r="B32" s="308" t="s">
        <v>1398</v>
      </c>
      <c r="C32" s="24">
        <f ca="1">IF(项目基本情况!B11="自然人","——",ROUND(C6*F32/(1+'数据-取费表'!C42),2))</f>
        <v>959.63</v>
      </c>
      <c r="D32" s="1528" t="s">
        <v>1399</v>
      </c>
      <c r="E32" s="308" t="s">
        <v>1387</v>
      </c>
      <c r="F32" s="337">
        <f>'数据-取费表'!B41</f>
        <v>5.6000000000000001E-2</v>
      </c>
      <c r="G32" s="1568"/>
      <c r="H32" s="2917"/>
      <c r="I32" s="1582"/>
      <c r="J32" s="1583"/>
      <c r="K32" s="2692"/>
      <c r="L32" s="2918"/>
      <c r="M32" s="2919"/>
    </row>
    <row r="33" spans="1:18" ht="18" customHeight="1">
      <c r="A33" s="1113" t="s">
        <v>1004</v>
      </c>
      <c r="B33" s="308" t="s">
        <v>1402</v>
      </c>
      <c r="C33" s="24">
        <f ca="1">IF(项目基本情况!B11="自然人","——",IF(D33="按租金收入计税",ROUND(C6*F33/(1+'数据-取费表'!C42),2),IF(D33="按房产原值计税",ROUND(C29*F33*0.7,2),INDIRECT("'数据-取费表'!Aj"&amp;$G$1))))</f>
        <v>2056.34</v>
      </c>
      <c r="D33" s="1554" t="s">
        <v>3119</v>
      </c>
      <c r="E33" s="308" t="s">
        <v>1387</v>
      </c>
      <c r="F33" s="328">
        <f>IF(D33="按票据","——",IF(D33="按租金收入计税",'数据-取费表'!B51,'数据-取费表'!B50))</f>
        <v>0.12</v>
      </c>
      <c r="G33" s="1568"/>
      <c r="H33" s="2920"/>
      <c r="I33" s="1582"/>
      <c r="J33" s="1583"/>
      <c r="K33" s="2921"/>
      <c r="L33" s="2920"/>
      <c r="M33" s="2920"/>
    </row>
    <row r="34" spans="1:18" ht="18" customHeight="1">
      <c r="A34" s="1201" t="s">
        <v>1354</v>
      </c>
      <c r="B34" s="160" t="s">
        <v>1406</v>
      </c>
      <c r="C34" s="25">
        <f ca="1">IF(项目基本情况!B11="自然人","——",ROUND(F34*F35/10000,2))</f>
        <v>35.53</v>
      </c>
      <c r="D34" s="330" t="s">
        <v>1407</v>
      </c>
      <c r="E34" s="308" t="s">
        <v>1408</v>
      </c>
      <c r="F34" s="331">
        <f>'数据-取费表'!B52</f>
        <v>1.5</v>
      </c>
      <c r="G34" s="1568"/>
      <c r="H34" s="2917"/>
      <c r="I34" s="1582"/>
      <c r="J34" s="1583"/>
      <c r="K34" s="2922"/>
      <c r="L34" s="2923"/>
      <c r="M34" s="2923"/>
    </row>
    <row r="35" spans="1:18" ht="18" customHeight="1">
      <c r="A35" s="1262"/>
      <c r="B35" s="1260"/>
      <c r="C35" s="29"/>
      <c r="D35" s="333"/>
      <c r="E35" s="308" t="s">
        <v>1412</v>
      </c>
      <c r="F35" s="309">
        <f ca="1">INDIRECT("'数据-取费表'!r"&amp;$G$1)</f>
        <v>236852.67</v>
      </c>
      <c r="G35" s="1568"/>
      <c r="H35" s="2917"/>
      <c r="I35" s="1582"/>
      <c r="J35" s="1583"/>
      <c r="K35" s="2921"/>
      <c r="L35" s="2920"/>
      <c r="M35" s="2920"/>
    </row>
    <row r="36" spans="1:18" ht="18" customHeight="1">
      <c r="A36" s="1261" t="s">
        <v>1007</v>
      </c>
      <c r="B36" s="308" t="s">
        <v>1414</v>
      </c>
      <c r="C36" s="24">
        <f ca="1">ROUND(C29*F36,1)</f>
        <v>441.3</v>
      </c>
      <c r="D36" s="1528" t="s">
        <v>1447</v>
      </c>
      <c r="E36" s="308" t="s">
        <v>1387</v>
      </c>
      <c r="F36" s="334">
        <f ca="1">INDIRECT("'数据-取费表'!Ak"&amp;$G$1)</f>
        <v>0.01</v>
      </c>
      <c r="G36" s="1568"/>
      <c r="H36" s="2920"/>
      <c r="I36" s="1582"/>
      <c r="J36" s="1583"/>
      <c r="K36" s="2761"/>
      <c r="L36" s="2920"/>
      <c r="M36" s="2920"/>
    </row>
    <row r="37" spans="1:18" ht="18" customHeight="1">
      <c r="A37" s="1113" t="s">
        <v>1043</v>
      </c>
      <c r="B37" s="308" t="s">
        <v>1418</v>
      </c>
      <c r="C37" s="24">
        <f ca="1">ROUND(C13*F37,1)</f>
        <v>54.3</v>
      </c>
      <c r="D37" s="1528" t="s">
        <v>1419</v>
      </c>
      <c r="E37" s="308" t="s">
        <v>1420</v>
      </c>
      <c r="F37" s="336">
        <f ca="1">INDIRECT("'数据-取费表'!Al"&amp;$G$1)</f>
        <v>1.5E-3</v>
      </c>
      <c r="G37" s="1568"/>
      <c r="H37" s="2920"/>
      <c r="I37" s="1582"/>
      <c r="J37" s="1583"/>
      <c r="K37" s="2761"/>
      <c r="L37" s="2920"/>
      <c r="M37" s="2920"/>
    </row>
    <row r="38" spans="1:18" ht="18" customHeight="1" thickBot="1">
      <c r="A38" s="1248" t="s">
        <v>1358</v>
      </c>
      <c r="B38" s="1249" t="s">
        <v>1404</v>
      </c>
      <c r="C38" s="1250">
        <f ca="1">ROUND(C5*F38,1)</f>
        <v>270.2</v>
      </c>
      <c r="D38" s="1251" t="s">
        <v>1424</v>
      </c>
      <c r="E38" s="1249" t="s">
        <v>1420</v>
      </c>
      <c r="F38" s="1245">
        <f ca="1">INDIRECT("'数据-取费表'!Am"&amp;$G$1)</f>
        <v>1.4999999999999999E-2</v>
      </c>
      <c r="G38" s="1568"/>
      <c r="H38" s="2920"/>
      <c r="I38" s="1582"/>
      <c r="J38" s="1583"/>
      <c r="K38" s="2924"/>
      <c r="L38" s="2920"/>
      <c r="M38" s="2920"/>
    </row>
    <row r="39" spans="1:18" ht="24.6" customHeight="1" thickTop="1">
      <c r="A39" s="1238" t="s">
        <v>999</v>
      </c>
      <c r="B39" s="1253" t="s">
        <v>1448</v>
      </c>
      <c r="C39" s="316">
        <f ca="1">C5-C30</f>
        <v>14197</v>
      </c>
      <c r="D39" s="1254" t="s">
        <v>1449</v>
      </c>
      <c r="E39" s="1255"/>
      <c r="F39" s="1256"/>
      <c r="G39" s="1568"/>
      <c r="H39" s="2920"/>
      <c r="I39" s="1582"/>
      <c r="J39" s="1583"/>
      <c r="K39" s="2924"/>
      <c r="L39" s="2920"/>
      <c r="M39" s="2920"/>
    </row>
    <row r="40" spans="1:18" ht="18" customHeight="1">
      <c r="A40" s="305" t="s">
        <v>1000</v>
      </c>
      <c r="B40" s="306" t="s">
        <v>1450</v>
      </c>
      <c r="C40" s="307">
        <f ca="1">ROUND(C39*(1-((1+F42)/(1+F40))^F41)/(F40-F42),0)</f>
        <v>298414</v>
      </c>
      <c r="D40" s="330" t="s">
        <v>1434</v>
      </c>
      <c r="E40" s="308" t="s">
        <v>1435</v>
      </c>
      <c r="F40" s="318">
        <f ca="1">INDIRECT("'数据-取费表'!I"&amp;$G$1)</f>
        <v>5.5E-2</v>
      </c>
      <c r="G40" s="1568"/>
      <c r="H40" s="1645"/>
      <c r="I40" s="1582"/>
      <c r="J40" s="1583"/>
      <c r="K40" s="2924"/>
      <c r="L40" s="1645"/>
      <c r="M40" s="1645"/>
    </row>
    <row r="41" spans="1:18" ht="18" customHeight="1">
      <c r="A41" s="310"/>
      <c r="B41" s="311"/>
      <c r="C41" s="312"/>
      <c r="D41" s="338" t="s">
        <v>1451</v>
      </c>
      <c r="E41" s="308" t="s">
        <v>1439</v>
      </c>
      <c r="F41" s="339">
        <f ca="1">IF(INDIRECT("'数据-取费表'!af"&amp;$G$1)=0,INDIRECT("'数据-取费表'!ae"&amp;$G$1),INDIRECT("'数据-取费表'!af"&amp;$G$1))</f>
        <v>34.520000000000003</v>
      </c>
      <c r="G41" s="1568"/>
      <c r="H41" s="1352"/>
      <c r="I41" s="1582"/>
      <c r="J41" s="1583"/>
      <c r="K41" s="2761"/>
      <c r="L41" s="1352"/>
      <c r="M41" s="1352"/>
    </row>
    <row r="42" spans="1:18" ht="18" customHeight="1">
      <c r="A42" s="314"/>
      <c r="B42" s="315"/>
      <c r="C42" s="316"/>
      <c r="D42" s="333"/>
      <c r="E42" s="308" t="s">
        <v>1442</v>
      </c>
      <c r="F42" s="318">
        <f ca="1">INDIRECT("'数据-取费表'!v"&amp;$G$1)</f>
        <v>2.5000000000000001E-2</v>
      </c>
      <c r="G42" s="1568"/>
      <c r="H42" s="1352"/>
      <c r="I42" s="1582"/>
      <c r="J42" s="1583"/>
      <c r="K42" s="2761"/>
      <c r="L42" s="1352"/>
      <c r="M42" s="1352"/>
    </row>
    <row r="43" spans="1:18" ht="18" customHeight="1" thickBot="1">
      <c r="A43" s="340" t="s">
        <v>1001</v>
      </c>
      <c r="B43" s="341" t="s">
        <v>1452</v>
      </c>
      <c r="C43" s="342">
        <f ca="1">ROUND(C40*10000/F43,0)</f>
        <v>26152</v>
      </c>
      <c r="D43" s="343" t="s">
        <v>1453</v>
      </c>
      <c r="E43" s="344" t="s">
        <v>1454</v>
      </c>
      <c r="F43" s="345">
        <f ca="1">INDIRECT("'数据-取费表'!k"&amp;$G$1)</f>
        <v>114107.98000000001</v>
      </c>
      <c r="G43" s="1568"/>
      <c r="H43" s="1352"/>
      <c r="I43" s="1352"/>
      <c r="J43" s="1352"/>
      <c r="K43" s="2761"/>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5" t="s">
        <v>1484</v>
      </c>
      <c r="P45" s="1645"/>
      <c r="Q45" s="1645"/>
      <c r="R45" s="1645"/>
    </row>
    <row r="46" spans="1:18" s="1568" customFormat="1" ht="13.5" thickBot="1">
      <c r="A46" s="1588" t="s">
        <v>1485</v>
      </c>
      <c r="C46" s="1589">
        <f ca="1">C68-C40</f>
        <v>-363331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6" t="s">
        <v>1363</v>
      </c>
      <c r="D47" s="1109" t="s">
        <v>1364</v>
      </c>
      <c r="E47" s="1189" t="s">
        <v>1365</v>
      </c>
      <c r="F47" s="1190"/>
      <c r="G47" s="731"/>
      <c r="I47" s="1598" t="s">
        <v>1491</v>
      </c>
      <c r="J47" s="1599" t="s">
        <v>3120</v>
      </c>
      <c r="K47" s="1600" t="s">
        <v>1492</v>
      </c>
      <c r="L47" s="1601">
        <f ca="1">INDIRECT("'数据-取费表'!d"&amp;$G$1)</f>
        <v>50</v>
      </c>
      <c r="M47" s="1564" t="str">
        <f>IF(ISNUMBER(FIND("住宅",C1)),"住宅","非住宅")</f>
        <v>非住宅</v>
      </c>
      <c r="O47" s="1602" t="s">
        <v>1008</v>
      </c>
      <c r="P47" s="1603" t="s">
        <v>1493</v>
      </c>
      <c r="Q47" s="1604">
        <f ca="1">C40+J29</f>
        <v>298414</v>
      </c>
      <c r="R47" s="1604" t="s">
        <v>1494</v>
      </c>
    </row>
    <row r="48" spans="1:18" s="1568" customFormat="1" ht="28.5" thickBot="1">
      <c r="A48" s="1269" t="s">
        <v>1103</v>
      </c>
      <c r="B48" s="306" t="s">
        <v>1366</v>
      </c>
      <c r="C48" s="1543">
        <f ca="1">C49+C53+C55</f>
        <v>0</v>
      </c>
      <c r="D48" s="1271"/>
      <c r="E48" s="1272"/>
      <c r="F48" s="1093"/>
      <c r="G48" s="731"/>
      <c r="H48" s="732"/>
      <c r="I48" s="1605" t="s">
        <v>1495</v>
      </c>
      <c r="J48" s="1606" t="s">
        <v>3121</v>
      </c>
      <c r="K48" s="1607" t="s">
        <v>1496</v>
      </c>
      <c r="L48" s="1608">
        <f ca="1">INDIRECT("'数据-取费表'!f"&amp;$G$1)</f>
        <v>34.520000000000003</v>
      </c>
      <c r="O48" s="1602" t="s">
        <v>1009</v>
      </c>
      <c r="P48" s="1603" t="s">
        <v>1497</v>
      </c>
      <c r="Q48" s="1604" t="str">
        <f ca="1">J60</f>
        <v>0</v>
      </c>
      <c r="R48" s="1604" t="s">
        <v>1498</v>
      </c>
    </row>
    <row r="49" spans="1:18" s="1568" customFormat="1" ht="13.5" thickBot="1">
      <c r="A49" s="1106" t="s">
        <v>1104</v>
      </c>
      <c r="B49" s="1555" t="s">
        <v>1455</v>
      </c>
      <c r="C49" s="1273">
        <f ca="1">ROUND(F49*F51*F50*(1-F52)/10000,0)</f>
        <v>0</v>
      </c>
      <c r="D49" s="1186" t="s">
        <v>2851</v>
      </c>
      <c r="E49" s="1556" t="s">
        <v>1456</v>
      </c>
      <c r="F49" s="1191"/>
      <c r="G49" s="1609"/>
      <c r="H49" s="732"/>
      <c r="I49" s="1605" t="s">
        <v>1499</v>
      </c>
      <c r="J49" s="1610">
        <v>2009</v>
      </c>
      <c r="K49" s="1607" t="s">
        <v>1500</v>
      </c>
      <c r="L49" s="1611"/>
      <c r="O49" s="1612" t="s">
        <v>1010</v>
      </c>
      <c r="P49" s="1603" t="s">
        <v>1501</v>
      </c>
      <c r="Q49" s="1604">
        <f ca="1">C29</f>
        <v>44129</v>
      </c>
      <c r="R49" s="1604" t="s">
        <v>1494</v>
      </c>
    </row>
    <row r="50" spans="1:18" s="1568" customFormat="1" ht="13.5" thickBot="1">
      <c r="A50" s="1107"/>
      <c r="B50" s="1110"/>
      <c r="C50" s="1277"/>
      <c r="D50" s="1084"/>
      <c r="E50" s="1187" t="s">
        <v>1371</v>
      </c>
      <c r="F50" s="1188">
        <f ca="1">F7</f>
        <v>114107.98000000001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47</v>
      </c>
      <c r="K51" s="1618" t="s">
        <v>1506</v>
      </c>
      <c r="L51" s="1619">
        <f ca="1">ROUND(-PV(INDIRECT("'数据-取费表'!h"&amp;$G$1),J51,(C39-C13*C76),0),0)</f>
        <v>199970</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34.520000000000003</v>
      </c>
      <c r="R52" s="1604" t="s">
        <v>1511</v>
      </c>
    </row>
    <row r="53" spans="1:18" s="1568" customFormat="1" ht="24.75" thickBot="1">
      <c r="A53" s="1313" t="s">
        <v>1105</v>
      </c>
      <c r="B53" s="1557" t="s">
        <v>1374</v>
      </c>
      <c r="C53" s="322">
        <f ca="1">ROUND(IF(F53="押一",C49/12*F11,IF(F53="押二",C49/12*2*F11,IF(F53="押三",C49/12*3*F11,C54*F11))),0)</f>
        <v>0</v>
      </c>
      <c r="D53" s="1550" t="s">
        <v>2856</v>
      </c>
      <c r="E53" s="319" t="s">
        <v>1375</v>
      </c>
      <c r="F53" s="1275"/>
      <c r="I53" s="1623" t="s">
        <v>1512</v>
      </c>
      <c r="J53" s="2386">
        <f ca="1">IF(M47="住宅",IF(D1="——",MAX(J51,L48),MAX(J51,L48-'数据-取费表'!B24)),IF(D1="——",MIN(J51,L48),MIN(J51,L48-'数据-取费表'!B24)))</f>
        <v>34.520000000000003</v>
      </c>
      <c r="K53" s="3358" t="s">
        <v>1513</v>
      </c>
      <c r="L53" s="3359"/>
      <c r="O53" s="1602" t="s">
        <v>1014</v>
      </c>
      <c r="P53" s="1603" t="s">
        <v>1514</v>
      </c>
      <c r="Q53" s="1604">
        <f ca="1">Q47+Q48</f>
        <v>298414</v>
      </c>
      <c r="R53" s="1604" t="s">
        <v>1015</v>
      </c>
    </row>
    <row r="54" spans="1:18" s="1568" customFormat="1" ht="13.5" thickBot="1">
      <c r="A54" s="1314"/>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36186</v>
      </c>
      <c r="D56" s="1631"/>
      <c r="E56" s="1632"/>
      <c r="F56" s="1624"/>
      <c r="I56" s="1633" t="s">
        <v>1519</v>
      </c>
      <c r="J56" s="1634" t="s">
        <v>3109</v>
      </c>
      <c r="K56" s="1605" t="s">
        <v>1520</v>
      </c>
      <c r="L56" s="1608" t="str">
        <f ca="1">IF(L48&lt;J51,"——",L48-J53)</f>
        <v>——</v>
      </c>
      <c r="O56" s="1602" t="s">
        <v>1008</v>
      </c>
      <c r="P56" s="1603" t="s">
        <v>1493</v>
      </c>
      <c r="Q56" s="1604">
        <f ca="1">C40+J29</f>
        <v>298414</v>
      </c>
      <c r="R56" s="1604" t="s">
        <v>1494</v>
      </c>
    </row>
    <row r="57" spans="1:18" s="1568" customFormat="1" ht="24.75" thickBot="1">
      <c r="A57" s="1635"/>
      <c r="B57" s="1081" t="s">
        <v>1443</v>
      </c>
      <c r="C57" s="244">
        <f ca="1">C29</f>
        <v>44129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4238</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3742</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IF(项目基本情况!B11="自然人","——",IF(D61="按租金收入计税",ROUND(C48*F61,2),IF(D61="按房产原值计税",ROUND(C57*F61*0.7,2),INDIRECT("'数据-取费表'!Aj"&amp;$G$1))))</f>
        <v>3706.84</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35.53</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298414</v>
      </c>
      <c r="R62" s="1604" t="s">
        <v>1015</v>
      </c>
    </row>
    <row r="63" spans="1:18" s="1568" customFormat="1" ht="13.5" thickBot="1">
      <c r="A63" s="332"/>
      <c r="B63" s="1087"/>
      <c r="C63" s="29"/>
      <c r="D63" s="1097"/>
      <c r="E63" s="1081" t="s">
        <v>1464</v>
      </c>
      <c r="F63" s="309">
        <f t="shared" ca="1" si="0"/>
        <v>236852.67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441.3</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54.3</v>
      </c>
      <c r="D65" s="1095" t="s">
        <v>1419</v>
      </c>
      <c r="E65" s="1081" t="s">
        <v>1420</v>
      </c>
      <c r="F65" s="336">
        <f t="shared" ca="1" si="0"/>
        <v>1.5E-3</v>
      </c>
      <c r="I65" s="1646" t="s">
        <v>1544</v>
      </c>
      <c r="J65" s="1647">
        <v>40</v>
      </c>
      <c r="K65" s="1647">
        <v>30</v>
      </c>
      <c r="L65" s="1647">
        <v>50</v>
      </c>
      <c r="M65" s="1649">
        <v>0.02</v>
      </c>
      <c r="O65" s="1602" t="s">
        <v>1008</v>
      </c>
      <c r="P65" s="1603" t="s">
        <v>1545</v>
      </c>
      <c r="Q65" s="1604">
        <f ca="1">C40+J29</f>
        <v>298414</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-4238</v>
      </c>
      <c r="D67" s="1094" t="s">
        <v>1429</v>
      </c>
      <c r="E67" s="1099"/>
      <c r="F67" s="1100"/>
      <c r="O67" s="1612" t="s">
        <v>1010</v>
      </c>
      <c r="P67" s="1603" t="s">
        <v>1527</v>
      </c>
      <c r="Q67" s="1650">
        <f ca="1">L51</f>
        <v>199970</v>
      </c>
      <c r="R67" s="1604" t="s">
        <v>1547</v>
      </c>
    </row>
    <row r="68" spans="1:18" s="1568" customFormat="1" ht="16.5" thickBot="1">
      <c r="A68" s="1078" t="s">
        <v>1000</v>
      </c>
      <c r="B68" s="1079" t="s">
        <v>1450</v>
      </c>
      <c r="C68" s="307">
        <f ca="1">ROUND(C67*(1-((1+F70)/(1+F68))^F69)/(F68-F70),0)</f>
        <v>-64917</v>
      </c>
      <c r="D68" s="1096" t="s">
        <v>1434</v>
      </c>
      <c r="E68" s="1081" t="s">
        <v>1435</v>
      </c>
      <c r="F68" s="318">
        <f ca="1">F40</f>
        <v>5.5E-2</v>
      </c>
      <c r="O68" s="1612" t="s">
        <v>1011</v>
      </c>
      <c r="P68" s="1651" t="s">
        <v>1548</v>
      </c>
      <c r="Q68" s="1604">
        <f ca="1">ROUND(Q69-Q70*Q71,0)</f>
        <v>11121</v>
      </c>
      <c r="R68" s="1604" t="s">
        <v>1019</v>
      </c>
    </row>
    <row r="69" spans="1:18" s="1568" customFormat="1" ht="13.5" thickBot="1">
      <c r="A69" s="1082"/>
      <c r="B69" s="1083"/>
      <c r="C69" s="312"/>
      <c r="D69" s="1101" t="s">
        <v>1438</v>
      </c>
      <c r="E69" s="1081" t="s">
        <v>1439</v>
      </c>
      <c r="F69" s="339">
        <f ca="1">F41</f>
        <v>34.520000000000003</v>
      </c>
      <c r="O69" s="1612" t="s">
        <v>1016</v>
      </c>
      <c r="P69" s="1651" t="s">
        <v>1549</v>
      </c>
      <c r="Q69" s="1604">
        <f ca="1">C39</f>
        <v>14197</v>
      </c>
      <c r="R69" s="1604" t="s">
        <v>1494</v>
      </c>
    </row>
    <row r="70" spans="1:18" s="1568" customFormat="1" ht="13.5" thickBot="1">
      <c r="A70" s="1085"/>
      <c r="B70" s="1086"/>
      <c r="C70" s="316"/>
      <c r="D70" s="1097"/>
      <c r="E70" s="1081" t="s">
        <v>1442</v>
      </c>
      <c r="F70" s="1185"/>
      <c r="O70" s="1612" t="s">
        <v>1017</v>
      </c>
      <c r="P70" s="1651" t="s">
        <v>1550</v>
      </c>
      <c r="Q70" s="1604">
        <f ca="1">C13</f>
        <v>36186</v>
      </c>
      <c r="R70" s="1604" t="s">
        <v>1494</v>
      </c>
    </row>
    <row r="71" spans="1:18" s="1568" customFormat="1" ht="13.5" thickBot="1">
      <c r="A71" s="1102" t="s">
        <v>1001</v>
      </c>
      <c r="B71" s="1103" t="s">
        <v>1452</v>
      </c>
      <c r="C71" s="342">
        <f ca="1">ROUND(C68*10000/F71,0)</f>
        <v>-5689</v>
      </c>
      <c r="D71" s="1104" t="s">
        <v>1453</v>
      </c>
      <c r="E71" s="1105" t="s">
        <v>1454</v>
      </c>
      <c r="F71" s="345">
        <f ca="1">F43</f>
        <v>114107.98000000001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3076</v>
      </c>
      <c r="D75" s="1568"/>
      <c r="E75" s="1568"/>
      <c r="F75" s="1568"/>
      <c r="K75" s="1586"/>
      <c r="L75" s="1568"/>
      <c r="O75" s="1602" t="s">
        <v>1014</v>
      </c>
      <c r="P75" s="1603" t="s">
        <v>1514</v>
      </c>
      <c r="Q75" s="1604">
        <f ca="1">Q65+Q66</f>
        <v>298414</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0.78300000000000003</v>
      </c>
    </row>
    <row r="80" spans="1:18">
      <c r="B80" s="346" t="s">
        <v>1476</v>
      </c>
      <c r="C80" s="280">
        <f ca="1">ROUND(C75/C39,3)</f>
        <v>0.217</v>
      </c>
    </row>
    <row r="81" spans="2:3">
      <c r="B81" s="276" t="s">
        <v>1477</v>
      </c>
      <c r="C81" s="244"/>
    </row>
    <row r="82" spans="2:3">
      <c r="B82" s="279" t="s">
        <v>1478</v>
      </c>
      <c r="C82" s="281">
        <f ca="1">1-C83</f>
        <v>0.879</v>
      </c>
    </row>
    <row r="83" spans="2:3">
      <c r="B83" s="279" t="s">
        <v>1479</v>
      </c>
      <c r="C83" s="280">
        <f ca="1">ROUND(C13/C40,3)</f>
        <v>0.121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6"/>
      <c r="H2" s="2915"/>
      <c r="I2" s="2915"/>
      <c r="J2" s="2915"/>
      <c r="K2" s="2916"/>
      <c r="L2" s="2915"/>
      <c r="M2" s="2915"/>
    </row>
    <row r="3" spans="1:37" ht="18" customHeight="1" thickBot="1">
      <c r="A3" s="1574" t="s">
        <v>1558</v>
      </c>
      <c r="B3" s="1575">
        <f ca="1">IF(ISERROR(D2/F43),0,ROUND(D2/F43,0))</f>
        <v>0</v>
      </c>
      <c r="C3" s="1571" t="s">
        <v>1559</v>
      </c>
      <c r="D3" s="1571"/>
      <c r="E3" s="1572"/>
      <c r="F3" s="1573"/>
      <c r="G3" s="2926"/>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60" t="s">
        <v>1368</v>
      </c>
      <c r="C6" s="1206">
        <f ca="1">ROUND(F6*F8*F7*(1-F9),0)</f>
        <v>0</v>
      </c>
      <c r="D6" s="160" t="s">
        <v>2847</v>
      </c>
      <c r="E6" s="308" t="s">
        <v>1370</v>
      </c>
      <c r="F6" s="309">
        <f ca="1">INDIRECT("'数据-取费表'!u"&amp;$G$1)</f>
        <v>0</v>
      </c>
      <c r="G6" s="1568"/>
      <c r="H6" s="1201" t="s">
        <v>1003</v>
      </c>
      <c r="I6" s="3360" t="s">
        <v>1368</v>
      </c>
      <c r="J6" s="307">
        <f ca="1">ROUND(M6*M8*M7*(1-M9),0)</f>
        <v>0</v>
      </c>
      <c r="K6" s="1560" t="s">
        <v>2848</v>
      </c>
      <c r="L6" s="308" t="s">
        <v>1370</v>
      </c>
      <c r="M6" s="309">
        <f ca="1">INDIRECT("'数据-取费表'!z"&amp;$G$1)</f>
        <v>0</v>
      </c>
    </row>
    <row r="7" spans="1:37" ht="18" customHeight="1">
      <c r="A7" s="1205"/>
      <c r="B7" s="3361"/>
      <c r="C7" s="1207"/>
      <c r="D7" s="313"/>
      <c r="E7" s="1208" t="s">
        <v>1371</v>
      </c>
      <c r="F7" s="309">
        <f ca="1">IF(INDIRECT("'数据-取费表'!ah"&amp;$G$1)="",INDIRECT("'数据-取费表'!k"&amp;$G$1),INDIRECT("'数据-取费表'!ah"&amp;$G$1))</f>
        <v>0</v>
      </c>
      <c r="G7" s="1568"/>
      <c r="H7" s="310"/>
      <c r="I7" s="3361"/>
      <c r="J7" s="312"/>
      <c r="K7" s="313"/>
      <c r="L7" s="308" t="s">
        <v>1371</v>
      </c>
      <c r="M7" s="309">
        <f ca="1">F7</f>
        <v>0</v>
      </c>
    </row>
    <row r="8" spans="1:37" ht="18" customHeight="1">
      <c r="A8" s="310"/>
      <c r="B8" s="3361"/>
      <c r="C8" s="312"/>
      <c r="D8" s="313"/>
      <c r="E8" s="308" t="s">
        <v>1372</v>
      </c>
      <c r="F8" s="309">
        <f ca="1">INDIRECT("'数据-取费表'!ai"&amp;$G$1)</f>
        <v>0</v>
      </c>
      <c r="G8" s="1568"/>
      <c r="H8" s="310"/>
      <c r="I8" s="3361"/>
      <c r="J8" s="312"/>
      <c r="K8" s="313"/>
      <c r="L8" s="308" t="s">
        <v>1372</v>
      </c>
      <c r="M8" s="309">
        <f ca="1">INDIRECT("'数据-取费表'!ai"&amp;$G$1)</f>
        <v>0</v>
      </c>
    </row>
    <row r="9" spans="1:37" ht="18" customHeight="1">
      <c r="A9" s="310"/>
      <c r="B9" s="3362"/>
      <c r="C9" s="312"/>
      <c r="D9" s="313"/>
      <c r="E9" s="308" t="s">
        <v>1373</v>
      </c>
      <c r="F9" s="318">
        <f ca="1">INDIRECT("'数据-取费表'!w"&amp;$G$1)</f>
        <v>0</v>
      </c>
      <c r="G9" s="1568"/>
      <c r="H9" s="310"/>
      <c r="I9" s="3362"/>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5"/>
      <c r="G10" s="1568"/>
      <c r="H10" s="1201" t="s">
        <v>1007</v>
      </c>
      <c r="I10" s="1549" t="s">
        <v>1374</v>
      </c>
      <c r="J10" s="307">
        <f ca="1">ROUND(IF(M10="押一",J6/12*M11,IF(M10="押二",J6/12*2*M11,IF(M10="押三",J6/12*3*M11,J11*M11))),0)</f>
        <v>0</v>
      </c>
      <c r="K10" s="1561" t="s">
        <v>2858</v>
      </c>
      <c r="L10" s="319" t="s">
        <v>1375</v>
      </c>
      <c r="M10" s="1275"/>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200">
        <f ca="1">ROUND(J14*J15,0)</f>
        <v>0</v>
      </c>
      <c r="K13" s="1246"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ROUND(IF('数据-取费表'!B22&lt;=1,F21*F24*F23/2,F21*(POWER((1+F24),F23/2)-1)),4)</f>
        <v>5.9999999999999995E-4</v>
      </c>
      <c r="D24" s="335" t="str">
        <f>IF(F23&lt;=1,"销售费用×利率×(建设周期÷2)","销售费用×((1+利率)^(建设周期÷2)-1)")</f>
        <v>销售费用×((1+利率)^(建设周期÷2)-1)</v>
      </c>
      <c r="E24" s="308" t="s">
        <v>1423</v>
      </c>
      <c r="F24" s="337">
        <f>'数据-取费表'!B40</f>
        <v>4.2999999999999997E-2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4"/>
      <c r="G30" s="1568"/>
      <c r="H30" s="2917"/>
      <c r="I30" s="1582"/>
      <c r="J30" s="1583"/>
      <c r="K30" s="2692"/>
      <c r="L30" s="2918"/>
      <c r="M30" s="2919"/>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30" t="s">
        <v>3056</v>
      </c>
      <c r="I31" s="1582"/>
      <c r="J31" s="1583"/>
      <c r="K31" s="2692"/>
      <c r="L31" s="2918"/>
      <c r="M31" s="2919"/>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17"/>
      <c r="I32" s="1582"/>
      <c r="J32" s="1583"/>
      <c r="K32" s="2692"/>
      <c r="L32" s="2918"/>
      <c r="M32" s="291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0"/>
      <c r="I33" s="1582"/>
      <c r="J33" s="1583"/>
      <c r="K33" s="2921"/>
      <c r="L33" s="2920"/>
      <c r="M33" s="2920"/>
    </row>
    <row r="34" spans="1:18" ht="18" customHeight="1">
      <c r="A34" s="1201" t="s">
        <v>1354</v>
      </c>
      <c r="B34" s="160" t="s">
        <v>1406</v>
      </c>
      <c r="C34" s="25">
        <f ca="1">IF(项目基本情况!B11="自然人","——",ROUND(F34*F35,))</f>
        <v>0</v>
      </c>
      <c r="D34" s="330" t="s">
        <v>1407</v>
      </c>
      <c r="E34" s="308" t="s">
        <v>1408</v>
      </c>
      <c r="F34" s="331">
        <f>'数据-取费表'!B52</f>
        <v>1.5</v>
      </c>
      <c r="G34" s="1568"/>
      <c r="H34" s="2917"/>
      <c r="I34" s="1582"/>
      <c r="J34" s="1583"/>
      <c r="K34" s="2922"/>
      <c r="L34" s="2923"/>
      <c r="M34" s="2923"/>
    </row>
    <row r="35" spans="1:18" ht="18" customHeight="1">
      <c r="A35" s="1262"/>
      <c r="B35" s="1260"/>
      <c r="C35" s="29"/>
      <c r="D35" s="333"/>
      <c r="E35" s="308" t="s">
        <v>1412</v>
      </c>
      <c r="F35" s="309">
        <f ca="1">INDIRECT("'数据-取费表'!r"&amp;$G$1)</f>
        <v>0</v>
      </c>
      <c r="G35" s="1568"/>
      <c r="H35" s="2917"/>
      <c r="I35" s="1582"/>
      <c r="J35" s="1583"/>
      <c r="K35" s="2921"/>
      <c r="L35" s="2920"/>
      <c r="M35" s="2920"/>
    </row>
    <row r="36" spans="1:18" ht="18" customHeight="1">
      <c r="A36" s="1261" t="s">
        <v>1007</v>
      </c>
      <c r="B36" s="308" t="s">
        <v>1414</v>
      </c>
      <c r="C36" s="24">
        <f ca="1">ROUND(C29*F36,0)</f>
        <v>0</v>
      </c>
      <c r="D36" s="1528" t="s">
        <v>1447</v>
      </c>
      <c r="E36" s="308" t="s">
        <v>1387</v>
      </c>
      <c r="F36" s="334">
        <f ca="1">INDIRECT("'数据-取费表'!Ak"&amp;$G$1)</f>
        <v>0</v>
      </c>
      <c r="G36" s="1568"/>
      <c r="H36" s="2920"/>
      <c r="I36" s="1582"/>
      <c r="J36" s="1583"/>
      <c r="K36" s="2761"/>
      <c r="L36" s="2920"/>
      <c r="M36" s="2920"/>
    </row>
    <row r="37" spans="1:18" ht="18" customHeight="1">
      <c r="A37" s="1113" t="s">
        <v>1043</v>
      </c>
      <c r="B37" s="308" t="s">
        <v>1418</v>
      </c>
      <c r="C37" s="24">
        <f ca="1">ROUND(C13*F37,0)</f>
        <v>0</v>
      </c>
      <c r="D37" s="1528" t="s">
        <v>1419</v>
      </c>
      <c r="E37" s="308" t="s">
        <v>1420</v>
      </c>
      <c r="F37" s="336">
        <f ca="1">INDIRECT("'数据-取费表'!Al"&amp;$G$1)</f>
        <v>0</v>
      </c>
      <c r="G37" s="1568"/>
      <c r="H37" s="2920"/>
      <c r="I37" s="1582"/>
      <c r="J37" s="1583"/>
      <c r="K37" s="2761"/>
      <c r="L37" s="2920"/>
      <c r="M37" s="2920"/>
    </row>
    <row r="38" spans="1:18" ht="18" customHeight="1" thickBot="1">
      <c r="A38" s="1248" t="s">
        <v>1358</v>
      </c>
      <c r="B38" s="1249" t="s">
        <v>1404</v>
      </c>
      <c r="C38" s="1250">
        <f ca="1">ROUND(C5*F38,1)</f>
        <v>0</v>
      </c>
      <c r="D38" s="1251" t="s">
        <v>1424</v>
      </c>
      <c r="E38" s="1249" t="s">
        <v>1420</v>
      </c>
      <c r="F38" s="1245">
        <f ca="1">INDIRECT("'数据-取费表'!Am"&amp;$G$1)</f>
        <v>0</v>
      </c>
      <c r="G38" s="1568"/>
      <c r="H38" s="2920"/>
      <c r="I38" s="1582"/>
      <c r="J38" s="1583"/>
      <c r="K38" s="2924"/>
      <c r="L38" s="2920"/>
      <c r="M38" s="2920"/>
    </row>
    <row r="39" spans="1:18" ht="24.6" customHeight="1" thickTop="1">
      <c r="A39" s="1238" t="s">
        <v>999</v>
      </c>
      <c r="B39" s="1253" t="s">
        <v>1448</v>
      </c>
      <c r="C39" s="316">
        <f ca="1">C5-C30</f>
        <v>0</v>
      </c>
      <c r="D39" s="1254" t="s">
        <v>1449</v>
      </c>
      <c r="E39" s="1255"/>
      <c r="F39" s="1256"/>
      <c r="G39" s="1568"/>
      <c r="H39" s="2920"/>
      <c r="I39" s="1582"/>
      <c r="J39" s="1583"/>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4"/>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61"/>
      <c r="L41" s="1352"/>
      <c r="M41" s="1352"/>
    </row>
    <row r="42" spans="1:18" ht="18" customHeight="1">
      <c r="A42" s="314"/>
      <c r="B42" s="315"/>
      <c r="C42" s="316"/>
      <c r="D42" s="333"/>
      <c r="E42" s="308" t="s">
        <v>1442</v>
      </c>
      <c r="F42" s="318">
        <f ca="1">INDIRECT("'数据-取费表'!v"&amp;$G$1)</f>
        <v>0</v>
      </c>
      <c r="G42" s="1568"/>
      <c r="H42" s="1352"/>
      <c r="I42" s="1582"/>
      <c r="J42" s="1583"/>
      <c r="K42" s="276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8"/>
      <c r="H43" s="1352"/>
      <c r="I43" s="1352"/>
      <c r="J43" s="1352"/>
      <c r="K43" s="2761"/>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6" t="s">
        <v>1366</v>
      </c>
      <c r="C48" s="1543">
        <f ca="1">C49+C53+C55</f>
        <v>0</v>
      </c>
      <c r="D48" s="1271"/>
      <c r="E48" s="1272"/>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3">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0" t="s">
        <v>1105</v>
      </c>
      <c r="B53" s="329" t="s">
        <v>1374</v>
      </c>
      <c r="C53" s="322">
        <f ca="1">ROUND(IF(F53="押一",C49/12*F11,IF(F53="押二",C49/12*2*F11,IF(F53="押三",C49/12*3*F11,C54*F11))),0)</f>
        <v>0</v>
      </c>
      <c r="D53" s="1550" t="s">
        <v>2859</v>
      </c>
      <c r="E53" s="319" t="s">
        <v>1375</v>
      </c>
      <c r="F53" s="1275"/>
      <c r="I53" s="1623" t="s">
        <v>1512</v>
      </c>
      <c r="J53" s="2386">
        <f ca="1">IF(M47="住宅",IF(D1="——",MAX(J51,L48),MAX(J51,L48-'数据-取费表'!B24)),IF(D1="——",MIN(J51,L48),MIN(J51,L48-'数据-取费表'!B24)))</f>
        <v>0</v>
      </c>
      <c r="K53" s="3358" t="s">
        <v>1513</v>
      </c>
      <c r="L53" s="3359"/>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估价对象为北京市房地产，为所有。根据《国有土地使用证》[]，估价对象（分摊）出让国有建设用地使用权面积为236852.67平方米，建筑面积为114107.98平方米。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估价对象为北京市房地产,属开发建设的，该项目尚在开发建设中。根据《国有土地使用证》[]，估价对象（分摊）出让国有建设用地使用权面积为236852.67平方米，规划建筑面积为114107.98平方米。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2022年1月19日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27"/>
      <c r="G1" s="1674"/>
      <c r="H1" s="1674"/>
      <c r="I1" s="1674"/>
      <c r="J1" s="1674"/>
      <c r="K1" s="1674"/>
      <c r="L1" s="1674"/>
      <c r="M1" s="1674"/>
      <c r="N1" s="1674"/>
      <c r="O1" s="1674"/>
      <c r="P1" s="1674"/>
      <c r="Q1" s="1674"/>
      <c r="R1" s="1674"/>
      <c r="S1" s="1674"/>
    </row>
    <row r="2" spans="1:22" ht="15.75">
      <c r="A2" s="2056" t="s">
        <v>2148</v>
      </c>
      <c r="B2" s="2057">
        <f ca="1">SUMIF(B6:B13,"&lt;&gt;#ref!",B6:B13)</f>
        <v>298414</v>
      </c>
      <c r="C2" s="2058" t="s">
        <v>2340</v>
      </c>
      <c r="D2" s="2059" t="s">
        <v>2341</v>
      </c>
      <c r="E2" s="2824">
        <f>SUM(E6:E13)</f>
        <v>114107.98000000001</v>
      </c>
      <c r="F2" s="2927"/>
      <c r="G2" s="1674"/>
      <c r="H2" s="1674"/>
      <c r="I2" s="1674"/>
      <c r="J2" s="1674"/>
      <c r="K2" s="1674"/>
      <c r="L2" s="1674"/>
      <c r="M2" s="1674"/>
      <c r="N2" s="1674"/>
      <c r="O2" s="1674"/>
      <c r="P2" s="1674"/>
      <c r="Q2" s="1674"/>
      <c r="R2" s="1674"/>
      <c r="S2" s="1674"/>
    </row>
    <row r="3" spans="1:22" ht="15.75">
      <c r="A3" s="2056" t="s">
        <v>1360</v>
      </c>
      <c r="B3" s="2818">
        <f ca="1">ROUND(B2*10000/E2,0)</f>
        <v>26152</v>
      </c>
      <c r="C3" s="2058" t="s">
        <v>2348</v>
      </c>
      <c r="D3" s="2929"/>
      <c r="E3" s="2931"/>
      <c r="F3" s="2927"/>
      <c r="G3" s="1674"/>
      <c r="H3" s="1674"/>
      <c r="I3" s="1674"/>
      <c r="J3" s="1674"/>
      <c r="K3" s="1674"/>
      <c r="L3" s="1674"/>
      <c r="M3" s="1674"/>
      <c r="N3" s="1674"/>
      <c r="O3" s="1674"/>
      <c r="P3" s="1674"/>
      <c r="Q3" s="1674"/>
      <c r="R3" s="1674"/>
      <c r="S3" s="1674"/>
    </row>
    <row r="4" spans="1:22" ht="15.75">
      <c r="A4" s="2932"/>
      <c r="B4" s="2929"/>
      <c r="C4" s="2929"/>
      <c r="D4" s="2929"/>
      <c r="E4" s="2931"/>
      <c r="F4" s="2927"/>
      <c r="G4" s="1674"/>
      <c r="H4" s="1674"/>
      <c r="I4" s="1674"/>
      <c r="J4" s="1674"/>
      <c r="K4" s="1674"/>
      <c r="L4" s="1674"/>
      <c r="M4" s="1674"/>
      <c r="N4" s="1674"/>
      <c r="O4" s="1674"/>
      <c r="P4" s="1674"/>
      <c r="Q4" s="1674"/>
      <c r="R4" s="1674"/>
      <c r="S4" s="1674"/>
    </row>
    <row r="5" spans="1:22" ht="15">
      <c r="A5" s="2820" t="s">
        <v>2342</v>
      </c>
      <c r="B5" s="3363" t="s">
        <v>2343</v>
      </c>
      <c r="C5" s="3364"/>
      <c r="D5" s="2928"/>
      <c r="E5" s="2060" t="s">
        <v>2344</v>
      </c>
      <c r="F5" s="2061" t="s">
        <v>2345</v>
      </c>
      <c r="G5" s="1674"/>
      <c r="H5" s="1674"/>
      <c r="I5" s="1674"/>
      <c r="J5" s="1674"/>
      <c r="K5" s="1674"/>
      <c r="L5" s="1674"/>
      <c r="M5" s="1674"/>
      <c r="N5" s="1674"/>
      <c r="O5" s="1674"/>
      <c r="P5" s="1674"/>
      <c r="Q5" s="1674"/>
      <c r="R5" s="1674"/>
      <c r="S5" s="1674"/>
    </row>
    <row r="6" spans="1:22">
      <c r="A6" s="2821" t="str">
        <f>'数据-取费表'!AN6</f>
        <v>收益法</v>
      </c>
      <c r="B6" s="2819">
        <f ca="1">IF(F6="是",'数据-取费表'!AO6,0)</f>
        <v>298414</v>
      </c>
      <c r="C6" s="2058" t="s">
        <v>2340</v>
      </c>
      <c r="D6" s="2929"/>
      <c r="E6" s="2823">
        <f>IF(OR(A6=0,F6="否"),0,'数据-取费表'!K6+'数据-取费表'!S6)</f>
        <v>114107.98000000001</v>
      </c>
      <c r="F6" s="2062" t="s">
        <v>2346</v>
      </c>
      <c r="G6" s="1674"/>
      <c r="H6" s="1674"/>
      <c r="I6" s="1674"/>
      <c r="J6" s="1674"/>
      <c r="K6" s="1674"/>
      <c r="L6" s="1674"/>
      <c r="M6" s="1674"/>
      <c r="N6" s="1674"/>
      <c r="O6" s="1674"/>
      <c r="P6" s="1674"/>
      <c r="Q6" s="1674"/>
      <c r="R6" s="1674"/>
      <c r="S6" s="1674"/>
    </row>
    <row r="7" spans="1:22">
      <c r="A7" s="2821">
        <f>'数据-取费表'!AN7</f>
        <v>0</v>
      </c>
      <c r="B7" s="2819" t="e">
        <f ca="1">IF(F7="是",'数据-取费表'!AO7,0)</f>
        <v>#REF!</v>
      </c>
      <c r="C7" s="2058" t="s">
        <v>2340</v>
      </c>
      <c r="D7" s="2929"/>
      <c r="E7" s="2823">
        <f>IF(OR(A7=0,F7="否"),0,'数据-取费表'!K7+'数据-取费表'!S7)</f>
        <v>0</v>
      </c>
      <c r="F7" s="2062" t="s">
        <v>2346</v>
      </c>
      <c r="G7" s="1674"/>
      <c r="H7" s="1674"/>
      <c r="I7" s="1674"/>
      <c r="J7" s="1674"/>
      <c r="K7" s="1674"/>
      <c r="L7" s="1674"/>
      <c r="M7" s="1674"/>
      <c r="N7" s="1674"/>
      <c r="O7" s="1674"/>
      <c r="P7" s="1674"/>
      <c r="Q7" s="1674"/>
      <c r="R7" s="1674"/>
      <c r="S7" s="1674"/>
    </row>
    <row r="8" spans="1:22">
      <c r="A8" s="2821">
        <f>'数据-取费表'!AN8</f>
        <v>0</v>
      </c>
      <c r="B8" s="2819" t="e">
        <f ca="1">IF(F8="是",'数据-取费表'!AO8,0)</f>
        <v>#REF!</v>
      </c>
      <c r="C8" s="2058" t="s">
        <v>2340</v>
      </c>
      <c r="D8" s="2929"/>
      <c r="E8" s="2823">
        <f>IF(OR(A8=0,F8="否"),0,'数据-取费表'!K8+'数据-取费表'!S8)</f>
        <v>0</v>
      </c>
      <c r="F8" s="2062" t="s">
        <v>2346</v>
      </c>
      <c r="G8" s="1674"/>
      <c r="H8" s="1674"/>
      <c r="I8" s="1674"/>
      <c r="J8" s="1674"/>
      <c r="K8" s="1674"/>
      <c r="L8" s="1674"/>
      <c r="M8" s="1674"/>
      <c r="N8" s="1674"/>
      <c r="O8" s="1674"/>
      <c r="P8" s="1674"/>
      <c r="Q8" s="1674"/>
      <c r="R8" s="1674"/>
      <c r="S8" s="1674"/>
    </row>
    <row r="9" spans="1:22">
      <c r="A9" s="2821">
        <f>'数据-取费表'!AN9</f>
        <v>0</v>
      </c>
      <c r="B9" s="2819" t="e">
        <f ca="1">IF(F9="是",'数据-取费表'!AO9,0)</f>
        <v>#REF!</v>
      </c>
      <c r="C9" s="2058" t="s">
        <v>2340</v>
      </c>
      <c r="D9" s="2929"/>
      <c r="E9" s="2823">
        <f>IF(OR(A9=0,F9="否"),0,'数据-取费表'!K9+'数据-取费表'!S9)</f>
        <v>0</v>
      </c>
      <c r="F9" s="2062" t="s">
        <v>2346</v>
      </c>
      <c r="G9" s="1674"/>
      <c r="H9" s="1674"/>
      <c r="I9" s="1674"/>
      <c r="J9" s="1674"/>
      <c r="K9" s="1674"/>
      <c r="L9" s="1674"/>
      <c r="M9" s="1674"/>
      <c r="N9" s="1674"/>
      <c r="O9" s="1674"/>
      <c r="P9" s="1674"/>
      <c r="Q9" s="1674"/>
      <c r="R9" s="1674"/>
      <c r="S9" s="1674"/>
    </row>
    <row r="10" spans="1:22">
      <c r="A10" s="2821">
        <f>'数据-取费表'!AN10</f>
        <v>0</v>
      </c>
      <c r="B10" s="2819" t="e">
        <f ca="1">IF(F10="是",'数据-取费表'!AO10,0)</f>
        <v>#REF!</v>
      </c>
      <c r="C10" s="2058" t="s">
        <v>2340</v>
      </c>
      <c r="D10" s="2929"/>
      <c r="E10" s="2823">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1">
        <f>'数据-取费表'!AN11</f>
        <v>0</v>
      </c>
      <c r="B11" s="2819" t="e">
        <f ca="1">IF(F11="是",'数据-取费表'!AO11,0)</f>
        <v>#REF!</v>
      </c>
      <c r="C11" s="2058" t="s">
        <v>2340</v>
      </c>
      <c r="D11" s="2929"/>
      <c r="E11" s="2823">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1">
        <f>'数据-取费表'!AN12</f>
        <v>0</v>
      </c>
      <c r="B12" s="2819" t="e">
        <f ca="1">IF(F12="是",'数据-取费表'!AO12,0)</f>
        <v>#REF!</v>
      </c>
      <c r="C12" s="2058" t="s">
        <v>2340</v>
      </c>
      <c r="D12" s="2929"/>
      <c r="E12" s="2823">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2">
        <f>'数据-取费表'!AN13</f>
        <v>0</v>
      </c>
      <c r="B13" s="2819" t="e">
        <f ca="1">IF(F13="是",'数据-取费表'!AO13,0)</f>
        <v>#REF!</v>
      </c>
      <c r="C13" s="2063" t="s">
        <v>2340</v>
      </c>
      <c r="D13" s="2930"/>
      <c r="E13" s="2823">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5" t="s">
        <v>1044</v>
      </c>
      <c r="B1" s="3366"/>
      <c r="C1" s="3367"/>
      <c r="D1" s="3368">
        <f>SUM(I10,I15,I20,I21,I23)</f>
        <v>0</v>
      </c>
      <c r="E1" s="3368"/>
      <c r="F1" s="3368"/>
      <c r="G1" s="3368"/>
      <c r="H1" s="3368"/>
      <c r="I1" s="3369"/>
    </row>
    <row r="2" spans="1:9">
      <c r="A2" s="3370" t="s">
        <v>1045</v>
      </c>
      <c r="B2" s="3371" t="s">
        <v>1046</v>
      </c>
      <c r="C2" s="3371"/>
      <c r="D2" s="1210" t="s">
        <v>1047</v>
      </c>
      <c r="E2" s="1210" t="s">
        <v>1048</v>
      </c>
      <c r="F2" s="1210" t="s">
        <v>1049</v>
      </c>
      <c r="G2" s="1210" t="s">
        <v>1050</v>
      </c>
      <c r="H2" s="1210" t="s">
        <v>1051</v>
      </c>
      <c r="I2" s="1211" t="s">
        <v>1052</v>
      </c>
    </row>
    <row r="3" spans="1:9">
      <c r="A3" s="3370"/>
      <c r="B3" s="3371" t="s">
        <v>1053</v>
      </c>
      <c r="C3" s="3371"/>
      <c r="D3" s="1212"/>
      <c r="E3" s="1210"/>
      <c r="F3" s="1213"/>
      <c r="G3" s="1213"/>
      <c r="H3" s="1214"/>
      <c r="I3" s="1215">
        <f>ROUND(D3*E3*F3*G3*H3/10000,0)</f>
        <v>0</v>
      </c>
    </row>
    <row r="4" spans="1:9">
      <c r="A4" s="3370"/>
      <c r="B4" s="3371" t="s">
        <v>1054</v>
      </c>
      <c r="C4" s="3371"/>
      <c r="D4" s="1212"/>
      <c r="E4" s="1210"/>
      <c r="F4" s="1213"/>
      <c r="G4" s="1213"/>
      <c r="H4" s="1214"/>
      <c r="I4" s="1215">
        <f t="shared" ref="I4:I9" si="0">ROUND(D4*E4*F4*G4*H4/10000,0)</f>
        <v>0</v>
      </c>
    </row>
    <row r="5" spans="1:9">
      <c r="A5" s="3370"/>
      <c r="B5" s="3371" t="s">
        <v>1055</v>
      </c>
      <c r="C5" s="3371"/>
      <c r="D5" s="1212"/>
      <c r="E5" s="1210"/>
      <c r="F5" s="1213"/>
      <c r="G5" s="1213"/>
      <c r="H5" s="1214"/>
      <c r="I5" s="1215">
        <f t="shared" si="0"/>
        <v>0</v>
      </c>
    </row>
    <row r="6" spans="1:9">
      <c r="A6" s="3370"/>
      <c r="B6" s="3371" t="s">
        <v>1056</v>
      </c>
      <c r="C6" s="3371"/>
      <c r="D6" s="1212"/>
      <c r="E6" s="1210"/>
      <c r="F6" s="1213"/>
      <c r="G6" s="1213"/>
      <c r="H6" s="1214"/>
      <c r="I6" s="1215">
        <f t="shared" si="0"/>
        <v>0</v>
      </c>
    </row>
    <row r="7" spans="1:9">
      <c r="A7" s="3370"/>
      <c r="B7" s="3371" t="s">
        <v>1057</v>
      </c>
      <c r="C7" s="3371"/>
      <c r="D7" s="1212"/>
      <c r="E7" s="1210"/>
      <c r="F7" s="1213"/>
      <c r="G7" s="1213"/>
      <c r="H7" s="1214"/>
      <c r="I7" s="1215">
        <f t="shared" si="0"/>
        <v>0</v>
      </c>
    </row>
    <row r="8" spans="1:9">
      <c r="A8" s="3370"/>
      <c r="B8" s="3371" t="s">
        <v>1058</v>
      </c>
      <c r="C8" s="3371"/>
      <c r="D8" s="1212"/>
      <c r="E8" s="1210"/>
      <c r="F8" s="1213"/>
      <c r="G8" s="1213"/>
      <c r="H8" s="1214"/>
      <c r="I8" s="1215">
        <f t="shared" si="0"/>
        <v>0</v>
      </c>
    </row>
    <row r="9" spans="1:9">
      <c r="A9" s="3370"/>
      <c r="B9" s="3371" t="s">
        <v>1059</v>
      </c>
      <c r="C9" s="3371"/>
      <c r="D9" s="1212"/>
      <c r="E9" s="1210"/>
      <c r="F9" s="1213"/>
      <c r="G9" s="1213"/>
      <c r="H9" s="1214"/>
      <c r="I9" s="1215">
        <f t="shared" si="0"/>
        <v>0</v>
      </c>
    </row>
    <row r="10" spans="1:9">
      <c r="A10" s="3370"/>
      <c r="B10" s="3372" t="s">
        <v>1060</v>
      </c>
      <c r="C10" s="3372"/>
      <c r="D10" s="1216"/>
      <c r="E10" s="1216" t="e">
        <f>ROUND(D1*10000/D10/H9,0)</f>
        <v>#DIV/0!</v>
      </c>
      <c r="F10" s="1217"/>
      <c r="G10" s="1217"/>
      <c r="H10" s="1218"/>
      <c r="I10" s="1219">
        <f>SUM(I3:I9)</f>
        <v>0</v>
      </c>
    </row>
    <row r="11" spans="1:9" ht="14.25">
      <c r="A11" s="3370" t="s">
        <v>1061</v>
      </c>
      <c r="B11" s="3371" t="s">
        <v>1062</v>
      </c>
      <c r="C11" s="3371"/>
      <c r="D11" s="1212" t="s">
        <v>1063</v>
      </c>
      <c r="E11" s="1212" t="s">
        <v>1064</v>
      </c>
      <c r="F11" s="1213" t="s">
        <v>1065</v>
      </c>
      <c r="G11" s="1213" t="s">
        <v>1051</v>
      </c>
      <c r="H11" s="1220" t="s">
        <v>1066</v>
      </c>
      <c r="I11" s="1211" t="s">
        <v>1052</v>
      </c>
    </row>
    <row r="12" spans="1:9">
      <c r="A12" s="3370"/>
      <c r="B12" s="3371" t="s">
        <v>1067</v>
      </c>
      <c r="C12" s="3371"/>
      <c r="D12" s="1212"/>
      <c r="E12" s="1212"/>
      <c r="F12" s="1213"/>
      <c r="G12" s="1214"/>
      <c r="H12" s="1221"/>
      <c r="I12" s="1211">
        <f>ROUND(D12*E12*F12*G12/10000,0)</f>
        <v>0</v>
      </c>
    </row>
    <row r="13" spans="1:9">
      <c r="A13" s="3370"/>
      <c r="B13" s="3371" t="s">
        <v>1068</v>
      </c>
      <c r="C13" s="3371"/>
      <c r="D13" s="1212"/>
      <c r="E13" s="1212"/>
      <c r="F13" s="1213"/>
      <c r="G13" s="1214"/>
      <c r="H13" s="1221"/>
      <c r="I13" s="1211">
        <f>ROUND(D13*E13*F13*G13/10000,0)</f>
        <v>0</v>
      </c>
    </row>
    <row r="14" spans="1:9">
      <c r="A14" s="3370"/>
      <c r="B14" s="3371" t="s">
        <v>1069</v>
      </c>
      <c r="C14" s="3371"/>
      <c r="D14" s="1212"/>
      <c r="E14" s="1212"/>
      <c r="F14" s="1213"/>
      <c r="G14" s="1214"/>
      <c r="H14" s="1221"/>
      <c r="I14" s="1211">
        <f>ROUND(D14*E14*F14*G14/10000,0)</f>
        <v>0</v>
      </c>
    </row>
    <row r="15" spans="1:9">
      <c r="A15" s="3370"/>
      <c r="B15" s="3372" t="s">
        <v>1060</v>
      </c>
      <c r="C15" s="3372"/>
      <c r="D15" s="1216"/>
      <c r="E15" s="1216">
        <f>SUM(E12:E14)</f>
        <v>0</v>
      </c>
      <c r="F15" s="1217"/>
      <c r="G15" s="1214"/>
      <c r="H15" s="1221"/>
      <c r="I15" s="1222">
        <f>SUM(I12:I14)</f>
        <v>0</v>
      </c>
    </row>
    <row r="16" spans="1:9" ht="24">
      <c r="A16" s="3370" t="s">
        <v>1070</v>
      </c>
      <c r="B16" s="3371" t="s">
        <v>1071</v>
      </c>
      <c r="C16" s="3371"/>
      <c r="D16" s="1212" t="s">
        <v>1047</v>
      </c>
      <c r="E16" s="1223" t="s">
        <v>1072</v>
      </c>
      <c r="F16" s="1213" t="s">
        <v>1073</v>
      </c>
      <c r="G16" s="1214" t="s">
        <v>1051</v>
      </c>
      <c r="H16" s="1220" t="s">
        <v>1066</v>
      </c>
      <c r="I16" s="1211" t="s">
        <v>1052</v>
      </c>
    </row>
    <row r="17" spans="1:9" ht="14.25">
      <c r="A17" s="3370"/>
      <c r="B17" s="3371" t="s">
        <v>1074</v>
      </c>
      <c r="C17" s="3371"/>
      <c r="D17" s="1212"/>
      <c r="E17" s="1212"/>
      <c r="F17" s="1213"/>
      <c r="G17" s="1214"/>
      <c r="H17" s="1224"/>
      <c r="I17" s="1225">
        <f>ROUND(D17*E17*F17*G17/10000,0)</f>
        <v>0</v>
      </c>
    </row>
    <row r="18" spans="1:9" ht="14.25">
      <c r="A18" s="3370"/>
      <c r="B18" s="3371" t="s">
        <v>1075</v>
      </c>
      <c r="C18" s="3371"/>
      <c r="D18" s="1212"/>
      <c r="E18" s="1212"/>
      <c r="F18" s="1213"/>
      <c r="G18" s="1214"/>
      <c r="H18" s="1224"/>
      <c r="I18" s="1225">
        <f>ROUND(D18*E18*F18*G18/10000,0)</f>
        <v>0</v>
      </c>
    </row>
    <row r="19" spans="1:9" ht="14.25">
      <c r="A19" s="3370"/>
      <c r="B19" s="3371" t="s">
        <v>1076</v>
      </c>
      <c r="C19" s="3371"/>
      <c r="D19" s="1212"/>
      <c r="E19" s="1212"/>
      <c r="F19" s="1213"/>
      <c r="G19" s="1214"/>
      <c r="H19" s="1224"/>
      <c r="I19" s="1225">
        <f>ROUND(D19*E19*F19*G19/10000,0)</f>
        <v>0</v>
      </c>
    </row>
    <row r="20" spans="1:9">
      <c r="A20" s="3370"/>
      <c r="B20" s="3372" t="s">
        <v>1060</v>
      </c>
      <c r="C20" s="3372"/>
      <c r="D20" s="1216">
        <f>SUM(D17:D19)</f>
        <v>0</v>
      </c>
      <c r="E20" s="1216"/>
      <c r="F20" s="1217"/>
      <c r="G20" s="1214"/>
      <c r="H20" s="1221"/>
      <c r="I20" s="1222">
        <f>SUM(I17:I19)</f>
        <v>0</v>
      </c>
    </row>
    <row r="21" spans="1:9">
      <c r="A21" s="3370" t="s">
        <v>1077</v>
      </c>
      <c r="B21" s="3374"/>
      <c r="C21" s="3374"/>
      <c r="D21" s="3374"/>
      <c r="E21" s="3374"/>
      <c r="F21" s="3374"/>
      <c r="G21" s="3374"/>
      <c r="H21" s="1502">
        <v>0.1</v>
      </c>
      <c r="I21" s="1219">
        <f>ROUND(I10*H21,0)</f>
        <v>0</v>
      </c>
    </row>
    <row r="22" spans="1:9" ht="14.25">
      <c r="A22" s="3375" t="s">
        <v>1078</v>
      </c>
      <c r="B22" s="3376"/>
      <c r="C22" s="3377"/>
      <c r="D22" s="1226" t="s">
        <v>1079</v>
      </c>
      <c r="E22" s="1226" t="s">
        <v>1080</v>
      </c>
      <c r="F22" s="1227" t="s">
        <v>1081</v>
      </c>
      <c r="G22" s="1227" t="s">
        <v>1082</v>
      </c>
      <c r="H22" s="1220" t="s">
        <v>1083</v>
      </c>
      <c r="I22" s="1211" t="s">
        <v>1084</v>
      </c>
    </row>
    <row r="23" spans="1:9" ht="14.25" thickBot="1">
      <c r="A23" s="3378"/>
      <c r="B23" s="3379"/>
      <c r="C23" s="3380"/>
      <c r="D23" s="1228"/>
      <c r="E23" s="1228"/>
      <c r="F23" s="1228"/>
      <c r="G23" s="1229"/>
      <c r="H23" s="1230"/>
      <c r="I23" s="1231">
        <f>ROUND(E23*D23*F23*(1-G23)/10000,0)</f>
        <v>0</v>
      </c>
    </row>
    <row r="26" spans="1:9">
      <c r="A26" s="1232" t="s">
        <v>1085</v>
      </c>
      <c r="B26" s="1232"/>
      <c r="C26" s="1232"/>
      <c r="D26" s="1232"/>
      <c r="E26" s="3381">
        <f>C27-C30-C31-C32</f>
        <v>0</v>
      </c>
      <c r="F26" s="3381"/>
      <c r="G26" s="3381"/>
      <c r="H26" s="1499" t="s">
        <v>1306</v>
      </c>
    </row>
    <row r="27" spans="1:9">
      <c r="A27" s="1233">
        <v>1</v>
      </c>
      <c r="B27" s="1234" t="s">
        <v>1086</v>
      </c>
      <c r="C27" s="1234">
        <f>C28+C29</f>
        <v>0</v>
      </c>
      <c r="D27" s="1234"/>
      <c r="E27" s="3382"/>
      <c r="F27" s="3382"/>
      <c r="G27" s="3382"/>
    </row>
    <row r="28" spans="1:9">
      <c r="A28" s="1235" t="s">
        <v>1087</v>
      </c>
      <c r="B28" s="1234" t="s">
        <v>1088</v>
      </c>
      <c r="C28" s="1234"/>
      <c r="D28" s="1234"/>
      <c r="E28" s="3382"/>
      <c r="F28" s="3382"/>
      <c r="G28" s="3382"/>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73"/>
      <c r="F32" s="3373"/>
      <c r="G32" s="3373"/>
    </row>
    <row r="33" spans="1:7" hidden="1">
      <c r="A33" s="3383" t="s">
        <v>1097</v>
      </c>
      <c r="B33" s="3384"/>
      <c r="C33" s="3384"/>
      <c r="D33" s="3385"/>
      <c r="E33" s="3381"/>
      <c r="F33" s="3381"/>
      <c r="G33" s="3381"/>
    </row>
    <row r="34" spans="1:7" hidden="1">
      <c r="A34" s="1237">
        <v>1</v>
      </c>
      <c r="B34" s="1234" t="s">
        <v>1098</v>
      </c>
      <c r="C34" s="1234"/>
      <c r="D34" s="1234"/>
      <c r="E34" s="3382"/>
      <c r="F34" s="3382"/>
      <c r="G34" s="3382"/>
    </row>
    <row r="35" spans="1:7" hidden="1">
      <c r="A35" s="1237">
        <v>2</v>
      </c>
      <c r="B35" s="1234" t="s">
        <v>1099</v>
      </c>
      <c r="C35" s="1234"/>
      <c r="D35" s="1234"/>
      <c r="E35" s="3382"/>
      <c r="F35" s="3382"/>
      <c r="G35" s="3382"/>
    </row>
    <row r="36" spans="1:7" hidden="1">
      <c r="A36" s="1237">
        <v>3</v>
      </c>
      <c r="B36" s="1234" t="s">
        <v>1100</v>
      </c>
      <c r="C36" s="1234"/>
      <c r="D36" s="1234"/>
      <c r="E36" s="3382"/>
      <c r="F36" s="3382"/>
      <c r="G36" s="3382"/>
    </row>
    <row r="37" spans="1:7" hidden="1">
      <c r="A37" s="1237">
        <v>4</v>
      </c>
      <c r="B37" s="1234" t="s">
        <v>1101</v>
      </c>
      <c r="C37" s="1234"/>
      <c r="D37" s="1234"/>
      <c r="E37" s="3382"/>
      <c r="F37" s="3382"/>
      <c r="G37" s="3382"/>
    </row>
    <row r="38" spans="1:7" hidden="1">
      <c r="A38" s="3383" t="s">
        <v>1102</v>
      </c>
      <c r="B38" s="3384"/>
      <c r="C38" s="3384"/>
      <c r="D38" s="3385"/>
      <c r="E38" s="3381"/>
      <c r="F38" s="3381"/>
      <c r="G38" s="33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2350</v>
      </c>
      <c r="C1" s="1405" t="s">
        <v>2351</v>
      </c>
      <c r="D1" s="1392"/>
      <c r="E1" s="2535"/>
      <c r="F1" s="2065" t="s">
        <v>2352</v>
      </c>
      <c r="G1" s="1402" t="s">
        <v>2353</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7"/>
      <c r="D2" s="1274" t="e">
        <f ca="1">SUMIF(INDIRECT("'"&amp;F2&amp;"'"&amp;"!A:A"),"承租人权益价值",INDIRECT("'"&amp;F2&amp;"'"&amp;"!c:c"))</f>
        <v>#REF!</v>
      </c>
      <c r="E2" s="2068" t="s">
        <v>2354</v>
      </c>
      <c r="F2" s="2069"/>
      <c r="G2" s="1038"/>
      <c r="H2" s="1038"/>
      <c r="I2" s="1038"/>
      <c r="J2" s="1038"/>
      <c r="K2" s="2070"/>
      <c r="L2" s="2933"/>
      <c r="M2" s="2934"/>
      <c r="N2" s="2934"/>
      <c r="O2" s="2934"/>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114107.98000000001</v>
      </c>
      <c r="E3" s="1038"/>
      <c r="F3" s="2074"/>
      <c r="G3" s="1038"/>
      <c r="H3" s="1038"/>
      <c r="I3" s="1038"/>
      <c r="J3" s="1038"/>
      <c r="K3" s="2070"/>
      <c r="L3" s="2933"/>
      <c r="M3" s="2934"/>
      <c r="N3" s="2934"/>
      <c r="O3" s="2934"/>
      <c r="P3" s="2071"/>
      <c r="Q3" s="2072"/>
      <c r="R3" s="2072"/>
      <c r="S3" s="2072"/>
      <c r="T3" s="2072"/>
      <c r="U3" s="2072"/>
      <c r="V3" s="2072"/>
      <c r="W3" s="2072"/>
      <c r="X3" s="2072"/>
      <c r="Y3" s="2072"/>
      <c r="Z3" s="2072"/>
      <c r="AA3" s="2072"/>
      <c r="AB3" s="2072"/>
      <c r="AC3" s="1192"/>
    </row>
    <row r="4" spans="1:29" ht="15">
      <c r="A4" s="361" t="s">
        <v>2356</v>
      </c>
      <c r="B4" s="362"/>
      <c r="C4" s="3303" t="s">
        <v>2357</v>
      </c>
      <c r="D4" s="3304"/>
      <c r="E4" s="3305" t="s">
        <v>2358</v>
      </c>
      <c r="F4" s="3306"/>
      <c r="G4" s="3303" t="s">
        <v>2359</v>
      </c>
      <c r="H4" s="3304"/>
      <c r="I4" s="3303" t="s">
        <v>2360</v>
      </c>
      <c r="J4" s="3304"/>
      <c r="K4" s="2075" t="s">
        <v>2361</v>
      </c>
      <c r="L4" s="2935"/>
      <c r="M4" s="2936"/>
      <c r="N4" s="2936"/>
      <c r="O4" s="2936"/>
      <c r="P4" s="3307" t="s">
        <v>2362</v>
      </c>
      <c r="Q4" s="3308"/>
      <c r="R4" s="3290" t="s">
        <v>2358</v>
      </c>
      <c r="S4" s="3291"/>
      <c r="T4" s="3290" t="s">
        <v>2359</v>
      </c>
      <c r="U4" s="3291"/>
      <c r="V4" s="3315" t="s">
        <v>2360</v>
      </c>
      <c r="W4" s="3315"/>
      <c r="X4" s="1539"/>
      <c r="Y4" s="3290" t="s">
        <v>2362</v>
      </c>
      <c r="Z4" s="3291"/>
      <c r="AA4" s="3285" t="s">
        <v>2358</v>
      </c>
      <c r="AB4" s="3285" t="s">
        <v>2359</v>
      </c>
      <c r="AC4" s="3285" t="s">
        <v>2360</v>
      </c>
    </row>
    <row r="5" spans="1:29" ht="15">
      <c r="A5" s="364"/>
      <c r="B5" s="365"/>
      <c r="C5" s="3296" t="s">
        <v>2363</v>
      </c>
      <c r="D5" s="3297"/>
      <c r="E5" s="3294" t="s">
        <v>2364</v>
      </c>
      <c r="F5" s="3295"/>
      <c r="G5" s="3296" t="s">
        <v>2365</v>
      </c>
      <c r="H5" s="3297"/>
      <c r="I5" s="3296" t="s">
        <v>2366</v>
      </c>
      <c r="J5" s="3297"/>
      <c r="K5" s="2076"/>
      <c r="L5" s="2935"/>
      <c r="M5" s="2936"/>
      <c r="N5" s="2936"/>
      <c r="O5" s="2936"/>
      <c r="P5" s="3309"/>
      <c r="Q5" s="3310"/>
      <c r="R5" s="3292"/>
      <c r="S5" s="3293"/>
      <c r="T5" s="3292"/>
      <c r="U5" s="3293"/>
      <c r="V5" s="3315"/>
      <c r="W5" s="3315"/>
      <c r="X5" s="1539"/>
      <c r="Y5" s="3292"/>
      <c r="Z5" s="3293"/>
      <c r="AA5" s="3286"/>
      <c r="AB5" s="3286"/>
      <c r="AC5" s="3286"/>
    </row>
    <row r="6" spans="1:29" ht="15.75" thickBot="1">
      <c r="A6" s="366"/>
      <c r="B6" s="367"/>
      <c r="C6" s="3298" t="s">
        <v>2367</v>
      </c>
      <c r="D6" s="3299"/>
      <c r="E6" s="3300" t="s">
        <v>2367</v>
      </c>
      <c r="F6" s="3301"/>
      <c r="G6" s="3298" t="s">
        <v>2367</v>
      </c>
      <c r="H6" s="3299"/>
      <c r="I6" s="3298" t="s">
        <v>2367</v>
      </c>
      <c r="J6" s="3299"/>
      <c r="K6" s="2076" t="s">
        <v>2368</v>
      </c>
      <c r="L6" s="2935"/>
      <c r="M6" s="2936"/>
      <c r="N6" s="2936"/>
      <c r="O6" s="2936"/>
      <c r="P6" s="3311"/>
      <c r="Q6" s="3312"/>
      <c r="R6" s="3292"/>
      <c r="S6" s="3293"/>
      <c r="T6" s="3313"/>
      <c r="U6" s="3314"/>
      <c r="V6" s="3315"/>
      <c r="W6" s="3315"/>
      <c r="X6" s="1539"/>
      <c r="Y6" s="3313"/>
      <c r="Z6" s="3314"/>
      <c r="AA6" s="3287"/>
      <c r="AB6" s="3287"/>
      <c r="AC6" s="3287"/>
    </row>
    <row r="7" spans="1:29" s="113" customFormat="1" ht="15.75" thickBot="1">
      <c r="A7" s="368" t="s">
        <v>2369</v>
      </c>
      <c r="B7" s="369"/>
      <c r="C7" s="370">
        <f>'数据-取费表'!B2</f>
        <v>44580</v>
      </c>
      <c r="D7" s="371">
        <v>100</v>
      </c>
      <c r="E7" s="372"/>
      <c r="F7" s="373">
        <f>SUMIF(58:58,YEAR(E7)&amp;"-"&amp;MONTH(E7),59:59)</f>
        <v>0</v>
      </c>
      <c r="G7" s="372"/>
      <c r="H7" s="371">
        <f>SUMIF(58:58,YEAR(G7)&amp;"-"&amp;MONTH(G7),59:59)</f>
        <v>0</v>
      </c>
      <c r="I7" s="372"/>
      <c r="J7" s="371">
        <f>SUMIF(58:58,YEAR(I7)&amp;"-"&amp;MONTH(I7),59:59)</f>
        <v>0</v>
      </c>
      <c r="K7" s="2077"/>
      <c r="L7" s="2937"/>
      <c r="M7" s="2938"/>
      <c r="N7" s="2938"/>
      <c r="O7" s="2938"/>
      <c r="P7" s="3288" t="s">
        <v>2370</v>
      </c>
      <c r="Q7" s="3316"/>
      <c r="R7" s="710" t="s">
        <v>23</v>
      </c>
      <c r="S7" s="711">
        <f t="shared" ref="S7:S15" si="0">F7</f>
        <v>0</v>
      </c>
      <c r="T7" s="710" t="s">
        <v>23</v>
      </c>
      <c r="U7" s="711">
        <f t="shared" ref="U7:U15" si="1">H7</f>
        <v>0</v>
      </c>
      <c r="V7" s="710" t="s">
        <v>23</v>
      </c>
      <c r="W7" s="711">
        <f t="shared" ref="W7:W15" si="2">J7</f>
        <v>0</v>
      </c>
      <c r="X7" s="712"/>
      <c r="Y7" s="3288" t="s">
        <v>2370</v>
      </c>
      <c r="Z7" s="3289"/>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37"/>
      <c r="M8" s="2938"/>
      <c r="N8" s="2938"/>
      <c r="O8" s="2938"/>
      <c r="P8" s="3288" t="s">
        <v>2373</v>
      </c>
      <c r="Q8" s="3289"/>
      <c r="R8" s="710" t="s">
        <v>23</v>
      </c>
      <c r="S8" s="711">
        <f t="shared" si="0"/>
        <v>0</v>
      </c>
      <c r="T8" s="710" t="s">
        <v>23</v>
      </c>
      <c r="U8" s="711">
        <f t="shared" si="1"/>
        <v>0</v>
      </c>
      <c r="V8" s="710" t="s">
        <v>23</v>
      </c>
      <c r="W8" s="711">
        <f t="shared" si="2"/>
        <v>0</v>
      </c>
      <c r="X8" s="712"/>
      <c r="Y8" s="3288" t="s">
        <v>2373</v>
      </c>
      <c r="Z8" s="3289"/>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37"/>
      <c r="M9" s="2938"/>
      <c r="N9" s="2938"/>
      <c r="O9" s="2938"/>
      <c r="P9" s="3326" t="s">
        <v>2376</v>
      </c>
      <c r="Q9" s="1527" t="str">
        <f t="shared" ref="Q9:Q15" si="6">B9</f>
        <v>用途</v>
      </c>
      <c r="R9" s="710" t="s">
        <v>17</v>
      </c>
      <c r="S9" s="711">
        <f t="shared" si="0"/>
        <v>100</v>
      </c>
      <c r="T9" s="710" t="s">
        <v>17</v>
      </c>
      <c r="U9" s="711">
        <f t="shared" si="1"/>
        <v>100</v>
      </c>
      <c r="V9" s="710" t="s">
        <v>17</v>
      </c>
      <c r="W9" s="711">
        <f t="shared" si="2"/>
        <v>100</v>
      </c>
      <c r="X9" s="712"/>
      <c r="Y9" s="32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326"/>
      <c r="Q10" s="1527" t="str">
        <f t="shared" si="6"/>
        <v>土地使用年限（年）</v>
      </c>
      <c r="R10" s="710" t="s">
        <v>17</v>
      </c>
      <c r="S10" s="711">
        <f t="shared" si="0"/>
        <v>100</v>
      </c>
      <c r="T10" s="710" t="s">
        <v>17</v>
      </c>
      <c r="U10" s="711">
        <f t="shared" si="1"/>
        <v>100</v>
      </c>
      <c r="V10" s="710" t="s">
        <v>17</v>
      </c>
      <c r="W10" s="711">
        <f t="shared" si="2"/>
        <v>100</v>
      </c>
      <c r="X10" s="712"/>
      <c r="Y10" s="325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326"/>
      <c r="Q11" s="1527" t="str">
        <f t="shared" si="6"/>
        <v>容积率</v>
      </c>
      <c r="R11" s="710" t="s">
        <v>21</v>
      </c>
      <c r="S11" s="711" t="e">
        <f t="shared" si="0"/>
        <v>#N/A</v>
      </c>
      <c r="T11" s="710" t="s">
        <v>21</v>
      </c>
      <c r="U11" s="711" t="e">
        <f t="shared" si="1"/>
        <v>#N/A</v>
      </c>
      <c r="V11" s="710" t="s">
        <v>21</v>
      </c>
      <c r="W11" s="711" t="e">
        <f t="shared" si="2"/>
        <v>#N/A</v>
      </c>
      <c r="X11" s="712"/>
      <c r="Y11" s="325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7"/>
      <c r="M12" s="2938"/>
      <c r="N12" s="2938"/>
      <c r="O12" s="2938"/>
      <c r="P12" s="3326"/>
      <c r="Q12" s="1527">
        <f t="shared" si="6"/>
        <v>111</v>
      </c>
      <c r="R12" s="710" t="s">
        <v>21</v>
      </c>
      <c r="S12" s="711">
        <f t="shared" si="0"/>
        <v>100</v>
      </c>
      <c r="T12" s="710" t="s">
        <v>21</v>
      </c>
      <c r="U12" s="711">
        <f t="shared" si="1"/>
        <v>100</v>
      </c>
      <c r="V12" s="710" t="s">
        <v>21</v>
      </c>
      <c r="W12" s="711">
        <f t="shared" si="2"/>
        <v>100</v>
      </c>
      <c r="X12" s="712"/>
      <c r="Y12" s="325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2"/>
      <c r="M13" s="2936"/>
      <c r="N13" s="2936"/>
      <c r="O13" s="2936"/>
      <c r="P13" s="3326"/>
      <c r="Q13" s="1527">
        <f t="shared" si="6"/>
        <v>111</v>
      </c>
      <c r="R13" s="710" t="s">
        <v>21</v>
      </c>
      <c r="S13" s="711">
        <f t="shared" si="0"/>
        <v>100</v>
      </c>
      <c r="T13" s="710" t="s">
        <v>21</v>
      </c>
      <c r="U13" s="711">
        <f t="shared" si="1"/>
        <v>100</v>
      </c>
      <c r="V13" s="710" t="s">
        <v>21</v>
      </c>
      <c r="W13" s="711">
        <f t="shared" si="2"/>
        <v>100</v>
      </c>
      <c r="X13" s="712"/>
      <c r="Y13" s="325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2"/>
      <c r="M14" s="2936"/>
      <c r="N14" s="2936"/>
      <c r="O14" s="2936"/>
      <c r="P14" s="3326"/>
      <c r="Q14" s="1527">
        <f t="shared" si="6"/>
        <v>111</v>
      </c>
      <c r="R14" s="710" t="s">
        <v>21</v>
      </c>
      <c r="S14" s="711">
        <f t="shared" si="0"/>
        <v>100</v>
      </c>
      <c r="T14" s="710" t="s">
        <v>21</v>
      </c>
      <c r="U14" s="711">
        <f t="shared" si="1"/>
        <v>100</v>
      </c>
      <c r="V14" s="710" t="s">
        <v>21</v>
      </c>
      <c r="W14" s="711">
        <f t="shared" si="2"/>
        <v>100</v>
      </c>
      <c r="X14" s="712"/>
      <c r="Y14" s="3258"/>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392" t="s">
        <v>2381</v>
      </c>
      <c r="Q15" s="1536" t="str">
        <f t="shared" si="6"/>
        <v>居住社区成熟度</v>
      </c>
      <c r="R15" s="714" t="s">
        <v>21</v>
      </c>
      <c r="S15" s="715">
        <f t="shared" si="0"/>
        <v>100</v>
      </c>
      <c r="T15" s="714" t="s">
        <v>21</v>
      </c>
      <c r="U15" s="715">
        <f t="shared" si="1"/>
        <v>100</v>
      </c>
      <c r="V15" s="714" t="s">
        <v>21</v>
      </c>
      <c r="W15" s="715">
        <f t="shared" si="2"/>
        <v>100</v>
      </c>
      <c r="X15" s="1539"/>
      <c r="Y15" s="3317"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2"/>
      <c r="M16" s="2936"/>
      <c r="N16" s="2936"/>
      <c r="O16" s="2936"/>
      <c r="P16" s="3393"/>
      <c r="Q16" s="1536"/>
      <c r="R16" s="714"/>
      <c r="S16" s="715"/>
      <c r="T16" s="714"/>
      <c r="U16" s="715"/>
      <c r="V16" s="714"/>
      <c r="W16" s="715"/>
      <c r="X16" s="1539"/>
      <c r="Y16" s="331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393"/>
      <c r="Q17" s="1536" t="str">
        <f>B17</f>
        <v>交通便捷度</v>
      </c>
      <c r="R17" s="714" t="s">
        <v>21</v>
      </c>
      <c r="S17" s="715">
        <f>F17</f>
        <v>100</v>
      </c>
      <c r="T17" s="714" t="s">
        <v>21</v>
      </c>
      <c r="U17" s="715">
        <f>H17</f>
        <v>100</v>
      </c>
      <c r="V17" s="714" t="s">
        <v>21</v>
      </c>
      <c r="W17" s="715">
        <f>J17</f>
        <v>100</v>
      </c>
      <c r="X17" s="1539"/>
      <c r="Y17" s="3318"/>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2"/>
      <c r="M18" s="2936"/>
      <c r="N18" s="2936"/>
      <c r="O18" s="2936"/>
      <c r="P18" s="3393"/>
      <c r="Q18" s="1536"/>
      <c r="R18" s="714"/>
      <c r="S18" s="715"/>
      <c r="T18" s="714"/>
      <c r="U18" s="715"/>
      <c r="V18" s="714"/>
      <c r="W18" s="715"/>
      <c r="X18" s="1539"/>
      <c r="Y18" s="3318"/>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393"/>
      <c r="Q19" s="1536" t="str">
        <f>B19</f>
        <v>公共配套设施</v>
      </c>
      <c r="R19" s="714" t="s">
        <v>21</v>
      </c>
      <c r="S19" s="715">
        <f>F19</f>
        <v>100</v>
      </c>
      <c r="T19" s="714" t="s">
        <v>21</v>
      </c>
      <c r="U19" s="715">
        <f>H19</f>
        <v>100</v>
      </c>
      <c r="V19" s="714" t="s">
        <v>21</v>
      </c>
      <c r="W19" s="715">
        <f>J19</f>
        <v>100</v>
      </c>
      <c r="X19" s="1539"/>
      <c r="Y19" s="3318"/>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2"/>
      <c r="M20" s="2936"/>
      <c r="N20" s="2936"/>
      <c r="O20" s="2936"/>
      <c r="P20" s="3393"/>
      <c r="Q20" s="1536"/>
      <c r="R20" s="714"/>
      <c r="S20" s="715"/>
      <c r="T20" s="714"/>
      <c r="U20" s="715"/>
      <c r="V20" s="714"/>
      <c r="W20" s="715"/>
      <c r="X20" s="1539"/>
      <c r="Y20" s="3318"/>
      <c r="Z20" s="1540"/>
      <c r="AA20" s="1537">
        <v>1</v>
      </c>
      <c r="AB20" s="1537">
        <v>1</v>
      </c>
      <c r="AC20" s="1537">
        <v>1</v>
      </c>
    </row>
    <row r="21" spans="1:29" ht="28.5">
      <c r="A21" s="387"/>
      <c r="B21" s="1292"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393"/>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7"/>
      <c r="G22" s="2090"/>
      <c r="H22" s="407"/>
      <c r="I22" s="406"/>
      <c r="J22" s="407"/>
      <c r="K22" s="2091"/>
      <c r="L22" s="2942"/>
      <c r="M22" s="2936"/>
      <c r="N22" s="2936"/>
      <c r="O22" s="2936"/>
      <c r="P22" s="3393"/>
      <c r="Q22" s="1536"/>
      <c r="R22" s="714"/>
      <c r="S22" s="715"/>
      <c r="T22" s="714"/>
      <c r="U22" s="715"/>
      <c r="V22" s="714"/>
      <c r="W22" s="715"/>
      <c r="X22" s="1539"/>
      <c r="Y22" s="3318"/>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393"/>
      <c r="Q23" s="1536" t="str">
        <f>B23</f>
        <v>自然及人文环境</v>
      </c>
      <c r="R23" s="714" t="s">
        <v>21</v>
      </c>
      <c r="S23" s="715">
        <f>F23</f>
        <v>100</v>
      </c>
      <c r="T23" s="714" t="s">
        <v>21</v>
      </c>
      <c r="U23" s="715">
        <f>H23</f>
        <v>100</v>
      </c>
      <c r="V23" s="714" t="s">
        <v>21</v>
      </c>
      <c r="W23" s="715">
        <f>J23</f>
        <v>100</v>
      </c>
      <c r="X23" s="1539"/>
      <c r="Y23" s="3318"/>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2"/>
      <c r="M24" s="2936"/>
      <c r="N24" s="2936"/>
      <c r="O24" s="2936"/>
      <c r="P24" s="3393"/>
      <c r="Q24" s="1536"/>
      <c r="R24" s="714"/>
      <c r="S24" s="715"/>
      <c r="T24" s="714"/>
      <c r="U24" s="715"/>
      <c r="V24" s="714"/>
      <c r="W24" s="715"/>
      <c r="X24" s="1539"/>
      <c r="Y24" s="3318"/>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2"/>
      <c r="M25" s="2936"/>
      <c r="N25" s="2936"/>
      <c r="O25" s="2936"/>
      <c r="P25" s="339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8"/>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2"/>
      <c r="M26" s="2936"/>
      <c r="N26" s="2936"/>
      <c r="O26" s="2936"/>
      <c r="P26" s="3393"/>
      <c r="Q26" s="1536" t="str">
        <f t="shared" si="11"/>
        <v>朝向</v>
      </c>
      <c r="R26" s="714" t="s">
        <v>21</v>
      </c>
      <c r="S26" s="715">
        <f t="shared" si="12"/>
        <v>100</v>
      </c>
      <c r="T26" s="714" t="s">
        <v>21</v>
      </c>
      <c r="U26" s="715">
        <f t="shared" si="13"/>
        <v>100</v>
      </c>
      <c r="V26" s="714" t="s">
        <v>21</v>
      </c>
      <c r="W26" s="715">
        <f t="shared" si="14"/>
        <v>100</v>
      </c>
      <c r="X26" s="1539"/>
      <c r="Y26" s="3318"/>
      <c r="Z26" s="1540" t="str">
        <f>Q26</f>
        <v>朝向</v>
      </c>
      <c r="AA26" s="1537">
        <f t="shared" si="15"/>
        <v>1</v>
      </c>
      <c r="AB26" s="1537">
        <f t="shared" si="16"/>
        <v>1</v>
      </c>
      <c r="AC26" s="1537">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0"/>
      <c r="L27" s="2937"/>
      <c r="M27" s="2938"/>
      <c r="N27" s="2938"/>
      <c r="O27" s="2938"/>
      <c r="P27" s="3393"/>
      <c r="Q27" s="1527">
        <f t="shared" si="11"/>
        <v>111</v>
      </c>
      <c r="R27" s="710" t="s">
        <v>21</v>
      </c>
      <c r="S27" s="711">
        <f t="shared" si="12"/>
        <v>100</v>
      </c>
      <c r="T27" s="710" t="s">
        <v>21</v>
      </c>
      <c r="U27" s="711">
        <f t="shared" si="13"/>
        <v>100</v>
      </c>
      <c r="V27" s="710" t="s">
        <v>21</v>
      </c>
      <c r="W27" s="711">
        <f t="shared" si="14"/>
        <v>100</v>
      </c>
      <c r="X27" s="712"/>
      <c r="Y27" s="3318"/>
      <c r="Z27" s="55">
        <f>Q27</f>
        <v>111</v>
      </c>
      <c r="AA27" s="1537">
        <f t="shared" si="15"/>
        <v>1</v>
      </c>
      <c r="AB27" s="1537">
        <f t="shared" si="16"/>
        <v>1</v>
      </c>
      <c r="AC27" s="1537">
        <f t="shared" si="17"/>
        <v>1</v>
      </c>
    </row>
    <row r="28" spans="1:29" ht="15">
      <c r="A28" s="387"/>
      <c r="B28" s="1294">
        <v>111</v>
      </c>
      <c r="C28" s="393"/>
      <c r="D28" s="394">
        <v>100</v>
      </c>
      <c r="E28" s="393"/>
      <c r="F28" s="394">
        <f>SUMIF(92:92,E28,93:93)-SUMIF(92:92,C28,93:93)+100</f>
        <v>100</v>
      </c>
      <c r="G28" s="2094"/>
      <c r="H28" s="394">
        <f>SUMIF(92:92,G28,93:93)-SUMIF(92:92,C28,93:93)+100</f>
        <v>100</v>
      </c>
      <c r="I28" s="393"/>
      <c r="J28" s="394">
        <f>SUMIF(92:92,I28,93:93)-SUMIF(92:92,C28,93:93)+100</f>
        <v>100</v>
      </c>
      <c r="K28" s="2080"/>
      <c r="L28" s="2942"/>
      <c r="M28" s="2936"/>
      <c r="N28" s="2936"/>
      <c r="O28" s="2936"/>
      <c r="P28" s="3393"/>
      <c r="Q28" s="1536">
        <f t="shared" si="11"/>
        <v>111</v>
      </c>
      <c r="R28" s="714" t="s">
        <v>21</v>
      </c>
      <c r="S28" s="715">
        <f t="shared" si="12"/>
        <v>100</v>
      </c>
      <c r="T28" s="714" t="s">
        <v>21</v>
      </c>
      <c r="U28" s="715">
        <f t="shared" si="13"/>
        <v>100</v>
      </c>
      <c r="V28" s="714" t="s">
        <v>21</v>
      </c>
      <c r="W28" s="715">
        <f t="shared" si="14"/>
        <v>100</v>
      </c>
      <c r="X28" s="1539"/>
      <c r="Y28" s="3318"/>
      <c r="Z28" s="1540">
        <f t="shared" ref="Z28:Z46" si="18">Q28</f>
        <v>111</v>
      </c>
      <c r="AA28" s="1537">
        <f t="shared" si="15"/>
        <v>1</v>
      </c>
      <c r="AB28" s="1537">
        <f t="shared" si="16"/>
        <v>1</v>
      </c>
      <c r="AC28" s="1537">
        <f t="shared" si="17"/>
        <v>1</v>
      </c>
    </row>
    <row r="29" spans="1:29" ht="15">
      <c r="A29" s="387"/>
      <c r="B29" s="1294">
        <v>111</v>
      </c>
      <c r="C29" s="393"/>
      <c r="D29" s="394">
        <v>100</v>
      </c>
      <c r="E29" s="393"/>
      <c r="F29" s="394">
        <f>SUMIF(94:94,E29,95:95)-SUMIF(94:94,C29,95:95)+100</f>
        <v>100</v>
      </c>
      <c r="G29" s="2094"/>
      <c r="H29" s="394">
        <f>SUMIF(94:94,G29,95:95)-SUMIF(94:94,C29,95:95)+100</f>
        <v>100</v>
      </c>
      <c r="I29" s="393"/>
      <c r="J29" s="394">
        <f>SUMIF(94:94,I29,95:95)-SUMIF(94:94,C29,95:95)+100</f>
        <v>100</v>
      </c>
      <c r="K29" s="2080"/>
      <c r="L29" s="2942"/>
      <c r="M29" s="2936"/>
      <c r="N29" s="2936"/>
      <c r="O29" s="2936"/>
      <c r="P29" s="3393"/>
      <c r="Q29" s="1536">
        <f t="shared" si="11"/>
        <v>111</v>
      </c>
      <c r="R29" s="714" t="s">
        <v>21</v>
      </c>
      <c r="S29" s="715">
        <f t="shared" si="12"/>
        <v>100</v>
      </c>
      <c r="T29" s="714" t="s">
        <v>21</v>
      </c>
      <c r="U29" s="715">
        <f t="shared" si="13"/>
        <v>100</v>
      </c>
      <c r="V29" s="714" t="s">
        <v>21</v>
      </c>
      <c r="W29" s="715">
        <f t="shared" si="14"/>
        <v>100</v>
      </c>
      <c r="X29" s="1539"/>
      <c r="Y29" s="3318"/>
      <c r="Z29" s="1540">
        <f t="shared" si="18"/>
        <v>111</v>
      </c>
      <c r="AA29" s="1537">
        <f t="shared" si="15"/>
        <v>1</v>
      </c>
      <c r="AB29" s="1537">
        <f t="shared" si="16"/>
        <v>1</v>
      </c>
      <c r="AC29" s="1537">
        <f t="shared" si="17"/>
        <v>1</v>
      </c>
    </row>
    <row r="30" spans="1:29" ht="15">
      <c r="A30" s="387"/>
      <c r="B30" s="1294">
        <v>111</v>
      </c>
      <c r="C30" s="393"/>
      <c r="D30" s="394">
        <v>100</v>
      </c>
      <c r="E30" s="393"/>
      <c r="F30" s="394">
        <f>SUMIF(96:96,E30,97:97)-SUMIF(96:96,C30,97:97)+100</f>
        <v>100</v>
      </c>
      <c r="G30" s="2094"/>
      <c r="H30" s="394">
        <f>SUMIF(96:96,G30,97:97)-SUMIF(96:96,C30,97:97)+100</f>
        <v>100</v>
      </c>
      <c r="I30" s="393"/>
      <c r="J30" s="394">
        <f>SUMIF(96:96,I30,97:97)-SUMIF(96:96,C30,97:97)+100</f>
        <v>100</v>
      </c>
      <c r="K30" s="2080"/>
      <c r="L30" s="2942"/>
      <c r="M30" s="2936"/>
      <c r="N30" s="2936"/>
      <c r="O30" s="2936"/>
      <c r="P30" s="3393"/>
      <c r="Q30" s="1536">
        <f t="shared" si="11"/>
        <v>111</v>
      </c>
      <c r="R30" s="714" t="s">
        <v>21</v>
      </c>
      <c r="S30" s="715">
        <f t="shared" si="12"/>
        <v>100</v>
      </c>
      <c r="T30" s="714" t="s">
        <v>21</v>
      </c>
      <c r="U30" s="715">
        <f t="shared" si="13"/>
        <v>100</v>
      </c>
      <c r="V30" s="714" t="s">
        <v>21</v>
      </c>
      <c r="W30" s="715">
        <f t="shared" si="14"/>
        <v>100</v>
      </c>
      <c r="X30" s="1539"/>
      <c r="Y30" s="3318"/>
      <c r="Z30" s="1540">
        <f t="shared" si="18"/>
        <v>111</v>
      </c>
      <c r="AA30" s="1537">
        <f t="shared" si="15"/>
        <v>1</v>
      </c>
      <c r="AB30" s="1537">
        <f t="shared" si="16"/>
        <v>1</v>
      </c>
      <c r="AC30" s="1537">
        <f t="shared" si="17"/>
        <v>1</v>
      </c>
    </row>
    <row r="31" spans="1:29" ht="15.75" thickBot="1">
      <c r="A31" s="395"/>
      <c r="B31" s="1294">
        <v>111</v>
      </c>
      <c r="C31" s="396"/>
      <c r="D31" s="397">
        <v>100</v>
      </c>
      <c r="E31" s="396"/>
      <c r="F31" s="397">
        <f>SUMIF(98:98,E31,99:99)-SUMIF(98:98,C31,99:99)+100</f>
        <v>100</v>
      </c>
      <c r="G31" s="2095"/>
      <c r="H31" s="397">
        <f>SUMIF(98:98,G31,99:99)-SUMIF(98:98,C31,99:99)+100</f>
        <v>100</v>
      </c>
      <c r="I31" s="396"/>
      <c r="J31" s="397">
        <f>SUMIF(98:98,I31,99:99)-SUMIF(98:98,C31,99:99)+100</f>
        <v>100</v>
      </c>
      <c r="K31" s="2080"/>
      <c r="L31" s="2942"/>
      <c r="M31" s="2936"/>
      <c r="N31" s="2936"/>
      <c r="O31" s="2936"/>
      <c r="P31" s="3393"/>
      <c r="Q31" s="1536">
        <f t="shared" si="11"/>
        <v>111</v>
      </c>
      <c r="R31" s="714" t="s">
        <v>21</v>
      </c>
      <c r="S31" s="715">
        <f t="shared" si="12"/>
        <v>100</v>
      </c>
      <c r="T31" s="714" t="s">
        <v>21</v>
      </c>
      <c r="U31" s="715">
        <f t="shared" si="13"/>
        <v>100</v>
      </c>
      <c r="V31" s="714" t="s">
        <v>21</v>
      </c>
      <c r="W31" s="715">
        <f t="shared" si="14"/>
        <v>100</v>
      </c>
      <c r="X31" s="1539"/>
      <c r="Y31" s="3318"/>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2"/>
      <c r="M32" s="2936"/>
      <c r="N32" s="2936"/>
      <c r="O32" s="2936"/>
      <c r="P32" s="3388" t="s">
        <v>2386</v>
      </c>
      <c r="Q32" s="1536" t="str">
        <f t="shared" si="11"/>
        <v>建筑类型</v>
      </c>
      <c r="R32" s="714" t="s">
        <v>21</v>
      </c>
      <c r="S32" s="715">
        <f t="shared" si="12"/>
        <v>100</v>
      </c>
      <c r="T32" s="714" t="s">
        <v>21</v>
      </c>
      <c r="U32" s="715">
        <f t="shared" si="13"/>
        <v>100</v>
      </c>
      <c r="V32" s="714" t="s">
        <v>21</v>
      </c>
      <c r="W32" s="715">
        <f t="shared" si="14"/>
        <v>100</v>
      </c>
      <c r="X32" s="1539"/>
      <c r="Y32" s="332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1"/>
      <c r="M33" s="2943"/>
      <c r="N33" s="2943"/>
      <c r="O33" s="2943"/>
      <c r="P33" s="3389"/>
      <c r="Q33" s="716" t="str">
        <f t="shared" si="11"/>
        <v>项目建筑规模</v>
      </c>
      <c r="R33" s="717" t="s">
        <v>21</v>
      </c>
      <c r="S33" s="718" t="e">
        <f t="shared" si="12"/>
        <v>#N/A</v>
      </c>
      <c r="T33" s="717" t="s">
        <v>21</v>
      </c>
      <c r="U33" s="718" t="e">
        <f t="shared" si="13"/>
        <v>#N/A</v>
      </c>
      <c r="V33" s="717" t="s">
        <v>21</v>
      </c>
      <c r="W33" s="718" t="e">
        <f t="shared" si="14"/>
        <v>#N/A</v>
      </c>
      <c r="X33" s="719"/>
      <c r="Y33" s="332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2"/>
      <c r="M34" s="2936"/>
      <c r="N34" s="2936"/>
      <c r="O34" s="2936"/>
      <c r="P34" s="3389"/>
      <c r="Q34" s="1536" t="str">
        <f t="shared" si="11"/>
        <v>建筑结构</v>
      </c>
      <c r="R34" s="714" t="s">
        <v>21</v>
      </c>
      <c r="S34" s="715">
        <f t="shared" si="12"/>
        <v>100</v>
      </c>
      <c r="T34" s="714" t="s">
        <v>21</v>
      </c>
      <c r="U34" s="715">
        <f t="shared" si="13"/>
        <v>100</v>
      </c>
      <c r="V34" s="714" t="s">
        <v>21</v>
      </c>
      <c r="W34" s="715">
        <f t="shared" si="14"/>
        <v>100</v>
      </c>
      <c r="X34" s="1539"/>
      <c r="Y34" s="332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2"/>
      <c r="M35" s="2936"/>
      <c r="N35" s="2936"/>
      <c r="O35" s="2936"/>
      <c r="P35" s="3389"/>
      <c r="Q35" s="1536" t="str">
        <f t="shared" si="11"/>
        <v>建筑品质</v>
      </c>
      <c r="R35" s="714" t="s">
        <v>21</v>
      </c>
      <c r="S35" s="715">
        <f t="shared" si="12"/>
        <v>100</v>
      </c>
      <c r="T35" s="714" t="s">
        <v>21</v>
      </c>
      <c r="U35" s="715">
        <f t="shared" si="13"/>
        <v>100</v>
      </c>
      <c r="V35" s="714" t="s">
        <v>21</v>
      </c>
      <c r="W35" s="715">
        <f t="shared" si="14"/>
        <v>100</v>
      </c>
      <c r="X35" s="1539"/>
      <c r="Y35" s="332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2"/>
      <c r="M36" s="2936"/>
      <c r="N36" s="2936"/>
      <c r="O36" s="2936"/>
      <c r="P36" s="3389"/>
      <c r="Q36" s="1536" t="str">
        <f t="shared" si="11"/>
        <v>公共部分装修</v>
      </c>
      <c r="R36" s="714" t="s">
        <v>21</v>
      </c>
      <c r="S36" s="715">
        <f t="shared" si="12"/>
        <v>100</v>
      </c>
      <c r="T36" s="714" t="s">
        <v>21</v>
      </c>
      <c r="U36" s="715">
        <f t="shared" si="13"/>
        <v>100</v>
      </c>
      <c r="V36" s="714" t="s">
        <v>21</v>
      </c>
      <c r="W36" s="715">
        <f t="shared" si="14"/>
        <v>100</v>
      </c>
      <c r="X36" s="1539"/>
      <c r="Y36" s="332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389"/>
      <c r="Q37" s="1527" t="str">
        <f t="shared" si="11"/>
        <v>成新度</v>
      </c>
      <c r="R37" s="710" t="s">
        <v>21</v>
      </c>
      <c r="S37" s="711" t="e">
        <f t="shared" si="12"/>
        <v>#N/A</v>
      </c>
      <c r="T37" s="710" t="s">
        <v>21</v>
      </c>
      <c r="U37" s="711" t="e">
        <f t="shared" si="13"/>
        <v>#N/A</v>
      </c>
      <c r="V37" s="710" t="s">
        <v>21</v>
      </c>
      <c r="W37" s="711" t="e">
        <f t="shared" si="14"/>
        <v>#N/A</v>
      </c>
      <c r="X37" s="712"/>
      <c r="Y37" s="332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2"/>
      <c r="M38" s="2936"/>
      <c r="N38" s="2936"/>
      <c r="O38" s="2936"/>
      <c r="P38" s="3389" t="s">
        <v>2386</v>
      </c>
      <c r="Q38" s="1536" t="str">
        <f t="shared" si="11"/>
        <v>物业管理</v>
      </c>
      <c r="R38" s="714" t="s">
        <v>21</v>
      </c>
      <c r="S38" s="715">
        <f t="shared" si="12"/>
        <v>100</v>
      </c>
      <c r="T38" s="714" t="s">
        <v>21</v>
      </c>
      <c r="U38" s="715">
        <f t="shared" si="13"/>
        <v>100</v>
      </c>
      <c r="V38" s="714" t="s">
        <v>21</v>
      </c>
      <c r="W38" s="715">
        <f t="shared" si="14"/>
        <v>100</v>
      </c>
      <c r="X38" s="1539"/>
      <c r="Y38" s="332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2"/>
      <c r="M39" s="2936"/>
      <c r="N39" s="2936"/>
      <c r="O39" s="2936"/>
      <c r="P39" s="3389"/>
      <c r="Q39" s="1536" t="str">
        <f t="shared" si="11"/>
        <v>市政基础设施</v>
      </c>
      <c r="R39" s="714" t="s">
        <v>21</v>
      </c>
      <c r="S39" s="715">
        <f t="shared" si="12"/>
        <v>100</v>
      </c>
      <c r="T39" s="714" t="s">
        <v>21</v>
      </c>
      <c r="U39" s="715">
        <f t="shared" si="13"/>
        <v>100</v>
      </c>
      <c r="V39" s="714" t="s">
        <v>21</v>
      </c>
      <c r="W39" s="715">
        <f t="shared" si="14"/>
        <v>100</v>
      </c>
      <c r="X39" s="1539"/>
      <c r="Y39" s="332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2"/>
      <c r="M40" s="2936"/>
      <c r="N40" s="2936"/>
      <c r="O40" s="2936"/>
      <c r="P40" s="3389"/>
      <c r="Q40" s="1536" t="str">
        <f t="shared" si="11"/>
        <v>房型</v>
      </c>
      <c r="R40" s="714" t="s">
        <v>21</v>
      </c>
      <c r="S40" s="715">
        <f t="shared" si="12"/>
        <v>100</v>
      </c>
      <c r="T40" s="714" t="s">
        <v>21</v>
      </c>
      <c r="U40" s="715">
        <f t="shared" si="13"/>
        <v>100</v>
      </c>
      <c r="V40" s="714" t="s">
        <v>21</v>
      </c>
      <c r="W40" s="715">
        <f t="shared" si="14"/>
        <v>100</v>
      </c>
      <c r="X40" s="1539"/>
      <c r="Y40" s="3320"/>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1"/>
      <c r="M41" s="2943"/>
      <c r="N41" s="2943"/>
      <c r="O41" s="2943"/>
      <c r="P41" s="3389"/>
      <c r="Q41" s="716" t="str">
        <f t="shared" si="11"/>
        <v>单套/主力户型建筑面积</v>
      </c>
      <c r="R41" s="717" t="s">
        <v>21</v>
      </c>
      <c r="S41" s="718">
        <f t="shared" si="12"/>
        <v>100</v>
      </c>
      <c r="T41" s="717" t="s">
        <v>21</v>
      </c>
      <c r="U41" s="718">
        <f t="shared" si="13"/>
        <v>100</v>
      </c>
      <c r="V41" s="717" t="s">
        <v>21</v>
      </c>
      <c r="W41" s="718">
        <f t="shared" si="14"/>
        <v>100</v>
      </c>
      <c r="X41" s="719"/>
      <c r="Y41" s="332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2"/>
      <c r="M42" s="2936"/>
      <c r="N42" s="2936"/>
      <c r="O42" s="2936"/>
      <c r="P42" s="3389"/>
      <c r="Q42" s="1536" t="str">
        <f t="shared" si="11"/>
        <v>内部装修</v>
      </c>
      <c r="R42" s="714" t="s">
        <v>21</v>
      </c>
      <c r="S42" s="715">
        <f t="shared" si="12"/>
        <v>100</v>
      </c>
      <c r="T42" s="714" t="s">
        <v>21</v>
      </c>
      <c r="U42" s="715">
        <f t="shared" si="13"/>
        <v>100</v>
      </c>
      <c r="V42" s="714" t="s">
        <v>21</v>
      </c>
      <c r="W42" s="715">
        <f t="shared" si="14"/>
        <v>100</v>
      </c>
      <c r="X42" s="1539"/>
      <c r="Y42" s="3320"/>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2"/>
      <c r="M43" s="2936"/>
      <c r="N43" s="2936"/>
      <c r="O43" s="2936"/>
      <c r="P43" s="3389"/>
      <c r="Q43" s="1536" t="str">
        <f t="shared" si="11"/>
        <v>内部装修维护情况</v>
      </c>
      <c r="R43" s="714" t="s">
        <v>21</v>
      </c>
      <c r="S43" s="715">
        <f t="shared" si="12"/>
        <v>100</v>
      </c>
      <c r="T43" s="714" t="s">
        <v>21</v>
      </c>
      <c r="U43" s="715">
        <f t="shared" si="13"/>
        <v>100</v>
      </c>
      <c r="V43" s="714" t="s">
        <v>21</v>
      </c>
      <c r="W43" s="715">
        <f t="shared" si="14"/>
        <v>100</v>
      </c>
      <c r="X43" s="1539"/>
      <c r="Y43" s="3320"/>
      <c r="Z43" s="1540" t="str">
        <f t="shared" si="18"/>
        <v>内部装修维护情况</v>
      </c>
      <c r="AA43" s="1537">
        <f t="shared" si="15"/>
        <v>1</v>
      </c>
      <c r="AB43" s="1537">
        <f t="shared" si="16"/>
        <v>1</v>
      </c>
      <c r="AC43" s="1537">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7"/>
      <c r="M44" s="2938"/>
      <c r="N44" s="2938"/>
      <c r="O44" s="2938"/>
      <c r="P44" s="3389"/>
      <c r="Q44" s="1527">
        <f t="shared" si="11"/>
        <v>111</v>
      </c>
      <c r="R44" s="710" t="s">
        <v>21</v>
      </c>
      <c r="S44" s="711">
        <f t="shared" si="12"/>
        <v>100</v>
      </c>
      <c r="T44" s="710" t="s">
        <v>21</v>
      </c>
      <c r="U44" s="711">
        <f t="shared" si="13"/>
        <v>100</v>
      </c>
      <c r="V44" s="710" t="s">
        <v>21</v>
      </c>
      <c r="W44" s="711">
        <f t="shared" si="14"/>
        <v>100</v>
      </c>
      <c r="X44" s="712"/>
      <c r="Y44" s="3320"/>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2"/>
      <c r="M45" s="2936"/>
      <c r="N45" s="2936"/>
      <c r="O45" s="2936"/>
      <c r="P45" s="3389"/>
      <c r="Q45" s="1536">
        <f t="shared" si="11"/>
        <v>111</v>
      </c>
      <c r="R45" s="714" t="s">
        <v>21</v>
      </c>
      <c r="S45" s="715">
        <f t="shared" si="12"/>
        <v>100</v>
      </c>
      <c r="T45" s="714" t="s">
        <v>21</v>
      </c>
      <c r="U45" s="715">
        <f t="shared" si="13"/>
        <v>100</v>
      </c>
      <c r="V45" s="714" t="s">
        <v>21</v>
      </c>
      <c r="W45" s="715">
        <f t="shared" si="14"/>
        <v>100</v>
      </c>
      <c r="X45" s="1539"/>
      <c r="Y45" s="332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2"/>
      <c r="M46" s="2936"/>
      <c r="N46" s="2936"/>
      <c r="O46" s="2936"/>
      <c r="P46" s="3390"/>
      <c r="Q46" s="1536">
        <f t="shared" si="11"/>
        <v>111</v>
      </c>
      <c r="R46" s="714" t="s">
        <v>20</v>
      </c>
      <c r="S46" s="715">
        <f t="shared" si="12"/>
        <v>100</v>
      </c>
      <c r="T46" s="714" t="s">
        <v>20</v>
      </c>
      <c r="U46" s="715">
        <f t="shared" si="13"/>
        <v>100</v>
      </c>
      <c r="V46" s="714" t="s">
        <v>20</v>
      </c>
      <c r="W46" s="715">
        <f t="shared" si="14"/>
        <v>100</v>
      </c>
      <c r="X46" s="1539"/>
      <c r="Y46" s="3391"/>
      <c r="Z46" s="1540">
        <f t="shared" si="18"/>
        <v>111</v>
      </c>
      <c r="AA46" s="1537">
        <f t="shared" si="15"/>
        <v>1</v>
      </c>
      <c r="AB46" s="1537">
        <f t="shared" si="16"/>
        <v>1</v>
      </c>
      <c r="AC46" s="1537">
        <f t="shared" si="17"/>
        <v>1</v>
      </c>
    </row>
    <row r="47" spans="1:29" ht="15">
      <c r="A47" s="438" t="s">
        <v>2398</v>
      </c>
      <c r="B47" s="439"/>
      <c r="C47" s="1315" t="s">
        <v>19</v>
      </c>
      <c r="D47" s="1316"/>
      <c r="E47" s="1317"/>
      <c r="F47" s="1318"/>
      <c r="G47" s="1319"/>
      <c r="H47" s="1320"/>
      <c r="I47" s="1317"/>
      <c r="J47" s="1320"/>
      <c r="K47" s="2100"/>
      <c r="L47" s="2944"/>
      <c r="M47" s="2945"/>
      <c r="N47" s="2936"/>
      <c r="O47" s="2945"/>
      <c r="P47" s="3302" t="str">
        <f>A47</f>
        <v>成交单价（元/平方米）</v>
      </c>
      <c r="Q47" s="3302"/>
      <c r="R47" s="3387">
        <f>E47</f>
        <v>0</v>
      </c>
      <c r="S47" s="3387"/>
      <c r="T47" s="3387">
        <f>G47</f>
        <v>0</v>
      </c>
      <c r="U47" s="3387"/>
      <c r="V47" s="3387">
        <f>I47</f>
        <v>0</v>
      </c>
      <c r="W47" s="3387"/>
      <c r="X47" s="699"/>
      <c r="Y47" s="721"/>
      <c r="Z47" s="699"/>
      <c r="AA47" s="699"/>
      <c r="AB47" s="699"/>
      <c r="AC47" s="699"/>
    </row>
    <row r="48" spans="1:29" ht="15.75" thickBot="1">
      <c r="A48" s="445" t="s">
        <v>2399</v>
      </c>
      <c r="B48" s="446"/>
      <c r="C48" s="1321" t="e">
        <f>R49</f>
        <v>#DIV/0!</v>
      </c>
      <c r="D48" s="2529" t="s">
        <v>2879</v>
      </c>
      <c r="E48" s="1322" t="e">
        <f>R48</f>
        <v>#DIV/0!</v>
      </c>
      <c r="F48" s="2530"/>
      <c r="G48" s="1321" t="e">
        <f>T48</f>
        <v>#DIV/0!</v>
      </c>
      <c r="H48" s="2530"/>
      <c r="I48" s="1322" t="e">
        <f>V48</f>
        <v>#DIV/0!</v>
      </c>
      <c r="J48" s="2530"/>
      <c r="K48" s="2531">
        <f>F48+H48+J48</f>
        <v>0</v>
      </c>
      <c r="L48" s="2944"/>
      <c r="M48" s="2945"/>
      <c r="N48" s="2945"/>
      <c r="O48" s="2945"/>
      <c r="P48" s="3302" t="str">
        <f>A48</f>
        <v>比较价值（元/平方米）</v>
      </c>
      <c r="Q48" s="3302"/>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1"/>
      <c r="L49" s="2944"/>
      <c r="M49" s="2945"/>
      <c r="N49" s="2945"/>
      <c r="O49" s="2945"/>
      <c r="P49" s="3322" t="str">
        <f>A49</f>
        <v>估价对象XX用房的比较价值（楼面单价，元/平方米）</v>
      </c>
      <c r="Q49" s="3323"/>
      <c r="R49" s="3386" t="e">
        <f>IF(F1="售价",ROUND(IF(D48="简单平均",AVERAGE(R48:V48),R48*F48+T48*H48+V48*J48),0),ROUND(IF(D48="简单平均",AVERAGE(R48:V48),R48*F48+T48*H48+V48*J48),1))</f>
        <v>#DIV/0!</v>
      </c>
      <c r="S49" s="3386"/>
      <c r="T49" s="3386"/>
      <c r="U49" s="3386"/>
      <c r="V49" s="3386"/>
      <c r="W49" s="3386"/>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103"/>
    </row>
    <row r="55" spans="1:29" s="459" customFormat="1">
      <c r="A55" s="2948"/>
      <c r="B55" s="2951"/>
      <c r="C55" s="2952"/>
      <c r="D55" s="2948"/>
      <c r="E55" s="2948"/>
      <c r="F55" s="2948"/>
      <c r="G55" s="2948"/>
      <c r="H55" s="2948"/>
      <c r="I55" s="2948"/>
      <c r="J55" s="2948"/>
      <c r="K55" s="2953"/>
      <c r="L55" s="2947"/>
      <c r="M55" s="2948"/>
      <c r="N55" s="2948"/>
      <c r="O55" s="2948"/>
      <c r="P55" s="2103"/>
    </row>
    <row r="56" spans="1:29">
      <c r="A56" s="2945"/>
      <c r="B56" s="2951"/>
      <c r="C56" s="2952"/>
      <c r="D56" s="2945"/>
      <c r="E56" s="2945"/>
      <c r="F56" s="2945"/>
      <c r="G56" s="2945"/>
      <c r="H56" s="2945"/>
      <c r="I56" s="2945"/>
      <c r="J56" s="2945"/>
      <c r="K56" s="2950"/>
      <c r="L56" s="2946"/>
      <c r="M56" s="2945"/>
      <c r="N56" s="2945"/>
      <c r="O56" s="2945"/>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7" t="str">
        <f>YEAR(C7)&amp;"-"&amp;MONTH(C7)</f>
        <v>2022-1</v>
      </c>
      <c r="D58" s="1346">
        <f>EDATE(C58,-1)</f>
        <v>44531</v>
      </c>
      <c r="E58" s="1346">
        <f>EDATE(D58,-1)</f>
        <v>44501</v>
      </c>
      <c r="F58" s="1346">
        <f t="shared" ref="F58:O58" si="19">EDATE(E58,-1)</f>
        <v>44470</v>
      </c>
      <c r="G58" s="1346">
        <f t="shared" si="19"/>
        <v>44440</v>
      </c>
      <c r="H58" s="1346">
        <f t="shared" si="19"/>
        <v>44409</v>
      </c>
      <c r="I58" s="1346">
        <f t="shared" si="19"/>
        <v>44378</v>
      </c>
      <c r="J58" s="1346">
        <f t="shared" si="19"/>
        <v>44348</v>
      </c>
      <c r="K58" s="1346">
        <f t="shared" si="19"/>
        <v>44317</v>
      </c>
      <c r="L58" s="1346">
        <f t="shared" si="19"/>
        <v>44287</v>
      </c>
      <c r="M58" s="1346">
        <f t="shared" si="19"/>
        <v>44256</v>
      </c>
      <c r="N58" s="1346">
        <f t="shared" si="19"/>
        <v>44228</v>
      </c>
      <c r="O58" s="1346">
        <f t="shared" si="19"/>
        <v>44197</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2463</v>
      </c>
      <c r="C1" s="1405" t="s">
        <v>2351</v>
      </c>
      <c r="D1" s="1392"/>
      <c r="E1" s="2534"/>
      <c r="F1" s="2065"/>
      <c r="G1" s="1402" t="s">
        <v>2464</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2148</v>
      </c>
      <c r="B2" s="1325" t="e">
        <f ca="1">IF(C2="——",ROUND(C49*D3/10000,0),ROUND(C49*D3/10000,0)-D2)</f>
        <v>#DIV/0!</v>
      </c>
      <c r="C2" s="2067"/>
      <c r="D2" s="1274" t="e">
        <f ca="1">SUMIF(INDIRECT("'"&amp;F2&amp;"'"&amp;"!A:A"),"承租人权益价值",INDIRECT("'"&amp;F2&amp;"'"&amp;"!c:c"))</f>
        <v>#REF!</v>
      </c>
      <c r="E2" s="2068" t="s">
        <v>2149</v>
      </c>
      <c r="F2" s="2069"/>
      <c r="G2" s="1039"/>
      <c r="H2" s="1039"/>
      <c r="I2" s="1039"/>
      <c r="J2" s="1039"/>
      <c r="K2" s="1039"/>
      <c r="L2" s="2954"/>
      <c r="M2" s="2955"/>
      <c r="N2" s="2955"/>
      <c r="O2" s="2955"/>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114107.98000000001</v>
      </c>
      <c r="E3" s="2140"/>
      <c r="F3" s="1040"/>
      <c r="G3" s="1039"/>
      <c r="H3" s="1039"/>
      <c r="I3" s="1039"/>
      <c r="J3" s="1039"/>
      <c r="K3" s="1041"/>
      <c r="L3" s="2954"/>
      <c r="M3" s="2955"/>
      <c r="N3" s="2955"/>
      <c r="O3" s="2955"/>
      <c r="P3" s="2138"/>
      <c r="Q3" s="1043"/>
      <c r="R3" s="1043"/>
      <c r="S3" s="1043"/>
      <c r="T3" s="1043"/>
      <c r="U3" s="1043"/>
      <c r="V3" s="1043"/>
      <c r="W3" s="1043"/>
      <c r="X3" s="1043"/>
      <c r="Y3" s="1043"/>
      <c r="Z3" s="1043"/>
      <c r="AA3" s="1043"/>
      <c r="AB3" s="1043"/>
      <c r="AC3" s="2140"/>
    </row>
    <row r="4" spans="1:29" ht="15">
      <c r="A4" s="361" t="s">
        <v>2466</v>
      </c>
      <c r="B4" s="362"/>
      <c r="C4" s="3303" t="s">
        <v>2467</v>
      </c>
      <c r="D4" s="3304"/>
      <c r="E4" s="3305" t="s">
        <v>2468</v>
      </c>
      <c r="F4" s="3306"/>
      <c r="G4" s="3303" t="s">
        <v>2469</v>
      </c>
      <c r="H4" s="3304"/>
      <c r="I4" s="3303" t="s">
        <v>2470</v>
      </c>
      <c r="J4" s="3304"/>
      <c r="K4" s="567" t="s">
        <v>2471</v>
      </c>
      <c r="L4" s="2935"/>
      <c r="M4" s="2936"/>
      <c r="N4" s="2936"/>
      <c r="O4" s="2936"/>
      <c r="P4" s="3307" t="s">
        <v>2472</v>
      </c>
      <c r="Q4" s="3308"/>
      <c r="R4" s="3290" t="s">
        <v>2468</v>
      </c>
      <c r="S4" s="3291"/>
      <c r="T4" s="3290" t="s">
        <v>2469</v>
      </c>
      <c r="U4" s="3291"/>
      <c r="V4" s="3315" t="s">
        <v>2470</v>
      </c>
      <c r="W4" s="3315"/>
      <c r="X4" s="1539"/>
      <c r="Y4" s="3290" t="s">
        <v>2472</v>
      </c>
      <c r="Z4" s="3291"/>
      <c r="AA4" s="3285" t="s">
        <v>2468</v>
      </c>
      <c r="AB4" s="3315" t="s">
        <v>2469</v>
      </c>
      <c r="AC4" s="3285" t="s">
        <v>2470</v>
      </c>
    </row>
    <row r="5" spans="1:29" ht="15">
      <c r="A5" s="364"/>
      <c r="B5" s="365"/>
      <c r="C5" s="3296" t="s">
        <v>2363</v>
      </c>
      <c r="D5" s="3297"/>
      <c r="E5" s="3294" t="s">
        <v>2364</v>
      </c>
      <c r="F5" s="3295"/>
      <c r="G5" s="3296" t="s">
        <v>2365</v>
      </c>
      <c r="H5" s="3297"/>
      <c r="I5" s="3296" t="s">
        <v>2366</v>
      </c>
      <c r="J5" s="3297"/>
      <c r="K5" s="567"/>
      <c r="L5" s="2935"/>
      <c r="M5" s="2936"/>
      <c r="N5" s="2936"/>
      <c r="O5" s="2936"/>
      <c r="P5" s="3309"/>
      <c r="Q5" s="3310"/>
      <c r="R5" s="3292"/>
      <c r="S5" s="3293"/>
      <c r="T5" s="3292"/>
      <c r="U5" s="3293"/>
      <c r="V5" s="3315"/>
      <c r="W5" s="3315"/>
      <c r="X5" s="1539"/>
      <c r="Y5" s="3292"/>
      <c r="Z5" s="3293"/>
      <c r="AA5" s="3286"/>
      <c r="AB5" s="3315"/>
      <c r="AC5" s="3286"/>
    </row>
    <row r="6" spans="1:29" ht="15.75" thickBot="1">
      <c r="A6" s="366"/>
      <c r="B6" s="367"/>
      <c r="C6" s="3298" t="s">
        <v>2367</v>
      </c>
      <c r="D6" s="3299"/>
      <c r="E6" s="3300" t="s">
        <v>2367</v>
      </c>
      <c r="F6" s="3301"/>
      <c r="G6" s="3298" t="s">
        <v>2367</v>
      </c>
      <c r="H6" s="3299"/>
      <c r="I6" s="3298" t="s">
        <v>2367</v>
      </c>
      <c r="J6" s="3299"/>
      <c r="K6" s="567" t="s">
        <v>2368</v>
      </c>
      <c r="L6" s="2935"/>
      <c r="M6" s="2936"/>
      <c r="N6" s="2936"/>
      <c r="O6" s="2936"/>
      <c r="P6" s="3311"/>
      <c r="Q6" s="3312"/>
      <c r="R6" s="3292"/>
      <c r="S6" s="3293"/>
      <c r="T6" s="3313"/>
      <c r="U6" s="3314"/>
      <c r="V6" s="3315"/>
      <c r="W6" s="3315"/>
      <c r="X6" s="1539"/>
      <c r="Y6" s="3313"/>
      <c r="Z6" s="3314"/>
      <c r="AA6" s="3287"/>
      <c r="AB6" s="3315"/>
      <c r="AC6" s="3287"/>
    </row>
    <row r="7" spans="1:29" s="113" customFormat="1" ht="15.75" thickBot="1">
      <c r="A7" s="368" t="s">
        <v>2369</v>
      </c>
      <c r="B7" s="369"/>
      <c r="C7" s="370">
        <f>'数据-取费表'!B2</f>
        <v>44580</v>
      </c>
      <c r="D7" s="371">
        <v>100</v>
      </c>
      <c r="E7" s="372"/>
      <c r="F7" s="373">
        <f>SUMIF(58:58,YEAR(E7)&amp;"-"&amp;MONTH(E7),59:59)</f>
        <v>0</v>
      </c>
      <c r="G7" s="372"/>
      <c r="H7" s="371">
        <f>SUMIF(58:58,YEAR(G7)&amp;"-"&amp;MONTH(G7),59:59)</f>
        <v>0</v>
      </c>
      <c r="I7" s="372"/>
      <c r="J7" s="371">
        <f>SUMIF(58:58,YEAR(I7)&amp;"-"&amp;MONTH(I7),59:59)</f>
        <v>0</v>
      </c>
      <c r="K7" s="568"/>
      <c r="L7" s="2937"/>
      <c r="M7" s="2938"/>
      <c r="N7" s="2938"/>
      <c r="O7" s="2938"/>
      <c r="P7" s="3288" t="s">
        <v>2370</v>
      </c>
      <c r="Q7" s="3316"/>
      <c r="R7" s="710" t="s">
        <v>17</v>
      </c>
      <c r="S7" s="711">
        <f t="shared" ref="S7:S15" si="0">F7</f>
        <v>0</v>
      </c>
      <c r="T7" s="710" t="s">
        <v>17</v>
      </c>
      <c r="U7" s="711">
        <f t="shared" ref="U7:U15" si="1">H7</f>
        <v>0</v>
      </c>
      <c r="V7" s="710" t="s">
        <v>17</v>
      </c>
      <c r="W7" s="711">
        <f t="shared" ref="W7:W15" si="2">J7</f>
        <v>0</v>
      </c>
      <c r="X7" s="712"/>
      <c r="Y7" s="3288" t="s">
        <v>2370</v>
      </c>
      <c r="Z7" s="3289"/>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288" t="s">
        <v>2373</v>
      </c>
      <c r="Q8" s="3289"/>
      <c r="R8" s="710" t="s">
        <v>17</v>
      </c>
      <c r="S8" s="711">
        <f t="shared" si="0"/>
        <v>0</v>
      </c>
      <c r="T8" s="710" t="s">
        <v>17</v>
      </c>
      <c r="U8" s="711">
        <f t="shared" si="1"/>
        <v>0</v>
      </c>
      <c r="V8" s="710" t="s">
        <v>17</v>
      </c>
      <c r="W8" s="711">
        <f t="shared" si="2"/>
        <v>0</v>
      </c>
      <c r="X8" s="712"/>
      <c r="Y8" s="3288" t="s">
        <v>2373</v>
      </c>
      <c r="Z8" s="3289"/>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326" t="s">
        <v>2376</v>
      </c>
      <c r="Q9" s="1527" t="str">
        <f t="shared" ref="Q9:Q15" si="6">B9</f>
        <v>用途</v>
      </c>
      <c r="R9" s="710" t="s">
        <v>17</v>
      </c>
      <c r="S9" s="711">
        <f t="shared" si="0"/>
        <v>100</v>
      </c>
      <c r="T9" s="710" t="s">
        <v>17</v>
      </c>
      <c r="U9" s="711">
        <f t="shared" si="1"/>
        <v>100</v>
      </c>
      <c r="V9" s="710" t="s">
        <v>17</v>
      </c>
      <c r="W9" s="711">
        <f t="shared" si="2"/>
        <v>100</v>
      </c>
      <c r="X9" s="712"/>
      <c r="Y9" s="32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326"/>
      <c r="Q10" s="1527" t="str">
        <f t="shared" si="6"/>
        <v>土地使用年限（年）</v>
      </c>
      <c r="R10" s="710" t="s">
        <v>17</v>
      </c>
      <c r="S10" s="711">
        <f t="shared" si="0"/>
        <v>100</v>
      </c>
      <c r="T10" s="710" t="s">
        <v>17</v>
      </c>
      <c r="U10" s="711">
        <f t="shared" si="1"/>
        <v>100</v>
      </c>
      <c r="V10" s="710" t="s">
        <v>17</v>
      </c>
      <c r="W10" s="711">
        <f t="shared" si="2"/>
        <v>100</v>
      </c>
      <c r="X10" s="712"/>
      <c r="Y10" s="325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326"/>
      <c r="Q11" s="1527" t="str">
        <f t="shared" si="6"/>
        <v>容积率</v>
      </c>
      <c r="R11" s="710" t="s">
        <v>17</v>
      </c>
      <c r="S11" s="711" t="e">
        <f t="shared" si="0"/>
        <v>#N/A</v>
      </c>
      <c r="T11" s="710" t="s">
        <v>17</v>
      </c>
      <c r="U11" s="711" t="e">
        <f t="shared" si="1"/>
        <v>#N/A</v>
      </c>
      <c r="V11" s="710" t="s">
        <v>17</v>
      </c>
      <c r="W11" s="711" t="e">
        <f t="shared" si="2"/>
        <v>#N/A</v>
      </c>
      <c r="X11" s="712"/>
      <c r="Y11" s="325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326"/>
      <c r="Q12" s="1527">
        <f t="shared" si="6"/>
        <v>111</v>
      </c>
      <c r="R12" s="710" t="s">
        <v>17</v>
      </c>
      <c r="S12" s="711">
        <f t="shared" si="0"/>
        <v>100</v>
      </c>
      <c r="T12" s="710" t="s">
        <v>17</v>
      </c>
      <c r="U12" s="711">
        <f t="shared" si="1"/>
        <v>100</v>
      </c>
      <c r="V12" s="710" t="s">
        <v>17</v>
      </c>
      <c r="W12" s="711">
        <f t="shared" si="2"/>
        <v>100</v>
      </c>
      <c r="X12" s="712"/>
      <c r="Y12" s="325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326"/>
      <c r="Q13" s="1527">
        <f t="shared" si="6"/>
        <v>111</v>
      </c>
      <c r="R13" s="710" t="s">
        <v>17</v>
      </c>
      <c r="S13" s="711">
        <f t="shared" si="0"/>
        <v>100</v>
      </c>
      <c r="T13" s="710" t="s">
        <v>17</v>
      </c>
      <c r="U13" s="711">
        <f t="shared" si="1"/>
        <v>100</v>
      </c>
      <c r="V13" s="710" t="s">
        <v>17</v>
      </c>
      <c r="W13" s="711">
        <f t="shared" si="2"/>
        <v>100</v>
      </c>
      <c r="X13" s="712"/>
      <c r="Y13" s="325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326"/>
      <c r="Q14" s="1527">
        <f t="shared" si="6"/>
        <v>111</v>
      </c>
      <c r="R14" s="710" t="s">
        <v>17</v>
      </c>
      <c r="S14" s="711">
        <f t="shared" si="0"/>
        <v>100</v>
      </c>
      <c r="T14" s="710" t="s">
        <v>17</v>
      </c>
      <c r="U14" s="711">
        <f t="shared" si="1"/>
        <v>100</v>
      </c>
      <c r="V14" s="710" t="s">
        <v>17</v>
      </c>
      <c r="W14" s="711">
        <f t="shared" si="2"/>
        <v>100</v>
      </c>
      <c r="X14" s="712"/>
      <c r="Y14" s="3258"/>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392" t="s">
        <v>2381</v>
      </c>
      <c r="Q15" s="1536" t="str">
        <f t="shared" si="6"/>
        <v>商业繁华度</v>
      </c>
      <c r="R15" s="714" t="s">
        <v>17</v>
      </c>
      <c r="S15" s="715">
        <f t="shared" si="0"/>
        <v>100</v>
      </c>
      <c r="T15" s="714" t="s">
        <v>17</v>
      </c>
      <c r="U15" s="715">
        <f t="shared" si="1"/>
        <v>100</v>
      </c>
      <c r="V15" s="714" t="s">
        <v>17</v>
      </c>
      <c r="W15" s="715">
        <f t="shared" si="2"/>
        <v>100</v>
      </c>
      <c r="X15" s="1539"/>
      <c r="Y15" s="3317"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2"/>
      <c r="M16" s="2936"/>
      <c r="N16" s="2936"/>
      <c r="O16" s="2936"/>
      <c r="P16" s="3393"/>
      <c r="Q16" s="1536"/>
      <c r="R16" s="714"/>
      <c r="S16" s="715"/>
      <c r="T16" s="714"/>
      <c r="U16" s="715"/>
      <c r="V16" s="714"/>
      <c r="W16" s="715"/>
      <c r="X16" s="1539"/>
      <c r="Y16" s="331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393"/>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2"/>
      <c r="M18" s="2936"/>
      <c r="N18" s="2936"/>
      <c r="O18" s="2936"/>
      <c r="P18" s="3393"/>
      <c r="Q18" s="1536"/>
      <c r="R18" s="714"/>
      <c r="S18" s="715"/>
      <c r="T18" s="714"/>
      <c r="U18" s="715"/>
      <c r="V18" s="714"/>
      <c r="W18" s="715"/>
      <c r="X18" s="1539"/>
      <c r="Y18" s="3318"/>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393"/>
      <c r="Q19" s="1536" t="str">
        <f>B19</f>
        <v>公共配套设施</v>
      </c>
      <c r="R19" s="714" t="s">
        <v>17</v>
      </c>
      <c r="S19" s="715">
        <f>F19</f>
        <v>100</v>
      </c>
      <c r="T19" s="714" t="s">
        <v>17</v>
      </c>
      <c r="U19" s="715">
        <f>H19</f>
        <v>100</v>
      </c>
      <c r="V19" s="714" t="s">
        <v>17</v>
      </c>
      <c r="W19" s="715">
        <f>J19</f>
        <v>100</v>
      </c>
      <c r="X19" s="1539"/>
      <c r="Y19" s="331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2"/>
      <c r="M20" s="2936"/>
      <c r="N20" s="2936"/>
      <c r="O20" s="2936"/>
      <c r="P20" s="3393"/>
      <c r="Q20" s="1536"/>
      <c r="R20" s="714"/>
      <c r="S20" s="715"/>
      <c r="T20" s="714"/>
      <c r="U20" s="715"/>
      <c r="V20" s="714"/>
      <c r="W20" s="715"/>
      <c r="X20" s="1539"/>
      <c r="Y20" s="3318"/>
      <c r="Z20" s="1540"/>
      <c r="AA20" s="1537">
        <v>1</v>
      </c>
      <c r="AB20" s="1537">
        <v>1</v>
      </c>
      <c r="AC20" s="1537">
        <v>1</v>
      </c>
    </row>
    <row r="21" spans="1:29" ht="28.5">
      <c r="A21" s="387"/>
      <c r="B21" s="1292"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393"/>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2942"/>
      <c r="M22" s="2936"/>
      <c r="N22" s="2936"/>
      <c r="O22" s="2936"/>
      <c r="P22" s="3393"/>
      <c r="Q22" s="1536"/>
      <c r="R22" s="714"/>
      <c r="S22" s="715"/>
      <c r="T22" s="714"/>
      <c r="U22" s="715"/>
      <c r="V22" s="714"/>
      <c r="W22" s="715"/>
      <c r="X22" s="1539"/>
      <c r="Y22" s="3318"/>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393"/>
      <c r="Q23" s="1536" t="str">
        <f>B23</f>
        <v>自然及人文环境</v>
      </c>
      <c r="R23" s="714" t="s">
        <v>17</v>
      </c>
      <c r="S23" s="715">
        <f>F23</f>
        <v>100</v>
      </c>
      <c r="T23" s="714" t="s">
        <v>17</v>
      </c>
      <c r="U23" s="715">
        <f>H23</f>
        <v>100</v>
      </c>
      <c r="V23" s="714" t="s">
        <v>17</v>
      </c>
      <c r="W23" s="715">
        <f>J23</f>
        <v>100</v>
      </c>
      <c r="X23" s="1539"/>
      <c r="Y23" s="3318"/>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2"/>
      <c r="M24" s="2936"/>
      <c r="N24" s="2936"/>
      <c r="O24" s="2936"/>
      <c r="P24" s="3393"/>
      <c r="Q24" s="1536"/>
      <c r="R24" s="714"/>
      <c r="S24" s="715"/>
      <c r="T24" s="714"/>
      <c r="U24" s="715"/>
      <c r="V24" s="714"/>
      <c r="W24" s="715"/>
      <c r="X24" s="1539"/>
      <c r="Y24" s="3318"/>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393"/>
      <c r="Q25" s="1536" t="str">
        <f t="shared" ref="Q25:Q46" si="11">B25</f>
        <v>临街状况</v>
      </c>
      <c r="R25" s="714" t="s">
        <v>17</v>
      </c>
      <c r="S25" s="715">
        <f>F25</f>
        <v>100</v>
      </c>
      <c r="T25" s="714" t="s">
        <v>17</v>
      </c>
      <c r="U25" s="715">
        <f>H25</f>
        <v>100</v>
      </c>
      <c r="V25" s="714" t="s">
        <v>17</v>
      </c>
      <c r="W25" s="715">
        <f>J25</f>
        <v>100</v>
      </c>
      <c r="X25" s="1539"/>
      <c r="Y25" s="3318"/>
      <c r="Z25" s="1540" t="str">
        <f>Q25</f>
        <v>临街状况</v>
      </c>
      <c r="AA25" s="1537">
        <f t="shared" si="3"/>
        <v>1</v>
      </c>
      <c r="AB25" s="1537">
        <f t="shared" si="4"/>
        <v>1</v>
      </c>
      <c r="AC25" s="1537">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393"/>
      <c r="Q26" s="1536" t="str">
        <f t="shared" si="11"/>
        <v>平面位置/可视性</v>
      </c>
      <c r="R26" s="714" t="s">
        <v>17</v>
      </c>
      <c r="S26" s="715">
        <f>F26</f>
        <v>100</v>
      </c>
      <c r="T26" s="714" t="s">
        <v>17</v>
      </c>
      <c r="U26" s="715">
        <f>H26</f>
        <v>100</v>
      </c>
      <c r="V26" s="714" t="s">
        <v>17</v>
      </c>
      <c r="W26" s="715">
        <f>J26</f>
        <v>100</v>
      </c>
      <c r="X26" s="1539"/>
      <c r="Y26" s="3318"/>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37"/>
      <c r="M27" s="2938"/>
      <c r="N27" s="2938"/>
      <c r="O27" s="2938"/>
      <c r="P27" s="3393"/>
      <c r="Q27" s="1527" t="str">
        <f t="shared" si="11"/>
        <v>人流量</v>
      </c>
      <c r="R27" s="710" t="s">
        <v>17</v>
      </c>
      <c r="S27" s="711">
        <f>F27</f>
        <v>100</v>
      </c>
      <c r="T27" s="710" t="s">
        <v>17</v>
      </c>
      <c r="U27" s="711">
        <f>H27</f>
        <v>100</v>
      </c>
      <c r="V27" s="710" t="s">
        <v>17</v>
      </c>
      <c r="W27" s="711">
        <f>J27</f>
        <v>100</v>
      </c>
      <c r="X27" s="712"/>
      <c r="Y27" s="3318"/>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39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8"/>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393"/>
      <c r="Q29" s="1536">
        <f t="shared" si="11"/>
        <v>111</v>
      </c>
      <c r="R29" s="714" t="s">
        <v>17</v>
      </c>
      <c r="S29" s="715">
        <f t="shared" si="12"/>
        <v>100</v>
      </c>
      <c r="T29" s="714" t="s">
        <v>17</v>
      </c>
      <c r="U29" s="715">
        <f t="shared" si="13"/>
        <v>100</v>
      </c>
      <c r="V29" s="714" t="s">
        <v>17</v>
      </c>
      <c r="W29" s="715">
        <f t="shared" si="14"/>
        <v>100</v>
      </c>
      <c r="X29" s="1539"/>
      <c r="Y29" s="3318"/>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393"/>
      <c r="Q30" s="1536">
        <f t="shared" si="11"/>
        <v>111</v>
      </c>
      <c r="R30" s="714" t="s">
        <v>17</v>
      </c>
      <c r="S30" s="715">
        <f t="shared" si="12"/>
        <v>100</v>
      </c>
      <c r="T30" s="714" t="s">
        <v>17</v>
      </c>
      <c r="U30" s="715">
        <f t="shared" si="13"/>
        <v>100</v>
      </c>
      <c r="V30" s="714" t="s">
        <v>17</v>
      </c>
      <c r="W30" s="715">
        <f t="shared" si="14"/>
        <v>100</v>
      </c>
      <c r="X30" s="1539"/>
      <c r="Y30" s="3318"/>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393"/>
      <c r="Q31" s="1536">
        <f t="shared" si="11"/>
        <v>111</v>
      </c>
      <c r="R31" s="714" t="s">
        <v>17</v>
      </c>
      <c r="S31" s="715">
        <f t="shared" si="12"/>
        <v>100</v>
      </c>
      <c r="T31" s="714" t="s">
        <v>17</v>
      </c>
      <c r="U31" s="715">
        <f t="shared" si="13"/>
        <v>100</v>
      </c>
      <c r="V31" s="714" t="s">
        <v>17</v>
      </c>
      <c r="W31" s="715">
        <f t="shared" si="14"/>
        <v>100</v>
      </c>
      <c r="X31" s="1539"/>
      <c r="Y31" s="3318"/>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2"/>
      <c r="M32" s="2936"/>
      <c r="N32" s="2936"/>
      <c r="O32" s="2936"/>
      <c r="P32" s="3388" t="s">
        <v>2386</v>
      </c>
      <c r="Q32" s="1536" t="str">
        <f t="shared" si="11"/>
        <v>商业类型</v>
      </c>
      <c r="R32" s="714" t="s">
        <v>17</v>
      </c>
      <c r="S32" s="715">
        <f t="shared" si="12"/>
        <v>100</v>
      </c>
      <c r="T32" s="714" t="s">
        <v>17</v>
      </c>
      <c r="U32" s="715">
        <f t="shared" si="13"/>
        <v>100</v>
      </c>
      <c r="V32" s="714" t="s">
        <v>17</v>
      </c>
      <c r="W32" s="715">
        <f t="shared" si="14"/>
        <v>100</v>
      </c>
      <c r="X32" s="1539"/>
      <c r="Y32" s="3320"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389"/>
      <c r="Q33" s="716" t="str">
        <f t="shared" si="11"/>
        <v>项目建筑规模</v>
      </c>
      <c r="R33" s="717" t="s">
        <v>17</v>
      </c>
      <c r="S33" s="718" t="e">
        <f t="shared" si="12"/>
        <v>#N/A</v>
      </c>
      <c r="T33" s="717" t="s">
        <v>17</v>
      </c>
      <c r="U33" s="718" t="e">
        <f t="shared" si="13"/>
        <v>#N/A</v>
      </c>
      <c r="V33" s="717" t="s">
        <v>17</v>
      </c>
      <c r="W33" s="718" t="e">
        <f t="shared" si="14"/>
        <v>#N/A</v>
      </c>
      <c r="X33" s="719"/>
      <c r="Y33" s="3320"/>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2"/>
      <c r="M34" s="2936"/>
      <c r="N34" s="2936"/>
      <c r="O34" s="2936"/>
      <c r="P34" s="3389"/>
      <c r="Q34" s="1536" t="str">
        <f t="shared" si="11"/>
        <v>建筑结构</v>
      </c>
      <c r="R34" s="714" t="s">
        <v>17</v>
      </c>
      <c r="S34" s="715">
        <f t="shared" si="12"/>
        <v>100</v>
      </c>
      <c r="T34" s="714" t="s">
        <v>17</v>
      </c>
      <c r="U34" s="715">
        <f t="shared" si="13"/>
        <v>100</v>
      </c>
      <c r="V34" s="714" t="s">
        <v>17</v>
      </c>
      <c r="W34" s="715">
        <f t="shared" si="14"/>
        <v>100</v>
      </c>
      <c r="X34" s="1539"/>
      <c r="Y34" s="3320"/>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2"/>
      <c r="M35" s="2936"/>
      <c r="N35" s="2936"/>
      <c r="O35" s="2936"/>
      <c r="P35" s="3389"/>
      <c r="Q35" s="1536" t="str">
        <f t="shared" si="11"/>
        <v>公共部分装修</v>
      </c>
      <c r="R35" s="714" t="s">
        <v>17</v>
      </c>
      <c r="S35" s="715">
        <f t="shared" si="12"/>
        <v>100</v>
      </c>
      <c r="T35" s="714" t="s">
        <v>17</v>
      </c>
      <c r="U35" s="715">
        <f t="shared" si="13"/>
        <v>100</v>
      </c>
      <c r="V35" s="714" t="s">
        <v>17</v>
      </c>
      <c r="W35" s="715">
        <f t="shared" si="14"/>
        <v>100</v>
      </c>
      <c r="X35" s="1539"/>
      <c r="Y35" s="3320"/>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389"/>
      <c r="Q36" s="1536" t="str">
        <f t="shared" si="11"/>
        <v>成新度</v>
      </c>
      <c r="R36" s="714" t="s">
        <v>17</v>
      </c>
      <c r="S36" s="715" t="e">
        <f t="shared" si="12"/>
        <v>#N/A</v>
      </c>
      <c r="T36" s="714" t="s">
        <v>17</v>
      </c>
      <c r="U36" s="715" t="e">
        <f t="shared" si="13"/>
        <v>#N/A</v>
      </c>
      <c r="V36" s="714" t="s">
        <v>17</v>
      </c>
      <c r="W36" s="715" t="e">
        <f t="shared" si="14"/>
        <v>#N/A</v>
      </c>
      <c r="X36" s="1539"/>
      <c r="Y36" s="3320"/>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7"/>
      <c r="M37" s="2938"/>
      <c r="N37" s="2938"/>
      <c r="O37" s="2938"/>
      <c r="P37" s="3389"/>
      <c r="Q37" s="1527" t="str">
        <f t="shared" si="11"/>
        <v>市政基础设施</v>
      </c>
      <c r="R37" s="710" t="s">
        <v>17</v>
      </c>
      <c r="S37" s="711">
        <f t="shared" si="12"/>
        <v>100</v>
      </c>
      <c r="T37" s="710" t="s">
        <v>17</v>
      </c>
      <c r="U37" s="711">
        <f t="shared" si="13"/>
        <v>100</v>
      </c>
      <c r="V37" s="710" t="s">
        <v>17</v>
      </c>
      <c r="W37" s="711">
        <f t="shared" si="14"/>
        <v>100</v>
      </c>
      <c r="X37" s="712"/>
      <c r="Y37" s="332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2"/>
      <c r="M38" s="2936"/>
      <c r="N38" s="2936"/>
      <c r="O38" s="2936"/>
      <c r="P38" s="3389" t="s">
        <v>2386</v>
      </c>
      <c r="Q38" s="1536" t="str">
        <f t="shared" si="11"/>
        <v>业态</v>
      </c>
      <c r="R38" s="714" t="s">
        <v>17</v>
      </c>
      <c r="S38" s="715">
        <f t="shared" si="12"/>
        <v>100</v>
      </c>
      <c r="T38" s="714" t="s">
        <v>17</v>
      </c>
      <c r="U38" s="715">
        <f t="shared" si="13"/>
        <v>100</v>
      </c>
      <c r="V38" s="714" t="s">
        <v>17</v>
      </c>
      <c r="W38" s="715">
        <f t="shared" si="14"/>
        <v>100</v>
      </c>
      <c r="X38" s="1539"/>
      <c r="Y38" s="3320"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2"/>
      <c r="M39" s="2936"/>
      <c r="N39" s="2936"/>
      <c r="O39" s="2936"/>
      <c r="P39" s="3389"/>
      <c r="Q39" s="1536" t="str">
        <f t="shared" si="11"/>
        <v>层高</v>
      </c>
      <c r="R39" s="714" t="s">
        <v>17</v>
      </c>
      <c r="S39" s="715">
        <f t="shared" si="12"/>
        <v>100</v>
      </c>
      <c r="T39" s="714" t="s">
        <v>17</v>
      </c>
      <c r="U39" s="715">
        <f t="shared" si="13"/>
        <v>100</v>
      </c>
      <c r="V39" s="714" t="s">
        <v>17</v>
      </c>
      <c r="W39" s="715">
        <f t="shared" si="14"/>
        <v>100</v>
      </c>
      <c r="X39" s="1539"/>
      <c r="Y39" s="3320"/>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389"/>
      <c r="Q40" s="1536" t="str">
        <f t="shared" si="11"/>
        <v>单套建筑面积</v>
      </c>
      <c r="R40" s="714" t="s">
        <v>17</v>
      </c>
      <c r="S40" s="715">
        <f t="shared" si="12"/>
        <v>100</v>
      </c>
      <c r="T40" s="714" t="s">
        <v>17</v>
      </c>
      <c r="U40" s="715">
        <f t="shared" si="13"/>
        <v>100</v>
      </c>
      <c r="V40" s="714" t="s">
        <v>17</v>
      </c>
      <c r="W40" s="715">
        <f t="shared" si="14"/>
        <v>100</v>
      </c>
      <c r="X40" s="1539"/>
      <c r="Y40" s="3320"/>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389"/>
      <c r="Q41" s="716" t="str">
        <f t="shared" si="11"/>
        <v>进深比</v>
      </c>
      <c r="R41" s="717" t="s">
        <v>17</v>
      </c>
      <c r="S41" s="718">
        <f t="shared" si="12"/>
        <v>100</v>
      </c>
      <c r="T41" s="717" t="s">
        <v>17</v>
      </c>
      <c r="U41" s="718">
        <f t="shared" si="13"/>
        <v>100</v>
      </c>
      <c r="V41" s="717" t="s">
        <v>17</v>
      </c>
      <c r="W41" s="718">
        <f t="shared" si="14"/>
        <v>100</v>
      </c>
      <c r="X41" s="719"/>
      <c r="Y41" s="3320"/>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2"/>
      <c r="M42" s="2936"/>
      <c r="N42" s="2936"/>
      <c r="O42" s="2936"/>
      <c r="P42" s="3389"/>
      <c r="Q42" s="1536" t="str">
        <f t="shared" si="11"/>
        <v>内部装修</v>
      </c>
      <c r="R42" s="714" t="s">
        <v>17</v>
      </c>
      <c r="S42" s="715">
        <f t="shared" si="12"/>
        <v>100</v>
      </c>
      <c r="T42" s="714" t="s">
        <v>17</v>
      </c>
      <c r="U42" s="715">
        <f t="shared" si="13"/>
        <v>100</v>
      </c>
      <c r="V42" s="714" t="s">
        <v>17</v>
      </c>
      <c r="W42" s="715">
        <f t="shared" si="14"/>
        <v>100</v>
      </c>
      <c r="X42" s="1539"/>
      <c r="Y42" s="3320"/>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2"/>
      <c r="M43" s="2936"/>
      <c r="N43" s="2936"/>
      <c r="O43" s="2936"/>
      <c r="P43" s="3389"/>
      <c r="Q43" s="1536" t="str">
        <f t="shared" si="11"/>
        <v>内部装修维护情况</v>
      </c>
      <c r="R43" s="714" t="s">
        <v>17</v>
      </c>
      <c r="S43" s="715">
        <f t="shared" si="12"/>
        <v>100</v>
      </c>
      <c r="T43" s="714" t="s">
        <v>17</v>
      </c>
      <c r="U43" s="715">
        <f t="shared" si="13"/>
        <v>100</v>
      </c>
      <c r="V43" s="714" t="s">
        <v>17</v>
      </c>
      <c r="W43" s="715">
        <f t="shared" si="14"/>
        <v>100</v>
      </c>
      <c r="X43" s="1539"/>
      <c r="Y43" s="3320"/>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389"/>
      <c r="Q44" s="1527">
        <f t="shared" si="11"/>
        <v>111</v>
      </c>
      <c r="R44" s="710" t="s">
        <v>17</v>
      </c>
      <c r="S44" s="711">
        <f t="shared" si="12"/>
        <v>100</v>
      </c>
      <c r="T44" s="710" t="s">
        <v>17</v>
      </c>
      <c r="U44" s="711">
        <f t="shared" si="13"/>
        <v>100</v>
      </c>
      <c r="V44" s="710" t="s">
        <v>17</v>
      </c>
      <c r="W44" s="711">
        <f t="shared" si="14"/>
        <v>100</v>
      </c>
      <c r="X44" s="712"/>
      <c r="Y44" s="3320"/>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389"/>
      <c r="Q45" s="1536">
        <f t="shared" si="11"/>
        <v>111</v>
      </c>
      <c r="R45" s="714" t="s">
        <v>17</v>
      </c>
      <c r="S45" s="715">
        <f t="shared" si="12"/>
        <v>100</v>
      </c>
      <c r="T45" s="714" t="s">
        <v>17</v>
      </c>
      <c r="U45" s="715">
        <f t="shared" si="13"/>
        <v>100</v>
      </c>
      <c r="V45" s="714" t="s">
        <v>17</v>
      </c>
      <c r="W45" s="715">
        <f t="shared" si="14"/>
        <v>100</v>
      </c>
      <c r="X45" s="1539"/>
      <c r="Y45" s="332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390"/>
      <c r="Q46" s="1536">
        <f t="shared" si="11"/>
        <v>111</v>
      </c>
      <c r="R46" s="714" t="s">
        <v>17</v>
      </c>
      <c r="S46" s="715">
        <f t="shared" si="12"/>
        <v>100</v>
      </c>
      <c r="T46" s="714" t="s">
        <v>17</v>
      </c>
      <c r="U46" s="715">
        <f t="shared" si="13"/>
        <v>100</v>
      </c>
      <c r="V46" s="714" t="s">
        <v>17</v>
      </c>
      <c r="W46" s="715">
        <f t="shared" si="14"/>
        <v>100</v>
      </c>
      <c r="X46" s="1539"/>
      <c r="Y46" s="3391"/>
      <c r="Z46" s="1540">
        <f t="shared" si="15"/>
        <v>111</v>
      </c>
      <c r="AA46" s="1537">
        <f t="shared" si="3"/>
        <v>1</v>
      </c>
      <c r="AB46" s="1537">
        <f t="shared" si="4"/>
        <v>1</v>
      </c>
      <c r="AC46" s="1537">
        <f t="shared" si="5"/>
        <v>1</v>
      </c>
    </row>
    <row r="47" spans="1:29" ht="15">
      <c r="A47" s="438" t="s">
        <v>2398</v>
      </c>
      <c r="B47" s="439"/>
      <c r="C47" s="1315" t="s">
        <v>1</v>
      </c>
      <c r="D47" s="1316"/>
      <c r="E47" s="1317"/>
      <c r="F47" s="1318"/>
      <c r="G47" s="1319"/>
      <c r="H47" s="1320"/>
      <c r="I47" s="1317"/>
      <c r="J47" s="1320"/>
      <c r="K47" s="723"/>
      <c r="L47" s="2944"/>
      <c r="M47" s="2945"/>
      <c r="N47" s="2936"/>
      <c r="O47" s="2945"/>
      <c r="P47" s="3302" t="str">
        <f>A47</f>
        <v>成交单价（元/平方米）</v>
      </c>
      <c r="Q47" s="3302"/>
      <c r="R47" s="3315">
        <f>E47</f>
        <v>0</v>
      </c>
      <c r="S47" s="3315"/>
      <c r="T47" s="3315">
        <f>G47</f>
        <v>0</v>
      </c>
      <c r="U47" s="3315"/>
      <c r="V47" s="3315">
        <f>I47</f>
        <v>0</v>
      </c>
      <c r="W47" s="3315"/>
      <c r="X47" s="699"/>
      <c r="Y47" s="721"/>
      <c r="Z47" s="699"/>
      <c r="AA47" s="699"/>
      <c r="AB47" s="699"/>
      <c r="AC47" s="699"/>
    </row>
    <row r="48" spans="1:29" ht="15.75" thickBot="1">
      <c r="A48" s="445" t="s">
        <v>2490</v>
      </c>
      <c r="B48" s="446"/>
      <c r="C48" s="1321" t="e">
        <f>R49</f>
        <v>#DIV/0!</v>
      </c>
      <c r="D48" s="2529" t="s">
        <v>2879</v>
      </c>
      <c r="E48" s="1322" t="e">
        <f>R48</f>
        <v>#DIV/0!</v>
      </c>
      <c r="F48" s="2530"/>
      <c r="G48" s="1321" t="e">
        <f>T48</f>
        <v>#DIV/0!</v>
      </c>
      <c r="H48" s="2530"/>
      <c r="I48" s="1322" t="e">
        <f>V48</f>
        <v>#DIV/0!</v>
      </c>
      <c r="J48" s="2530"/>
      <c r="K48" s="2532">
        <f>F48+H48+J48</f>
        <v>0</v>
      </c>
      <c r="L48" s="2944"/>
      <c r="M48" s="2945"/>
      <c r="N48" s="2936"/>
      <c r="O48" s="2945"/>
      <c r="P48" s="3302" t="str">
        <f>A48</f>
        <v>比较价值（元/平方米）</v>
      </c>
      <c r="Q48" s="3302"/>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44"/>
      <c r="M49" s="2945"/>
      <c r="N49" s="2936"/>
      <c r="O49" s="2945"/>
      <c r="P49" s="3322" t="str">
        <f>A49</f>
        <v>估价对象XX用房的比较价值（楼面单价，元/平方米）</v>
      </c>
      <c r="Q49" s="3323"/>
      <c r="R49" s="3386" t="e">
        <f>IF(F1="售价",ROUND(IF(D48="简单平均",AVERAGE(R48:V48),R48*F48+T48*H48+V48*J48),0),ROUND(IF(D48="简单平均",AVERAGE(R48:V48),R48*F48+T48*H48+V48*J48),1))</f>
        <v>#DIV/0!</v>
      </c>
      <c r="S49" s="3386"/>
      <c r="T49" s="3386"/>
      <c r="U49" s="3386"/>
      <c r="V49" s="3386"/>
      <c r="W49" s="3386"/>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3" t="s">
        <v>2495</v>
      </c>
      <c r="B57" s="699"/>
      <c r="C57" s="704"/>
      <c r="D57" s="704"/>
      <c r="E57" s="704"/>
      <c r="F57" s="705"/>
      <c r="G57" s="705"/>
      <c r="H57" s="704"/>
      <c r="I57" s="704"/>
      <c r="J57" s="704"/>
      <c r="K57" s="706"/>
      <c r="L57" s="1073"/>
      <c r="M57" s="1071"/>
      <c r="N57" s="1071"/>
      <c r="O57" s="1071"/>
      <c r="P57" s="2958"/>
      <c r="Q57" s="2959"/>
      <c r="R57" s="2945"/>
      <c r="S57" s="2945"/>
      <c r="T57" s="2945"/>
      <c r="U57" s="2945"/>
      <c r="V57" s="2945"/>
      <c r="W57" s="2945"/>
      <c r="X57" s="2945"/>
      <c r="Y57" s="2945"/>
      <c r="Z57" s="2945"/>
      <c r="AA57" s="2945"/>
      <c r="AB57" s="2945"/>
      <c r="AC57" s="2945"/>
    </row>
    <row r="58" spans="1:29" s="465" customFormat="1" ht="15">
      <c r="A58" s="462" t="s">
        <v>2369</v>
      </c>
      <c r="B58" s="463"/>
      <c r="C58" s="1345" t="str">
        <f>YEAR(C7)&amp;"-"&amp;MONTH(C7)</f>
        <v>2022-1</v>
      </c>
      <c r="D58" s="1346">
        <f>EDATE(C58,-1)</f>
        <v>44531</v>
      </c>
      <c r="E58" s="1346">
        <f t="shared" ref="E58:N58" si="16">EDATE(D58,-1)</f>
        <v>44501</v>
      </c>
      <c r="F58" s="1346">
        <f t="shared" si="16"/>
        <v>44470</v>
      </c>
      <c r="G58" s="1346">
        <f t="shared" si="16"/>
        <v>44440</v>
      </c>
      <c r="H58" s="1346">
        <f t="shared" si="16"/>
        <v>44409</v>
      </c>
      <c r="I58" s="1346">
        <f t="shared" si="16"/>
        <v>44378</v>
      </c>
      <c r="J58" s="1346">
        <f t="shared" si="16"/>
        <v>44348</v>
      </c>
      <c r="K58" s="1346">
        <f t="shared" si="16"/>
        <v>44317</v>
      </c>
      <c r="L58" s="1346">
        <f t="shared" si="16"/>
        <v>44287</v>
      </c>
      <c r="M58" s="1346">
        <f t="shared" si="16"/>
        <v>44256</v>
      </c>
      <c r="N58" s="1346">
        <f t="shared" si="16"/>
        <v>44228</v>
      </c>
      <c r="O58" s="1346">
        <f>EDATE(N58,-1)</f>
        <v>44197</v>
      </c>
      <c r="P58" s="2960"/>
      <c r="Q58" s="2961"/>
      <c r="R58" s="2961"/>
      <c r="S58" s="2961"/>
      <c r="T58" s="2961"/>
      <c r="U58" s="2961"/>
      <c r="V58" s="2961"/>
      <c r="W58" s="2961"/>
      <c r="X58" s="2961"/>
      <c r="Y58" s="2961"/>
      <c r="Z58" s="2961"/>
      <c r="AA58" s="2961"/>
      <c r="AB58" s="2961"/>
      <c r="AC58" s="2961"/>
    </row>
    <row r="59" spans="1:29" s="113" customFormat="1" ht="15">
      <c r="A59" s="466"/>
      <c r="B59" s="467"/>
      <c r="C59" s="1344">
        <v>100</v>
      </c>
      <c r="D59" s="469"/>
      <c r="E59" s="469"/>
      <c r="F59" s="469"/>
      <c r="G59" s="469"/>
      <c r="H59" s="469"/>
      <c r="I59" s="469"/>
      <c r="J59" s="469"/>
      <c r="K59" s="469"/>
      <c r="L59" s="469"/>
      <c r="M59" s="470"/>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2406</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2371</v>
      </c>
      <c r="B61" s="467"/>
      <c r="C61" s="479" t="s">
        <v>2473</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2409</v>
      </c>
      <c r="B63" s="485" t="s">
        <v>2375</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2380</v>
      </c>
      <c r="B76" s="485" t="s">
        <v>2417</v>
      </c>
      <c r="C76" s="530" t="s">
        <v>2418</v>
      </c>
      <c r="D76" s="530" t="s">
        <v>2419</v>
      </c>
      <c r="E76" s="530" t="s">
        <v>2420</v>
      </c>
      <c r="F76" s="530" t="s">
        <v>2421</v>
      </c>
      <c r="G76" s="530" t="s">
        <v>2422</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2423</v>
      </c>
      <c r="C78" s="535" t="s">
        <v>2418</v>
      </c>
      <c r="D78" s="535" t="s">
        <v>2419</v>
      </c>
      <c r="E78" s="535" t="s">
        <v>2420</v>
      </c>
      <c r="F78" s="535" t="s">
        <v>2421</v>
      </c>
      <c r="G78" s="535" t="s">
        <v>2422</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2424</v>
      </c>
      <c r="C80" s="535" t="s">
        <v>2418</v>
      </c>
      <c r="D80" s="535" t="s">
        <v>2419</v>
      </c>
      <c r="E80" s="535" t="s">
        <v>2420</v>
      </c>
      <c r="F80" s="535" t="s">
        <v>2421</v>
      </c>
      <c r="G80" s="535" t="s">
        <v>2422</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2476</v>
      </c>
      <c r="C82" s="616" t="s">
        <v>2496</v>
      </c>
      <c r="D82" s="616" t="s">
        <v>2497</v>
      </c>
      <c r="E82" s="616" t="s">
        <v>2498</v>
      </c>
      <c r="F82" s="616" t="s">
        <v>2499</v>
      </c>
      <c r="G82" s="616" t="s">
        <v>2500</v>
      </c>
      <c r="H82" s="496"/>
      <c r="I82" s="496"/>
      <c r="J82" s="496"/>
      <c r="K82" s="496"/>
      <c r="L82" s="496"/>
      <c r="M82" s="1290"/>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2430</v>
      </c>
      <c r="C84" s="535" t="s">
        <v>2418</v>
      </c>
      <c r="D84" s="535" t="s">
        <v>2419</v>
      </c>
      <c r="E84" s="535" t="s">
        <v>2420</v>
      </c>
      <c r="F84" s="535" t="s">
        <v>2421</v>
      </c>
      <c r="G84" s="535" t="s">
        <v>2422</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2501</v>
      </c>
      <c r="C86" s="511"/>
      <c r="D86" s="511"/>
      <c r="E86" s="511"/>
      <c r="F86" s="511"/>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13"/>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14"/>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2384</v>
      </c>
      <c r="B100" s="485" t="s">
        <v>2502</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2435</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2437</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2439</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2503</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2504</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2505</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2506</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2441</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14"/>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2507</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7"/>
      <c r="D2" s="1274" t="e">
        <f ca="1">SUMIF(INDIRECT("'"&amp;F2&amp;"'"&amp;"!A:A"),"承租人权益价值",INDIRECT("'"&amp;F2&amp;"'"&amp;"!c:c"))</f>
        <v>#REF!</v>
      </c>
      <c r="E2" s="2068" t="s">
        <v>2149</v>
      </c>
      <c r="F2" s="2069"/>
      <c r="G2" s="1039"/>
      <c r="H2" s="1039"/>
      <c r="I2" s="1039"/>
      <c r="J2" s="1039"/>
      <c r="K2" s="1039"/>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114107.98000000001</v>
      </c>
      <c r="E3" s="2140"/>
      <c r="F3" s="1040"/>
      <c r="G3" s="1039"/>
      <c r="H3" s="1039"/>
      <c r="I3" s="1039"/>
      <c r="J3" s="1039"/>
      <c r="K3" s="1041"/>
      <c r="L3" s="2954"/>
      <c r="M3" s="2955"/>
      <c r="N3" s="2955"/>
      <c r="O3" s="2955"/>
      <c r="P3" s="708"/>
      <c r="Q3" s="708"/>
      <c r="R3" s="708"/>
      <c r="S3" s="708"/>
      <c r="T3" s="708"/>
      <c r="U3" s="708"/>
      <c r="V3" s="708"/>
      <c r="W3" s="708"/>
      <c r="X3" s="708"/>
      <c r="Y3" s="708"/>
      <c r="Z3" s="708"/>
      <c r="AA3" s="708"/>
      <c r="AB3" s="708"/>
      <c r="AC3" s="709"/>
    </row>
    <row r="4" spans="1:29" ht="15">
      <c r="A4" s="361" t="s">
        <v>2466</v>
      </c>
      <c r="B4" s="362"/>
      <c r="C4" s="3303" t="s">
        <v>2467</v>
      </c>
      <c r="D4" s="3304"/>
      <c r="E4" s="3305" t="s">
        <v>2468</v>
      </c>
      <c r="F4" s="3306"/>
      <c r="G4" s="3303" t="s">
        <v>2469</v>
      </c>
      <c r="H4" s="3304"/>
      <c r="I4" s="3303" t="s">
        <v>2470</v>
      </c>
      <c r="J4" s="3304"/>
      <c r="K4" s="567" t="s">
        <v>2471</v>
      </c>
      <c r="L4" s="2935"/>
      <c r="M4" s="2936"/>
      <c r="N4" s="2936"/>
      <c r="O4" s="2936"/>
      <c r="P4" s="3400" t="s">
        <v>2472</v>
      </c>
      <c r="Q4" s="3401"/>
      <c r="R4" s="3395" t="s">
        <v>2468</v>
      </c>
      <c r="S4" s="3396"/>
      <c r="T4" s="3395" t="s">
        <v>2469</v>
      </c>
      <c r="U4" s="3396"/>
      <c r="V4" s="3404" t="s">
        <v>2470</v>
      </c>
      <c r="W4" s="3404"/>
      <c r="X4" s="2144"/>
      <c r="Y4" s="3395" t="s">
        <v>2472</v>
      </c>
      <c r="Z4" s="3396"/>
      <c r="AA4" s="3394" t="s">
        <v>2468</v>
      </c>
      <c r="AB4" s="3394" t="s">
        <v>2469</v>
      </c>
      <c r="AC4" s="3397" t="s">
        <v>2470</v>
      </c>
    </row>
    <row r="5" spans="1:29" ht="15">
      <c r="A5" s="364"/>
      <c r="B5" s="365"/>
      <c r="C5" s="3296" t="s">
        <v>2363</v>
      </c>
      <c r="D5" s="3297"/>
      <c r="E5" s="3294" t="s">
        <v>2364</v>
      </c>
      <c r="F5" s="3295"/>
      <c r="G5" s="3296" t="s">
        <v>2365</v>
      </c>
      <c r="H5" s="3297"/>
      <c r="I5" s="3296" t="s">
        <v>2366</v>
      </c>
      <c r="J5" s="3297"/>
      <c r="K5" s="567"/>
      <c r="L5" s="2935"/>
      <c r="M5" s="2936"/>
      <c r="N5" s="2936"/>
      <c r="O5" s="2936"/>
      <c r="P5" s="3402"/>
      <c r="Q5" s="3310"/>
      <c r="R5" s="3292"/>
      <c r="S5" s="3293"/>
      <c r="T5" s="3292"/>
      <c r="U5" s="3293"/>
      <c r="V5" s="3315"/>
      <c r="W5" s="3315"/>
      <c r="X5" s="1539"/>
      <c r="Y5" s="3292"/>
      <c r="Z5" s="3293"/>
      <c r="AA5" s="3286"/>
      <c r="AB5" s="3286"/>
      <c r="AC5" s="3398"/>
    </row>
    <row r="6" spans="1:29" ht="15.75" thickBot="1">
      <c r="A6" s="366"/>
      <c r="B6" s="367"/>
      <c r="C6" s="3298" t="s">
        <v>2367</v>
      </c>
      <c r="D6" s="3299"/>
      <c r="E6" s="3300" t="s">
        <v>2367</v>
      </c>
      <c r="F6" s="3301"/>
      <c r="G6" s="3298" t="s">
        <v>2367</v>
      </c>
      <c r="H6" s="3299"/>
      <c r="I6" s="3298" t="s">
        <v>2367</v>
      </c>
      <c r="J6" s="3299"/>
      <c r="K6" s="567" t="s">
        <v>2368</v>
      </c>
      <c r="L6" s="2935"/>
      <c r="M6" s="2936"/>
      <c r="N6" s="2936"/>
      <c r="O6" s="2936"/>
      <c r="P6" s="3403"/>
      <c r="Q6" s="3312"/>
      <c r="R6" s="3292"/>
      <c r="S6" s="3293"/>
      <c r="T6" s="3313"/>
      <c r="U6" s="3314"/>
      <c r="V6" s="3315"/>
      <c r="W6" s="3315"/>
      <c r="X6" s="1539"/>
      <c r="Y6" s="3313"/>
      <c r="Z6" s="3314"/>
      <c r="AA6" s="3287"/>
      <c r="AB6" s="3287"/>
      <c r="AC6" s="3399"/>
    </row>
    <row r="7" spans="1:29" s="113" customFormat="1" ht="15.75" thickBot="1">
      <c r="A7" s="368" t="s">
        <v>2369</v>
      </c>
      <c r="B7" s="369"/>
      <c r="C7" s="370">
        <f>'数据-取费表'!B2</f>
        <v>44580</v>
      </c>
      <c r="D7" s="371">
        <v>100</v>
      </c>
      <c r="E7" s="372"/>
      <c r="F7" s="373">
        <f>SUMIF(59:59,YEAR(E7)&amp;"-"&amp;MONTH(E7),60:60)</f>
        <v>0</v>
      </c>
      <c r="G7" s="372"/>
      <c r="H7" s="371">
        <f>SUMIF(59:59,YEAR(G7)&amp;"-"&amp;MONTH(G7),60:60)</f>
        <v>0</v>
      </c>
      <c r="I7" s="372"/>
      <c r="J7" s="371">
        <f>SUMIF(59:59,YEAR(I7)&amp;"-"&amp;MONTH(I7),60:60)</f>
        <v>0</v>
      </c>
      <c r="K7" s="568"/>
      <c r="L7" s="2937"/>
      <c r="M7" s="2938"/>
      <c r="N7" s="2938"/>
      <c r="O7" s="2938"/>
      <c r="P7" s="3405" t="s">
        <v>2370</v>
      </c>
      <c r="Q7" s="3316"/>
      <c r="R7" s="710" t="s">
        <v>17</v>
      </c>
      <c r="S7" s="711">
        <f t="shared" ref="S7:S15" si="0">F7</f>
        <v>0</v>
      </c>
      <c r="T7" s="710" t="s">
        <v>17</v>
      </c>
      <c r="U7" s="711">
        <f t="shared" ref="U7:U15" si="1">H7</f>
        <v>0</v>
      </c>
      <c r="V7" s="710" t="s">
        <v>17</v>
      </c>
      <c r="W7" s="711">
        <f t="shared" ref="W7:W15" si="2">J7</f>
        <v>0</v>
      </c>
      <c r="X7" s="712"/>
      <c r="Y7" s="3288" t="s">
        <v>2370</v>
      </c>
      <c r="Z7" s="3289"/>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37"/>
      <c r="M8" s="2938"/>
      <c r="N8" s="2938"/>
      <c r="O8" s="2938"/>
      <c r="P8" s="3405" t="s">
        <v>2373</v>
      </c>
      <c r="Q8" s="3289"/>
      <c r="R8" s="710" t="s">
        <v>17</v>
      </c>
      <c r="S8" s="711">
        <f t="shared" si="0"/>
        <v>0</v>
      </c>
      <c r="T8" s="710" t="s">
        <v>17</v>
      </c>
      <c r="U8" s="711">
        <f t="shared" si="1"/>
        <v>0</v>
      </c>
      <c r="V8" s="710" t="s">
        <v>17</v>
      </c>
      <c r="W8" s="711">
        <f t="shared" si="2"/>
        <v>0</v>
      </c>
      <c r="X8" s="712"/>
      <c r="Y8" s="3288" t="s">
        <v>2373</v>
      </c>
      <c r="Z8" s="3289"/>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37"/>
      <c r="M9" s="2938"/>
      <c r="N9" s="2938"/>
      <c r="O9" s="2938"/>
      <c r="P9" s="3326" t="s">
        <v>2376</v>
      </c>
      <c r="Q9" s="1527" t="str">
        <f t="shared" ref="Q9:Q15" si="6">B9</f>
        <v>用途</v>
      </c>
      <c r="R9" s="710" t="s">
        <v>17</v>
      </c>
      <c r="S9" s="711">
        <f t="shared" si="0"/>
        <v>100</v>
      </c>
      <c r="T9" s="710" t="s">
        <v>17</v>
      </c>
      <c r="U9" s="711">
        <f t="shared" si="1"/>
        <v>100</v>
      </c>
      <c r="V9" s="710" t="s">
        <v>17</v>
      </c>
      <c r="W9" s="711">
        <f t="shared" si="2"/>
        <v>100</v>
      </c>
      <c r="X9" s="712"/>
      <c r="Y9" s="3258"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39"/>
      <c r="M10" s="2940"/>
      <c r="N10" s="2940"/>
      <c r="O10" s="2940"/>
      <c r="P10" s="3326"/>
      <c r="Q10" s="1527" t="str">
        <f t="shared" si="6"/>
        <v>土地使用年限（年）</v>
      </c>
      <c r="R10" s="710" t="s">
        <v>17</v>
      </c>
      <c r="S10" s="711">
        <f t="shared" si="0"/>
        <v>100</v>
      </c>
      <c r="T10" s="710" t="s">
        <v>17</v>
      </c>
      <c r="U10" s="711">
        <f t="shared" si="1"/>
        <v>100</v>
      </c>
      <c r="V10" s="710" t="s">
        <v>17</v>
      </c>
      <c r="W10" s="711">
        <f t="shared" si="2"/>
        <v>100</v>
      </c>
      <c r="X10" s="712"/>
      <c r="Y10" s="3258"/>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1"/>
      <c r="M11" s="2936"/>
      <c r="N11" s="2936"/>
      <c r="O11" s="2936"/>
      <c r="P11" s="3326"/>
      <c r="Q11" s="1527" t="str">
        <f t="shared" si="6"/>
        <v>容积率</v>
      </c>
      <c r="R11" s="710" t="s">
        <v>17</v>
      </c>
      <c r="S11" s="711" t="e">
        <f t="shared" si="0"/>
        <v>#N/A</v>
      </c>
      <c r="T11" s="710" t="s">
        <v>17</v>
      </c>
      <c r="U11" s="711" t="e">
        <f t="shared" si="1"/>
        <v>#N/A</v>
      </c>
      <c r="V11" s="710" t="s">
        <v>17</v>
      </c>
      <c r="W11" s="711" t="e">
        <f t="shared" si="2"/>
        <v>#N/A</v>
      </c>
      <c r="X11" s="712"/>
      <c r="Y11" s="325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7"/>
      <c r="M12" s="2938"/>
      <c r="N12" s="2938"/>
      <c r="O12" s="2938"/>
      <c r="P12" s="3326"/>
      <c r="Q12" s="1527">
        <f t="shared" si="6"/>
        <v>111</v>
      </c>
      <c r="R12" s="710" t="s">
        <v>17</v>
      </c>
      <c r="S12" s="711">
        <f t="shared" si="0"/>
        <v>100</v>
      </c>
      <c r="T12" s="710" t="s">
        <v>17</v>
      </c>
      <c r="U12" s="711">
        <f t="shared" si="1"/>
        <v>100</v>
      </c>
      <c r="V12" s="710" t="s">
        <v>17</v>
      </c>
      <c r="W12" s="711">
        <f t="shared" si="2"/>
        <v>100</v>
      </c>
      <c r="X12" s="712"/>
      <c r="Y12" s="325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2"/>
      <c r="M13" s="2936"/>
      <c r="N13" s="2936"/>
      <c r="O13" s="2936"/>
      <c r="P13" s="3326"/>
      <c r="Q13" s="1527">
        <f t="shared" si="6"/>
        <v>111</v>
      </c>
      <c r="R13" s="710" t="s">
        <v>17</v>
      </c>
      <c r="S13" s="711">
        <f t="shared" si="0"/>
        <v>100</v>
      </c>
      <c r="T13" s="710" t="s">
        <v>17</v>
      </c>
      <c r="U13" s="711">
        <f t="shared" si="1"/>
        <v>100</v>
      </c>
      <c r="V13" s="710" t="s">
        <v>17</v>
      </c>
      <c r="W13" s="711">
        <f t="shared" si="2"/>
        <v>100</v>
      </c>
      <c r="X13" s="712"/>
      <c r="Y13" s="325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2"/>
      <c r="M14" s="2936"/>
      <c r="N14" s="2936"/>
      <c r="O14" s="2936"/>
      <c r="P14" s="3326"/>
      <c r="Q14" s="1527">
        <f t="shared" si="6"/>
        <v>111</v>
      </c>
      <c r="R14" s="710" t="s">
        <v>17</v>
      </c>
      <c r="S14" s="711">
        <f t="shared" si="0"/>
        <v>100</v>
      </c>
      <c r="T14" s="710" t="s">
        <v>17</v>
      </c>
      <c r="U14" s="711">
        <f t="shared" si="1"/>
        <v>100</v>
      </c>
      <c r="V14" s="710" t="s">
        <v>17</v>
      </c>
      <c r="W14" s="711">
        <f t="shared" si="2"/>
        <v>100</v>
      </c>
      <c r="X14" s="712"/>
      <c r="Y14" s="3258"/>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2"/>
      <c r="M15" s="2936"/>
      <c r="N15" s="2936"/>
      <c r="O15" s="2936"/>
      <c r="P15" s="3392" t="s">
        <v>2381</v>
      </c>
      <c r="Q15" s="1536" t="str">
        <f t="shared" si="6"/>
        <v>办公集聚程度</v>
      </c>
      <c r="R15" s="714" t="s">
        <v>17</v>
      </c>
      <c r="S15" s="715">
        <f t="shared" si="0"/>
        <v>100</v>
      </c>
      <c r="T15" s="714" t="s">
        <v>17</v>
      </c>
      <c r="U15" s="715">
        <f t="shared" si="1"/>
        <v>100</v>
      </c>
      <c r="V15" s="714" t="s">
        <v>17</v>
      </c>
      <c r="W15" s="715">
        <f t="shared" si="2"/>
        <v>100</v>
      </c>
      <c r="X15" s="1539"/>
      <c r="Y15" s="3317"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2"/>
      <c r="M16" s="2936"/>
      <c r="N16" s="2936"/>
      <c r="O16" s="2936"/>
      <c r="P16" s="3393"/>
      <c r="Q16" s="1536"/>
      <c r="R16" s="714"/>
      <c r="S16" s="715"/>
      <c r="T16" s="714"/>
      <c r="U16" s="715"/>
      <c r="V16" s="714"/>
      <c r="W16" s="715"/>
      <c r="X16" s="1539"/>
      <c r="Y16" s="3318"/>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2"/>
      <c r="M17" s="2936"/>
      <c r="N17" s="2936"/>
      <c r="O17" s="2936"/>
      <c r="P17" s="3393"/>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2"/>
      <c r="M18" s="2936"/>
      <c r="N18" s="2936"/>
      <c r="O18" s="2936"/>
      <c r="P18" s="3393"/>
      <c r="Q18" s="1536"/>
      <c r="R18" s="714"/>
      <c r="S18" s="715"/>
      <c r="T18" s="714"/>
      <c r="U18" s="715"/>
      <c r="V18" s="714"/>
      <c r="W18" s="715"/>
      <c r="X18" s="1539"/>
      <c r="Y18" s="3318"/>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2"/>
      <c r="M19" s="2936"/>
      <c r="N19" s="2936"/>
      <c r="O19" s="2936"/>
      <c r="P19" s="3393"/>
      <c r="Q19" s="1536" t="str">
        <f>B19</f>
        <v>公共配套设施</v>
      </c>
      <c r="R19" s="714" t="s">
        <v>17</v>
      </c>
      <c r="S19" s="715">
        <f>F19</f>
        <v>100</v>
      </c>
      <c r="T19" s="714" t="s">
        <v>17</v>
      </c>
      <c r="U19" s="715">
        <f>H19</f>
        <v>100</v>
      </c>
      <c r="V19" s="714" t="s">
        <v>17</v>
      </c>
      <c r="W19" s="715">
        <f>J19</f>
        <v>100</v>
      </c>
      <c r="X19" s="1539"/>
      <c r="Y19" s="3318"/>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2"/>
      <c r="M20" s="2936"/>
      <c r="N20" s="2936"/>
      <c r="O20" s="2936"/>
      <c r="P20" s="3393"/>
      <c r="Q20" s="1536"/>
      <c r="R20" s="714"/>
      <c r="S20" s="715"/>
      <c r="T20" s="714"/>
      <c r="U20" s="715"/>
      <c r="V20" s="714"/>
      <c r="W20" s="715"/>
      <c r="X20" s="1539"/>
      <c r="Y20" s="3318"/>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2"/>
      <c r="M21" s="2936"/>
      <c r="N21" s="2936"/>
      <c r="O21" s="2936"/>
      <c r="P21" s="3393"/>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1"/>
      <c r="L22" s="2942"/>
      <c r="M22" s="2936"/>
      <c r="N22" s="2936"/>
      <c r="O22" s="2936"/>
      <c r="P22" s="3393"/>
      <c r="Q22" s="1536"/>
      <c r="R22" s="714"/>
      <c r="S22" s="715"/>
      <c r="T22" s="714"/>
      <c r="U22" s="715"/>
      <c r="V22" s="714"/>
      <c r="W22" s="715"/>
      <c r="X22" s="1539"/>
      <c r="Y22" s="3318"/>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2"/>
      <c r="M23" s="2936"/>
      <c r="N23" s="2936"/>
      <c r="O23" s="2936"/>
      <c r="P23" s="3393"/>
      <c r="Q23" s="1536" t="str">
        <f>B23</f>
        <v>环境质量</v>
      </c>
      <c r="R23" s="714" t="s">
        <v>17</v>
      </c>
      <c r="S23" s="715">
        <f>F23</f>
        <v>100</v>
      </c>
      <c r="T23" s="714" t="s">
        <v>17</v>
      </c>
      <c r="U23" s="715">
        <f>H23</f>
        <v>100</v>
      </c>
      <c r="V23" s="714" t="s">
        <v>17</v>
      </c>
      <c r="W23" s="715">
        <f>J23</f>
        <v>100</v>
      </c>
      <c r="X23" s="1539"/>
      <c r="Y23" s="3318"/>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2"/>
      <c r="M24" s="2936"/>
      <c r="N24" s="2936"/>
      <c r="O24" s="2936"/>
      <c r="P24" s="3393"/>
      <c r="Q24" s="1536"/>
      <c r="R24" s="714"/>
      <c r="S24" s="715"/>
      <c r="T24" s="714"/>
      <c r="U24" s="715"/>
      <c r="V24" s="714"/>
      <c r="W24" s="715"/>
      <c r="X24" s="1539"/>
      <c r="Y24" s="3318"/>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2"/>
      <c r="M25" s="2936"/>
      <c r="N25" s="2936"/>
      <c r="O25" s="2936"/>
      <c r="P25" s="3393"/>
      <c r="Q25" s="1536" t="str">
        <f>B25</f>
        <v>毗邻道路的类型与等级</v>
      </c>
      <c r="R25" s="714" t="s">
        <v>17</v>
      </c>
      <c r="S25" s="715">
        <f>F25</f>
        <v>100</v>
      </c>
      <c r="T25" s="714" t="s">
        <v>17</v>
      </c>
      <c r="U25" s="715">
        <f>H25</f>
        <v>100</v>
      </c>
      <c r="V25" s="714" t="s">
        <v>17</v>
      </c>
      <c r="W25" s="715">
        <f>J25</f>
        <v>100</v>
      </c>
      <c r="X25" s="1539"/>
      <c r="Y25" s="3318"/>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2"/>
      <c r="M26" s="2936"/>
      <c r="N26" s="2936"/>
      <c r="O26" s="2936"/>
      <c r="P26" s="3393"/>
      <c r="Q26" s="1536"/>
      <c r="R26" s="714"/>
      <c r="S26" s="715"/>
      <c r="T26" s="714"/>
      <c r="U26" s="715"/>
      <c r="V26" s="714"/>
      <c r="W26" s="715"/>
      <c r="X26" s="1539"/>
      <c r="Y26" s="3318"/>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2"/>
      <c r="M27" s="2936"/>
      <c r="N27" s="2936"/>
      <c r="O27" s="2936"/>
      <c r="P27" s="3393"/>
      <c r="Q27" s="1536" t="str">
        <f t="shared" ref="Q27:Q47" si="11">B27</f>
        <v>楼层</v>
      </c>
      <c r="R27" s="714" t="s">
        <v>17</v>
      </c>
      <c r="S27" s="715">
        <f>F27</f>
        <v>100</v>
      </c>
      <c r="T27" s="714" t="s">
        <v>17</v>
      </c>
      <c r="U27" s="715">
        <f>H27</f>
        <v>100</v>
      </c>
      <c r="V27" s="714" t="s">
        <v>17</v>
      </c>
      <c r="W27" s="715">
        <f>J27</f>
        <v>100</v>
      </c>
      <c r="X27" s="1539"/>
      <c r="Y27" s="3318"/>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37"/>
      <c r="M28" s="2938"/>
      <c r="N28" s="2938"/>
      <c r="O28" s="2938"/>
      <c r="P28" s="3393"/>
      <c r="Q28" s="1527" t="str">
        <f t="shared" si="11"/>
        <v>朝向</v>
      </c>
      <c r="R28" s="710" t="s">
        <v>17</v>
      </c>
      <c r="S28" s="711">
        <f>F28</f>
        <v>100</v>
      </c>
      <c r="T28" s="710" t="s">
        <v>17</v>
      </c>
      <c r="U28" s="711">
        <f>H28</f>
        <v>100</v>
      </c>
      <c r="V28" s="710" t="s">
        <v>17</v>
      </c>
      <c r="W28" s="711">
        <f>J28</f>
        <v>100</v>
      </c>
      <c r="X28" s="712"/>
      <c r="Y28" s="3318"/>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2"/>
      <c r="M29" s="2936"/>
      <c r="N29" s="2936"/>
      <c r="O29" s="2936"/>
      <c r="P29" s="3393"/>
      <c r="Q29" s="1536">
        <f t="shared" si="11"/>
        <v>111</v>
      </c>
      <c r="R29" s="714" t="s">
        <v>17</v>
      </c>
      <c r="S29" s="715">
        <f t="shared" ref="S29:S47" si="12">F29</f>
        <v>100</v>
      </c>
      <c r="T29" s="714" t="s">
        <v>17</v>
      </c>
      <c r="U29" s="715">
        <f t="shared" ref="U29:U47" si="13">H29</f>
        <v>100</v>
      </c>
      <c r="V29" s="714" t="s">
        <v>17</v>
      </c>
      <c r="W29" s="715">
        <f t="shared" ref="W29:W47" si="14">J29</f>
        <v>100</v>
      </c>
      <c r="X29" s="1539"/>
      <c r="Y29" s="3318"/>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2"/>
      <c r="M30" s="2936"/>
      <c r="N30" s="2936"/>
      <c r="O30" s="2936"/>
      <c r="P30" s="3393"/>
      <c r="Q30" s="1536">
        <f t="shared" si="11"/>
        <v>111</v>
      </c>
      <c r="R30" s="714" t="s">
        <v>17</v>
      </c>
      <c r="S30" s="715">
        <f t="shared" si="12"/>
        <v>100</v>
      </c>
      <c r="T30" s="714" t="s">
        <v>17</v>
      </c>
      <c r="U30" s="715">
        <f t="shared" si="13"/>
        <v>100</v>
      </c>
      <c r="V30" s="714" t="s">
        <v>17</v>
      </c>
      <c r="W30" s="715">
        <f t="shared" si="14"/>
        <v>100</v>
      </c>
      <c r="X30" s="1539"/>
      <c r="Y30" s="3318"/>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2"/>
      <c r="M31" s="2936"/>
      <c r="N31" s="2936"/>
      <c r="O31" s="2936"/>
      <c r="P31" s="3393"/>
      <c r="Q31" s="1536">
        <f t="shared" si="11"/>
        <v>111</v>
      </c>
      <c r="R31" s="714" t="s">
        <v>17</v>
      </c>
      <c r="S31" s="715">
        <f t="shared" si="12"/>
        <v>100</v>
      </c>
      <c r="T31" s="714" t="s">
        <v>17</v>
      </c>
      <c r="U31" s="715">
        <f t="shared" si="13"/>
        <v>100</v>
      </c>
      <c r="V31" s="714" t="s">
        <v>17</v>
      </c>
      <c r="W31" s="715">
        <f t="shared" si="14"/>
        <v>100</v>
      </c>
      <c r="X31" s="1539"/>
      <c r="Y31" s="3318"/>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2"/>
      <c r="M32" s="2936"/>
      <c r="N32" s="2936"/>
      <c r="O32" s="2936"/>
      <c r="P32" s="3393"/>
      <c r="Q32" s="1536">
        <f t="shared" si="11"/>
        <v>111</v>
      </c>
      <c r="R32" s="714" t="s">
        <v>17</v>
      </c>
      <c r="S32" s="715">
        <f t="shared" si="12"/>
        <v>100</v>
      </c>
      <c r="T32" s="714" t="s">
        <v>17</v>
      </c>
      <c r="U32" s="715">
        <f t="shared" si="13"/>
        <v>100</v>
      </c>
      <c r="V32" s="714" t="s">
        <v>17</v>
      </c>
      <c r="W32" s="715">
        <f t="shared" si="14"/>
        <v>100</v>
      </c>
      <c r="X32" s="1539"/>
      <c r="Y32" s="3318"/>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2"/>
      <c r="M33" s="2936"/>
      <c r="N33" s="2936"/>
      <c r="O33" s="2936"/>
      <c r="P33" s="3388" t="s">
        <v>2386</v>
      </c>
      <c r="Q33" s="1536" t="str">
        <f t="shared" si="11"/>
        <v>建筑类型</v>
      </c>
      <c r="R33" s="714" t="s">
        <v>17</v>
      </c>
      <c r="S33" s="715">
        <f t="shared" si="12"/>
        <v>100</v>
      </c>
      <c r="T33" s="714" t="s">
        <v>17</v>
      </c>
      <c r="U33" s="715">
        <f t="shared" si="13"/>
        <v>100</v>
      </c>
      <c r="V33" s="714" t="s">
        <v>17</v>
      </c>
      <c r="W33" s="715">
        <f t="shared" si="14"/>
        <v>100</v>
      </c>
      <c r="X33" s="1539"/>
      <c r="Y33" s="3320"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1"/>
      <c r="M34" s="2943"/>
      <c r="N34" s="2943"/>
      <c r="O34" s="2943"/>
      <c r="P34" s="3389"/>
      <c r="Q34" s="716" t="str">
        <f t="shared" si="11"/>
        <v>项目建筑规模</v>
      </c>
      <c r="R34" s="717" t="s">
        <v>17</v>
      </c>
      <c r="S34" s="718" t="e">
        <f t="shared" si="12"/>
        <v>#N/A</v>
      </c>
      <c r="T34" s="717" t="s">
        <v>17</v>
      </c>
      <c r="U34" s="718" t="e">
        <f t="shared" si="13"/>
        <v>#N/A</v>
      </c>
      <c r="V34" s="717" t="s">
        <v>17</v>
      </c>
      <c r="W34" s="718" t="e">
        <f t="shared" si="14"/>
        <v>#N/A</v>
      </c>
      <c r="X34" s="719"/>
      <c r="Y34" s="3320"/>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2"/>
      <c r="M35" s="2936"/>
      <c r="N35" s="2936"/>
      <c r="O35" s="2936"/>
      <c r="P35" s="3389"/>
      <c r="Q35" s="1536" t="str">
        <f t="shared" si="11"/>
        <v>建筑结构</v>
      </c>
      <c r="R35" s="714" t="s">
        <v>17</v>
      </c>
      <c r="S35" s="715">
        <f t="shared" si="12"/>
        <v>100</v>
      </c>
      <c r="T35" s="714" t="s">
        <v>17</v>
      </c>
      <c r="U35" s="715">
        <f t="shared" si="13"/>
        <v>100</v>
      </c>
      <c r="V35" s="714" t="s">
        <v>17</v>
      </c>
      <c r="W35" s="715">
        <f t="shared" si="14"/>
        <v>100</v>
      </c>
      <c r="X35" s="1539"/>
      <c r="Y35" s="3320"/>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2"/>
      <c r="M36" s="2936"/>
      <c r="N36" s="2936"/>
      <c r="O36" s="2936"/>
      <c r="P36" s="3389"/>
      <c r="Q36" s="1536" t="str">
        <f t="shared" si="11"/>
        <v>公共部分装修</v>
      </c>
      <c r="R36" s="714" t="s">
        <v>17</v>
      </c>
      <c r="S36" s="715">
        <f t="shared" si="12"/>
        <v>100</v>
      </c>
      <c r="T36" s="714" t="s">
        <v>17</v>
      </c>
      <c r="U36" s="715">
        <f t="shared" si="13"/>
        <v>100</v>
      </c>
      <c r="V36" s="714" t="s">
        <v>17</v>
      </c>
      <c r="W36" s="715">
        <f t="shared" si="14"/>
        <v>100</v>
      </c>
      <c r="X36" s="1539"/>
      <c r="Y36" s="3320"/>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2"/>
      <c r="M37" s="2936"/>
      <c r="N37" s="2936"/>
      <c r="O37" s="2936"/>
      <c r="P37" s="3389"/>
      <c r="Q37" s="1536" t="str">
        <f t="shared" si="11"/>
        <v>成新度</v>
      </c>
      <c r="R37" s="714" t="s">
        <v>17</v>
      </c>
      <c r="S37" s="715" t="e">
        <f t="shared" si="12"/>
        <v>#N/A</v>
      </c>
      <c r="T37" s="714" t="s">
        <v>17</v>
      </c>
      <c r="U37" s="715" t="e">
        <f t="shared" si="13"/>
        <v>#N/A</v>
      </c>
      <c r="V37" s="714" t="s">
        <v>17</v>
      </c>
      <c r="W37" s="715" t="e">
        <f t="shared" si="14"/>
        <v>#N/A</v>
      </c>
      <c r="X37" s="1539"/>
      <c r="Y37" s="3320"/>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7"/>
      <c r="M38" s="2938"/>
      <c r="N38" s="2938"/>
      <c r="O38" s="2938"/>
      <c r="P38" s="3389"/>
      <c r="Q38" s="1527" t="str">
        <f t="shared" si="11"/>
        <v>写字楼等级</v>
      </c>
      <c r="R38" s="710" t="s">
        <v>17</v>
      </c>
      <c r="S38" s="711">
        <f t="shared" si="12"/>
        <v>100</v>
      </c>
      <c r="T38" s="710" t="s">
        <v>17</v>
      </c>
      <c r="U38" s="711">
        <f t="shared" si="13"/>
        <v>100</v>
      </c>
      <c r="V38" s="710" t="s">
        <v>17</v>
      </c>
      <c r="W38" s="711">
        <f t="shared" si="14"/>
        <v>100</v>
      </c>
      <c r="X38" s="712"/>
      <c r="Y38" s="332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2"/>
      <c r="M39" s="2936"/>
      <c r="N39" s="2936"/>
      <c r="O39" s="2936"/>
      <c r="P39" s="3389" t="s">
        <v>2386</v>
      </c>
      <c r="Q39" s="1536" t="str">
        <f t="shared" si="11"/>
        <v>物业管理</v>
      </c>
      <c r="R39" s="714" t="s">
        <v>17</v>
      </c>
      <c r="S39" s="715">
        <f t="shared" si="12"/>
        <v>100</v>
      </c>
      <c r="T39" s="714" t="s">
        <v>17</v>
      </c>
      <c r="U39" s="715">
        <f t="shared" si="13"/>
        <v>100</v>
      </c>
      <c r="V39" s="714" t="s">
        <v>17</v>
      </c>
      <c r="W39" s="715">
        <f t="shared" si="14"/>
        <v>100</v>
      </c>
      <c r="X39" s="1539"/>
      <c r="Y39" s="332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2"/>
      <c r="M40" s="2936"/>
      <c r="N40" s="2936"/>
      <c r="O40" s="2936"/>
      <c r="P40" s="3389"/>
      <c r="Q40" s="1536" t="str">
        <f t="shared" si="11"/>
        <v>市政基础设施</v>
      </c>
      <c r="R40" s="714" t="s">
        <v>17</v>
      </c>
      <c r="S40" s="715">
        <f t="shared" si="12"/>
        <v>100</v>
      </c>
      <c r="T40" s="714" t="s">
        <v>17</v>
      </c>
      <c r="U40" s="715">
        <f t="shared" si="13"/>
        <v>100</v>
      </c>
      <c r="V40" s="714" t="s">
        <v>17</v>
      </c>
      <c r="W40" s="715">
        <f t="shared" si="14"/>
        <v>100</v>
      </c>
      <c r="X40" s="1539"/>
      <c r="Y40" s="3320"/>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2"/>
      <c r="M41" s="2936"/>
      <c r="N41" s="2936"/>
      <c r="O41" s="2936"/>
      <c r="P41" s="3389"/>
      <c r="Q41" s="1536" t="str">
        <f t="shared" si="11"/>
        <v>层高</v>
      </c>
      <c r="R41" s="714" t="s">
        <v>17</v>
      </c>
      <c r="S41" s="715">
        <f t="shared" si="12"/>
        <v>100</v>
      </c>
      <c r="T41" s="714" t="s">
        <v>17</v>
      </c>
      <c r="U41" s="715">
        <f t="shared" si="13"/>
        <v>100</v>
      </c>
      <c r="V41" s="714" t="s">
        <v>17</v>
      </c>
      <c r="W41" s="715">
        <f t="shared" si="14"/>
        <v>100</v>
      </c>
      <c r="X41" s="1539"/>
      <c r="Y41" s="332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389"/>
      <c r="Q42" s="716" t="str">
        <f t="shared" si="11"/>
        <v>单套建筑面积</v>
      </c>
      <c r="R42" s="717" t="s">
        <v>17</v>
      </c>
      <c r="S42" s="718">
        <f t="shared" si="12"/>
        <v>100</v>
      </c>
      <c r="T42" s="717" t="s">
        <v>17</v>
      </c>
      <c r="U42" s="718">
        <f t="shared" si="13"/>
        <v>100</v>
      </c>
      <c r="V42" s="717" t="s">
        <v>17</v>
      </c>
      <c r="W42" s="718">
        <f t="shared" si="14"/>
        <v>100</v>
      </c>
      <c r="X42" s="719"/>
      <c r="Y42" s="3320"/>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2"/>
      <c r="M43" s="2936"/>
      <c r="N43" s="2936"/>
      <c r="O43" s="2936"/>
      <c r="P43" s="3389"/>
      <c r="Q43" s="1536" t="str">
        <f t="shared" si="11"/>
        <v>内部装修</v>
      </c>
      <c r="R43" s="714" t="s">
        <v>17</v>
      </c>
      <c r="S43" s="715">
        <f t="shared" si="12"/>
        <v>100</v>
      </c>
      <c r="T43" s="714" t="s">
        <v>17</v>
      </c>
      <c r="U43" s="715">
        <f t="shared" si="13"/>
        <v>100</v>
      </c>
      <c r="V43" s="714" t="s">
        <v>17</v>
      </c>
      <c r="W43" s="715">
        <f t="shared" si="14"/>
        <v>100</v>
      </c>
      <c r="X43" s="1539"/>
      <c r="Y43" s="3320"/>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2"/>
      <c r="M44" s="2936"/>
      <c r="N44" s="2936"/>
      <c r="O44" s="2936"/>
      <c r="P44" s="3389"/>
      <c r="Q44" s="1536" t="str">
        <f t="shared" si="11"/>
        <v>内部装修维护情况</v>
      </c>
      <c r="R44" s="714" t="s">
        <v>17</v>
      </c>
      <c r="S44" s="715">
        <f t="shared" si="12"/>
        <v>100</v>
      </c>
      <c r="T44" s="714" t="s">
        <v>17</v>
      </c>
      <c r="U44" s="715">
        <f t="shared" si="13"/>
        <v>100</v>
      </c>
      <c r="V44" s="714" t="s">
        <v>17</v>
      </c>
      <c r="W44" s="715">
        <f t="shared" si="14"/>
        <v>100</v>
      </c>
      <c r="X44" s="1539"/>
      <c r="Y44" s="3320"/>
      <c r="Z44" s="1540" t="str">
        <f t="shared" si="15"/>
        <v>内部装修维护情况</v>
      </c>
      <c r="AA44" s="1537">
        <f t="shared" si="3"/>
        <v>1</v>
      </c>
      <c r="AB44" s="1537">
        <f t="shared" si="4"/>
        <v>1</v>
      </c>
      <c r="AC44" s="2148">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389"/>
      <c r="Q45" s="1527">
        <f t="shared" si="11"/>
        <v>111</v>
      </c>
      <c r="R45" s="710" t="s">
        <v>17</v>
      </c>
      <c r="S45" s="711">
        <f t="shared" si="12"/>
        <v>100</v>
      </c>
      <c r="T45" s="710" t="s">
        <v>17</v>
      </c>
      <c r="U45" s="711">
        <f t="shared" si="13"/>
        <v>100</v>
      </c>
      <c r="V45" s="710" t="s">
        <v>17</v>
      </c>
      <c r="W45" s="711">
        <f t="shared" si="14"/>
        <v>100</v>
      </c>
      <c r="X45" s="712"/>
      <c r="Y45" s="3320"/>
      <c r="Z45" s="55">
        <f t="shared" si="15"/>
        <v>111</v>
      </c>
      <c r="AA45" s="713">
        <f t="shared" si="3"/>
        <v>1</v>
      </c>
      <c r="AB45" s="713">
        <f t="shared" si="4"/>
        <v>1</v>
      </c>
      <c r="AC45" s="2145">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389"/>
      <c r="Q46" s="1536">
        <f t="shared" si="11"/>
        <v>111</v>
      </c>
      <c r="R46" s="714" t="s">
        <v>17</v>
      </c>
      <c r="S46" s="715">
        <f t="shared" si="12"/>
        <v>100</v>
      </c>
      <c r="T46" s="714" t="s">
        <v>17</v>
      </c>
      <c r="U46" s="715">
        <f t="shared" si="13"/>
        <v>100</v>
      </c>
      <c r="V46" s="714" t="s">
        <v>17</v>
      </c>
      <c r="W46" s="715">
        <f t="shared" si="14"/>
        <v>100</v>
      </c>
      <c r="X46" s="1539"/>
      <c r="Y46" s="332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390"/>
      <c r="Q47" s="1536">
        <f t="shared" si="11"/>
        <v>111</v>
      </c>
      <c r="R47" s="714" t="s">
        <v>17</v>
      </c>
      <c r="S47" s="715">
        <f t="shared" si="12"/>
        <v>100</v>
      </c>
      <c r="T47" s="714" t="s">
        <v>17</v>
      </c>
      <c r="U47" s="715">
        <f t="shared" si="13"/>
        <v>100</v>
      </c>
      <c r="V47" s="714" t="s">
        <v>17</v>
      </c>
      <c r="W47" s="715">
        <f t="shared" si="14"/>
        <v>100</v>
      </c>
      <c r="X47" s="1539"/>
      <c r="Y47" s="3391"/>
      <c r="Z47" s="1540">
        <f t="shared" si="15"/>
        <v>111</v>
      </c>
      <c r="AA47" s="1537">
        <f t="shared" si="3"/>
        <v>1</v>
      </c>
      <c r="AB47" s="1537">
        <f t="shared" si="4"/>
        <v>1</v>
      </c>
      <c r="AC47" s="2148">
        <f t="shared" si="5"/>
        <v>1</v>
      </c>
    </row>
    <row r="48" spans="1:29" ht="15">
      <c r="A48" s="438" t="s">
        <v>2398</v>
      </c>
      <c r="B48" s="439"/>
      <c r="C48" s="1315" t="s">
        <v>1</v>
      </c>
      <c r="D48" s="1316"/>
      <c r="E48" s="1317"/>
      <c r="F48" s="1318"/>
      <c r="G48" s="1319"/>
      <c r="H48" s="1320"/>
      <c r="I48" s="1317"/>
      <c r="J48" s="444"/>
      <c r="K48" s="723"/>
      <c r="L48" s="2944"/>
      <c r="M48" s="2936"/>
      <c r="N48" s="2936"/>
      <c r="O48" s="2936"/>
      <c r="P48" s="3326" t="str">
        <f>A48</f>
        <v>成交单价（元/平方米）</v>
      </c>
      <c r="Q48" s="3302"/>
      <c r="R48" s="3387">
        <f>E48</f>
        <v>0</v>
      </c>
      <c r="S48" s="3387"/>
      <c r="T48" s="3387">
        <f>G48</f>
        <v>0</v>
      </c>
      <c r="U48" s="3387"/>
      <c r="V48" s="3387">
        <f>I48</f>
        <v>0</v>
      </c>
      <c r="W48" s="3387"/>
      <c r="X48" s="405"/>
      <c r="Y48" s="721"/>
      <c r="Z48" s="405"/>
      <c r="AA48" s="405"/>
      <c r="AB48" s="405"/>
      <c r="AC48" s="586"/>
    </row>
    <row r="49" spans="1:29" ht="15.75" thickBot="1">
      <c r="A49" s="445" t="s">
        <v>2490</v>
      </c>
      <c r="B49" s="446"/>
      <c r="C49" s="1321" t="e">
        <f>R50</f>
        <v>#DIV/0!</v>
      </c>
      <c r="D49" s="2529" t="s">
        <v>2879</v>
      </c>
      <c r="E49" s="1322" t="e">
        <f>R49</f>
        <v>#DIV/0!</v>
      </c>
      <c r="F49" s="2530"/>
      <c r="G49" s="1321" t="e">
        <f>T49</f>
        <v>#DIV/0!</v>
      </c>
      <c r="H49" s="2530"/>
      <c r="I49" s="1322" t="e">
        <f>V49</f>
        <v>#DIV/0!</v>
      </c>
      <c r="J49" s="2530"/>
      <c r="K49" s="2532">
        <f>F49+H49+J49</f>
        <v>0</v>
      </c>
      <c r="L49" s="2944"/>
      <c r="M49" s="2936"/>
      <c r="N49" s="2936"/>
      <c r="O49" s="2936"/>
      <c r="P49" s="3326" t="str">
        <f>A49</f>
        <v>比较价值（元/平方米）</v>
      </c>
      <c r="Q49" s="3302"/>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44"/>
      <c r="M50" s="2936"/>
      <c r="N50" s="2936"/>
      <c r="O50" s="2936"/>
      <c r="P50" s="3406" t="str">
        <f>A50</f>
        <v>估价对象XX用房的比较价值（楼面单价，元/平方米）</v>
      </c>
      <c r="Q50" s="3407"/>
      <c r="R50" s="3408" t="e">
        <f>IF(F1="售价",ROUND(IF(D49="简单平均",AVERAGE(R49:V49),R49*F49+T49*H49+V49*J49),0),ROUND(IF(D49="简单平均",AVERAGE(R49:V49),R49*F49+T49*H49+V49*J49),1))</f>
        <v>#DIV/0!</v>
      </c>
      <c r="S50" s="3408"/>
      <c r="T50" s="3408"/>
      <c r="U50" s="3408"/>
      <c r="V50" s="3408"/>
      <c r="W50" s="3408"/>
      <c r="X50" s="2132"/>
      <c r="Y50" s="2132"/>
      <c r="Z50" s="2132"/>
      <c r="AA50" s="2132"/>
      <c r="AB50" s="2132"/>
      <c r="AC50" s="2133"/>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3" t="s">
        <v>2495</v>
      </c>
      <c r="B58" s="699"/>
      <c r="C58" s="704"/>
      <c r="D58" s="704"/>
      <c r="E58" s="704"/>
      <c r="F58" s="705"/>
      <c r="G58" s="705"/>
      <c r="H58" s="704"/>
      <c r="I58" s="704"/>
      <c r="J58" s="704"/>
      <c r="K58" s="706"/>
      <c r="L58" s="1073"/>
      <c r="M58" s="1071"/>
      <c r="N58" s="2989"/>
      <c r="O58" s="2989"/>
      <c r="P58" s="2978"/>
      <c r="Q58" s="2959"/>
      <c r="R58" s="2945"/>
      <c r="S58" s="2945"/>
      <c r="T58" s="2945"/>
      <c r="U58" s="2945"/>
      <c r="V58" s="2945"/>
      <c r="W58" s="2945"/>
      <c r="X58" s="2945"/>
      <c r="Y58" s="2945"/>
      <c r="Z58" s="2945"/>
      <c r="AA58" s="2945"/>
      <c r="AB58" s="2945"/>
      <c r="AC58" s="2945"/>
    </row>
    <row r="59" spans="1:29" s="465" customFormat="1" ht="15">
      <c r="A59" s="462" t="s">
        <v>2369</v>
      </c>
      <c r="B59" s="463"/>
      <c r="C59" s="1345" t="str">
        <f>YEAR(C7)&amp;"-"&amp;MONTH(C7)</f>
        <v>2022-1</v>
      </c>
      <c r="D59" s="1346">
        <f>EDATE(C59,-1)</f>
        <v>44531</v>
      </c>
      <c r="E59" s="1346">
        <f>EDATE(D59,-1)</f>
        <v>44501</v>
      </c>
      <c r="F59" s="1346">
        <f t="shared" ref="F59:O59" si="16">EDATE(E59,-1)</f>
        <v>44470</v>
      </c>
      <c r="G59" s="1346">
        <f t="shared" si="16"/>
        <v>44440</v>
      </c>
      <c r="H59" s="1346">
        <f t="shared" si="16"/>
        <v>44409</v>
      </c>
      <c r="I59" s="1346">
        <f t="shared" si="16"/>
        <v>44378</v>
      </c>
      <c r="J59" s="1346">
        <f t="shared" si="16"/>
        <v>44348</v>
      </c>
      <c r="K59" s="1346">
        <f t="shared" si="16"/>
        <v>44317</v>
      </c>
      <c r="L59" s="1346">
        <f t="shared" si="16"/>
        <v>44287</v>
      </c>
      <c r="M59" s="1346">
        <f t="shared" si="16"/>
        <v>44256</v>
      </c>
      <c r="N59" s="1346">
        <f t="shared" si="16"/>
        <v>44228</v>
      </c>
      <c r="O59" s="1346">
        <f t="shared" si="16"/>
        <v>44197</v>
      </c>
      <c r="P59" s="2979"/>
      <c r="Q59" s="2961"/>
      <c r="R59" s="2961"/>
      <c r="S59" s="2961"/>
      <c r="T59" s="2961"/>
      <c r="U59" s="2961"/>
      <c r="V59" s="2961"/>
      <c r="W59" s="2961"/>
      <c r="X59" s="2961"/>
      <c r="Y59" s="2961"/>
      <c r="Z59" s="2961"/>
      <c r="AA59" s="2961"/>
      <c r="AB59" s="2961"/>
      <c r="AC59" s="2961"/>
    </row>
    <row r="60" spans="1:29" s="113" customFormat="1" ht="15">
      <c r="A60" s="466"/>
      <c r="B60" s="467"/>
      <c r="C60" s="1344">
        <v>100</v>
      </c>
      <c r="D60" s="469"/>
      <c r="E60" s="469"/>
      <c r="F60" s="469"/>
      <c r="G60" s="469"/>
      <c r="H60" s="469"/>
      <c r="I60" s="469"/>
      <c r="J60" s="469"/>
      <c r="K60" s="469"/>
      <c r="L60" s="469"/>
      <c r="M60" s="470"/>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2406</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2371</v>
      </c>
      <c r="B62" s="467"/>
      <c r="C62" s="479" t="s">
        <v>2473</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2409</v>
      </c>
      <c r="B64" s="485" t="s">
        <v>2375</v>
      </c>
      <c r="C64" s="486">
        <f>C9</f>
        <v>0</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c r="D69" s="506"/>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2380</v>
      </c>
      <c r="B77" s="485" t="s">
        <v>2518</v>
      </c>
      <c r="C77" s="530" t="s">
        <v>2418</v>
      </c>
      <c r="D77" s="530" t="s">
        <v>2419</v>
      </c>
      <c r="E77" s="530" t="s">
        <v>2420</v>
      </c>
      <c r="F77" s="530" t="s">
        <v>2421</v>
      </c>
      <c r="G77" s="530" t="s">
        <v>2422</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2423</v>
      </c>
      <c r="C79" s="535" t="s">
        <v>2418</v>
      </c>
      <c r="D79" s="535" t="s">
        <v>2419</v>
      </c>
      <c r="E79" s="535" t="s">
        <v>2420</v>
      </c>
      <c r="F79" s="535" t="s">
        <v>2421</v>
      </c>
      <c r="G79" s="535" t="s">
        <v>2422</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2424</v>
      </c>
      <c r="C81" s="535" t="s">
        <v>2418</v>
      </c>
      <c r="D81" s="535" t="s">
        <v>2419</v>
      </c>
      <c r="E81" s="535" t="s">
        <v>2420</v>
      </c>
      <c r="F81" s="535" t="s">
        <v>2421</v>
      </c>
      <c r="G81" s="535" t="s">
        <v>2422</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2510</v>
      </c>
      <c r="C83" s="616" t="s">
        <v>2496</v>
      </c>
      <c r="D83" s="616" t="s">
        <v>2497</v>
      </c>
      <c r="E83" s="616" t="s">
        <v>2498</v>
      </c>
      <c r="F83" s="616" t="s">
        <v>2499</v>
      </c>
      <c r="G83" s="616" t="s">
        <v>2500</v>
      </c>
      <c r="H83" s="496"/>
      <c r="I83" s="496"/>
      <c r="J83" s="496"/>
      <c r="K83" s="496"/>
      <c r="L83" s="496"/>
      <c r="M83" s="1290"/>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2519</v>
      </c>
      <c r="C85" s="535" t="s">
        <v>2418</v>
      </c>
      <c r="D85" s="535" t="s">
        <v>2419</v>
      </c>
      <c r="E85" s="535" t="s">
        <v>2420</v>
      </c>
      <c r="F85" s="535" t="s">
        <v>2421</v>
      </c>
      <c r="G85" s="535" t="s">
        <v>2422</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2520</v>
      </c>
      <c r="C87" s="511"/>
      <c r="D87" s="511"/>
      <c r="E87" s="511"/>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13"/>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14"/>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2384</v>
      </c>
      <c r="B101" s="485" t="s">
        <v>2433</v>
      </c>
      <c r="C101" s="487"/>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c r="D104" s="552"/>
      <c r="E104" s="552"/>
      <c r="F104" s="552"/>
      <c r="G104" s="552"/>
      <c r="H104" s="552"/>
      <c r="I104" s="552"/>
      <c r="J104" s="553"/>
      <c r="K104" s="553"/>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c r="D105" s="493"/>
      <c r="E105" s="493"/>
      <c r="F105" s="493"/>
      <c r="G105" s="493"/>
      <c r="H105" s="493"/>
      <c r="I105" s="493"/>
      <c r="J105" s="493"/>
      <c r="K105" s="493"/>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2435</v>
      </c>
      <c r="C106" s="511"/>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2437</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2521</v>
      </c>
      <c r="C113" s="511"/>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2438</v>
      </c>
      <c r="C115" s="511"/>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2439</v>
      </c>
      <c r="C117" s="511"/>
      <c r="D117" s="511"/>
      <c r="E117" s="511"/>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2522</v>
      </c>
      <c r="C119" s="540"/>
      <c r="D119" s="540"/>
      <c r="E119" s="540"/>
      <c r="F119" s="540"/>
      <c r="G119" s="540"/>
      <c r="H119" s="540"/>
      <c r="I119" s="540"/>
      <c r="J119" s="540"/>
      <c r="K119" s="540"/>
      <c r="L119" s="2154"/>
      <c r="M119" s="2155"/>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2505</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2441</v>
      </c>
      <c r="C123" s="511"/>
      <c r="D123" s="511"/>
      <c r="E123" s="511"/>
      <c r="F123" s="540"/>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14"/>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2523</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114107.98000000001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3" t="s">
        <v>2467</v>
      </c>
      <c r="D4" s="3304"/>
      <c r="E4" s="3305" t="s">
        <v>2468</v>
      </c>
      <c r="F4" s="3306"/>
      <c r="G4" s="3303" t="s">
        <v>2469</v>
      </c>
      <c r="H4" s="3304"/>
      <c r="I4" s="3303" t="s">
        <v>2470</v>
      </c>
      <c r="J4" s="3304"/>
      <c r="K4" s="567" t="s">
        <v>2471</v>
      </c>
      <c r="L4" s="1044"/>
      <c r="M4" s="1045"/>
      <c r="N4" s="1045"/>
      <c r="O4" s="1045"/>
      <c r="P4" s="3307" t="s">
        <v>2472</v>
      </c>
      <c r="Q4" s="3308"/>
      <c r="R4" s="3290" t="s">
        <v>2468</v>
      </c>
      <c r="S4" s="3291"/>
      <c r="T4" s="3290" t="s">
        <v>2469</v>
      </c>
      <c r="U4" s="3291"/>
      <c r="V4" s="3315" t="s">
        <v>2470</v>
      </c>
      <c r="W4" s="3315"/>
      <c r="X4" s="1539"/>
      <c r="Y4" s="3290" t="s">
        <v>2472</v>
      </c>
      <c r="Z4" s="3291"/>
      <c r="AA4" s="3285" t="s">
        <v>2468</v>
      </c>
      <c r="AB4" s="3286" t="s">
        <v>2469</v>
      </c>
      <c r="AC4" s="3285" t="s">
        <v>2470</v>
      </c>
    </row>
    <row r="5" spans="1:29" ht="15">
      <c r="A5" s="364"/>
      <c r="B5" s="365"/>
      <c r="C5" s="3296" t="s">
        <v>2363</v>
      </c>
      <c r="D5" s="3297"/>
      <c r="E5" s="3294" t="s">
        <v>2364</v>
      </c>
      <c r="F5" s="3295"/>
      <c r="G5" s="3296" t="s">
        <v>2365</v>
      </c>
      <c r="H5" s="3297"/>
      <c r="I5" s="3296" t="s">
        <v>2366</v>
      </c>
      <c r="J5" s="3297"/>
      <c r="K5" s="567"/>
      <c r="L5" s="1044"/>
      <c r="M5" s="1045"/>
      <c r="N5" s="1045"/>
      <c r="O5" s="1045"/>
      <c r="P5" s="3309"/>
      <c r="Q5" s="3310"/>
      <c r="R5" s="3292"/>
      <c r="S5" s="3293"/>
      <c r="T5" s="3292"/>
      <c r="U5" s="3293"/>
      <c r="V5" s="3315"/>
      <c r="W5" s="3315"/>
      <c r="X5" s="1539"/>
      <c r="Y5" s="3292"/>
      <c r="Z5" s="3293"/>
      <c r="AA5" s="3286"/>
      <c r="AB5" s="3286"/>
      <c r="AC5" s="3286"/>
    </row>
    <row r="6" spans="1:29" ht="15.75" thickBot="1">
      <c r="A6" s="366"/>
      <c r="B6" s="367"/>
      <c r="C6" s="3298" t="s">
        <v>2367</v>
      </c>
      <c r="D6" s="3299"/>
      <c r="E6" s="3300" t="s">
        <v>2367</v>
      </c>
      <c r="F6" s="3301"/>
      <c r="G6" s="3298" t="s">
        <v>2367</v>
      </c>
      <c r="H6" s="3299"/>
      <c r="I6" s="3298" t="s">
        <v>2367</v>
      </c>
      <c r="J6" s="3299"/>
      <c r="K6" s="567" t="s">
        <v>2368</v>
      </c>
      <c r="L6" s="1044"/>
      <c r="M6" s="1045"/>
      <c r="N6" s="1045"/>
      <c r="O6" s="1045"/>
      <c r="P6" s="3311"/>
      <c r="Q6" s="3312"/>
      <c r="R6" s="3292"/>
      <c r="S6" s="3293"/>
      <c r="T6" s="3313"/>
      <c r="U6" s="3314"/>
      <c r="V6" s="3315"/>
      <c r="W6" s="3315"/>
      <c r="X6" s="1539"/>
      <c r="Y6" s="3313"/>
      <c r="Z6" s="3314"/>
      <c r="AA6" s="3287"/>
      <c r="AB6" s="3287"/>
      <c r="AC6" s="3287"/>
    </row>
    <row r="7" spans="1:29" s="113" customFormat="1" ht="15.75" thickBot="1">
      <c r="A7" s="368" t="s">
        <v>2369</v>
      </c>
      <c r="B7" s="369"/>
      <c r="C7" s="370">
        <f>'数据-取费表'!B2</f>
        <v>44580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8" t="s">
        <v>2370</v>
      </c>
      <c r="Q7" s="3316"/>
      <c r="R7" s="710" t="s">
        <v>17</v>
      </c>
      <c r="S7" s="711">
        <f t="shared" ref="S7:S15" si="0">F7</f>
        <v>0</v>
      </c>
      <c r="T7" s="710" t="s">
        <v>17</v>
      </c>
      <c r="U7" s="711">
        <f t="shared" ref="U7:U15" si="1">H7</f>
        <v>0</v>
      </c>
      <c r="V7" s="710" t="s">
        <v>17</v>
      </c>
      <c r="W7" s="711">
        <f t="shared" ref="W7:W15" si="2">J7</f>
        <v>0</v>
      </c>
      <c r="X7" s="712"/>
      <c r="Y7" s="3288" t="s">
        <v>2370</v>
      </c>
      <c r="Z7" s="3289"/>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8" t="s">
        <v>2373</v>
      </c>
      <c r="Q8" s="3289"/>
      <c r="R8" s="710" t="s">
        <v>17</v>
      </c>
      <c r="S8" s="711">
        <f t="shared" si="0"/>
        <v>0</v>
      </c>
      <c r="T8" s="710" t="s">
        <v>17</v>
      </c>
      <c r="U8" s="711">
        <f t="shared" si="1"/>
        <v>0</v>
      </c>
      <c r="V8" s="710" t="s">
        <v>17</v>
      </c>
      <c r="W8" s="711">
        <f t="shared" si="2"/>
        <v>0</v>
      </c>
      <c r="X8" s="712"/>
      <c r="Y8" s="3288" t="s">
        <v>2373</v>
      </c>
      <c r="Z8" s="3289"/>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2" t="s">
        <v>2376</v>
      </c>
      <c r="Q9" s="1527" t="str">
        <f t="shared" ref="Q9:Q15" si="6">B9</f>
        <v>用途</v>
      </c>
      <c r="R9" s="710" t="s">
        <v>17</v>
      </c>
      <c r="S9" s="711">
        <f t="shared" si="0"/>
        <v>100</v>
      </c>
      <c r="T9" s="710" t="s">
        <v>17</v>
      </c>
      <c r="U9" s="711">
        <f t="shared" si="1"/>
        <v>100</v>
      </c>
      <c r="V9" s="710" t="s">
        <v>17</v>
      </c>
      <c r="W9" s="711">
        <f t="shared" si="2"/>
        <v>100</v>
      </c>
      <c r="X9" s="712"/>
      <c r="Y9" s="32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2"/>
      <c r="Q10" s="1527" t="str">
        <f t="shared" si="6"/>
        <v>土地使用年限（年）</v>
      </c>
      <c r="R10" s="710" t="s">
        <v>17</v>
      </c>
      <c r="S10" s="711">
        <f t="shared" si="0"/>
        <v>100</v>
      </c>
      <c r="T10" s="710" t="s">
        <v>17</v>
      </c>
      <c r="U10" s="711">
        <f t="shared" si="1"/>
        <v>100</v>
      </c>
      <c r="V10" s="710" t="s">
        <v>17</v>
      </c>
      <c r="W10" s="711">
        <f t="shared" si="2"/>
        <v>100</v>
      </c>
      <c r="X10" s="712"/>
      <c r="Y10" s="325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2"/>
      <c r="Q11" s="1527" t="str">
        <f t="shared" si="6"/>
        <v>容积率</v>
      </c>
      <c r="R11" s="710" t="s">
        <v>17</v>
      </c>
      <c r="S11" s="711" t="e">
        <f t="shared" si="0"/>
        <v>#N/A</v>
      </c>
      <c r="T11" s="710" t="s">
        <v>17</v>
      </c>
      <c r="U11" s="711" t="e">
        <f t="shared" si="1"/>
        <v>#N/A</v>
      </c>
      <c r="V11" s="710" t="s">
        <v>17</v>
      </c>
      <c r="W11" s="711" t="e">
        <f t="shared" si="2"/>
        <v>#N/A</v>
      </c>
      <c r="X11" s="712"/>
      <c r="Y11" s="325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02"/>
      <c r="Q12" s="1527">
        <f t="shared" si="6"/>
        <v>111</v>
      </c>
      <c r="R12" s="710" t="s">
        <v>17</v>
      </c>
      <c r="S12" s="711">
        <f t="shared" si="0"/>
        <v>100</v>
      </c>
      <c r="T12" s="710" t="s">
        <v>17</v>
      </c>
      <c r="U12" s="711">
        <f t="shared" si="1"/>
        <v>100</v>
      </c>
      <c r="V12" s="710" t="s">
        <v>17</v>
      </c>
      <c r="W12" s="711">
        <f t="shared" si="2"/>
        <v>100</v>
      </c>
      <c r="X12" s="712"/>
      <c r="Y12" s="325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02"/>
      <c r="Q13" s="1527">
        <f t="shared" si="6"/>
        <v>111</v>
      </c>
      <c r="R13" s="710" t="s">
        <v>17</v>
      </c>
      <c r="S13" s="711">
        <f t="shared" si="0"/>
        <v>100</v>
      </c>
      <c r="T13" s="710" t="s">
        <v>17</v>
      </c>
      <c r="U13" s="711">
        <f t="shared" si="1"/>
        <v>100</v>
      </c>
      <c r="V13" s="710" t="s">
        <v>17</v>
      </c>
      <c r="W13" s="711">
        <f t="shared" si="2"/>
        <v>100</v>
      </c>
      <c r="X13" s="712"/>
      <c r="Y13" s="325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02"/>
      <c r="Q14" s="1527">
        <f t="shared" si="6"/>
        <v>111</v>
      </c>
      <c r="R14" s="710" t="s">
        <v>17</v>
      </c>
      <c r="S14" s="711">
        <f t="shared" si="0"/>
        <v>100</v>
      </c>
      <c r="T14" s="710" t="s">
        <v>17</v>
      </c>
      <c r="U14" s="711">
        <f t="shared" si="1"/>
        <v>100</v>
      </c>
      <c r="V14" s="710" t="s">
        <v>17</v>
      </c>
      <c r="W14" s="711">
        <f t="shared" si="2"/>
        <v>100</v>
      </c>
      <c r="X14" s="712"/>
      <c r="Y14" s="3258"/>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7" t="s">
        <v>2381</v>
      </c>
      <c r="Q15" s="1536" t="str">
        <f t="shared" si="6"/>
        <v>产业集聚程度</v>
      </c>
      <c r="R15" s="714" t="s">
        <v>17</v>
      </c>
      <c r="S15" s="715">
        <f t="shared" si="0"/>
        <v>100</v>
      </c>
      <c r="T15" s="714" t="s">
        <v>17</v>
      </c>
      <c r="U15" s="715">
        <f t="shared" si="1"/>
        <v>100</v>
      </c>
      <c r="V15" s="714" t="s">
        <v>17</v>
      </c>
      <c r="W15" s="715">
        <f t="shared" si="2"/>
        <v>100</v>
      </c>
      <c r="X15" s="1539"/>
      <c r="Y15" s="3317"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8"/>
      <c r="Q16" s="1536"/>
      <c r="R16" s="714"/>
      <c r="S16" s="715"/>
      <c r="T16" s="714"/>
      <c r="U16" s="715"/>
      <c r="V16" s="714"/>
      <c r="W16" s="715"/>
      <c r="X16" s="1539"/>
      <c r="Y16" s="3318"/>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8"/>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8"/>
      <c r="Q18" s="1536"/>
      <c r="R18" s="714"/>
      <c r="S18" s="715"/>
      <c r="T18" s="714"/>
      <c r="U18" s="715"/>
      <c r="V18" s="714"/>
      <c r="W18" s="715"/>
      <c r="X18" s="1539"/>
      <c r="Y18" s="3318"/>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8"/>
      <c r="Q19" s="1536" t="str">
        <f>B19</f>
        <v>公共配套设施</v>
      </c>
      <c r="R19" s="714" t="s">
        <v>17</v>
      </c>
      <c r="S19" s="715">
        <f>F19</f>
        <v>100</v>
      </c>
      <c r="T19" s="714" t="s">
        <v>17</v>
      </c>
      <c r="U19" s="715">
        <f>H19</f>
        <v>100</v>
      </c>
      <c r="V19" s="714" t="s">
        <v>17</v>
      </c>
      <c r="W19" s="715">
        <f>J19</f>
        <v>100</v>
      </c>
      <c r="X19" s="1539"/>
      <c r="Y19" s="331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8"/>
      <c r="Q20" s="1536"/>
      <c r="R20" s="714"/>
      <c r="S20" s="715"/>
      <c r="T20" s="714"/>
      <c r="U20" s="715"/>
      <c r="V20" s="714"/>
      <c r="W20" s="715"/>
      <c r="X20" s="1539"/>
      <c r="Y20" s="3318"/>
      <c r="Z20" s="1540"/>
      <c r="AA20" s="1537">
        <v>1</v>
      </c>
      <c r="AB20" s="1537">
        <v>1</v>
      </c>
      <c r="AC20" s="1537">
        <v>1</v>
      </c>
    </row>
    <row r="21" spans="1:29" ht="28.5">
      <c r="A21" s="387"/>
      <c r="B21" s="1292"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8"/>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1054"/>
      <c r="M22" s="1045"/>
      <c r="N22" s="1045"/>
      <c r="O22" s="1053"/>
      <c r="P22" s="3318"/>
      <c r="Q22" s="1536"/>
      <c r="R22" s="714"/>
      <c r="S22" s="715"/>
      <c r="T22" s="714"/>
      <c r="U22" s="715"/>
      <c r="V22" s="714"/>
      <c r="W22" s="715"/>
      <c r="X22" s="1539"/>
      <c r="Y22" s="3318"/>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8"/>
      <c r="Q23" s="1536" t="str">
        <f>B23</f>
        <v>环境质量</v>
      </c>
      <c r="R23" s="714" t="s">
        <v>17</v>
      </c>
      <c r="S23" s="715">
        <f>F23</f>
        <v>100</v>
      </c>
      <c r="T23" s="714" t="s">
        <v>17</v>
      </c>
      <c r="U23" s="715">
        <f>H23</f>
        <v>100</v>
      </c>
      <c r="V23" s="714" t="s">
        <v>17</v>
      </c>
      <c r="W23" s="715">
        <f>J23</f>
        <v>100</v>
      </c>
      <c r="X23" s="1539"/>
      <c r="Y23" s="3318"/>
      <c r="Z23" s="1540" t="str">
        <f>Q23</f>
        <v>环境质量</v>
      </c>
      <c r="AA23" s="1537">
        <f t="shared" si="3"/>
        <v>1</v>
      </c>
      <c r="AB23" s="1537">
        <f t="shared" si="4"/>
        <v>1</v>
      </c>
      <c r="AC23" s="1537">
        <f t="shared" si="5"/>
        <v>1</v>
      </c>
    </row>
    <row r="24" spans="1:29" ht="15">
      <c r="A24" s="387"/>
      <c r="B24" s="1292"/>
      <c r="C24" s="406"/>
      <c r="D24" s="407"/>
      <c r="E24" s="2084"/>
      <c r="F24" s="408"/>
      <c r="G24" s="2083"/>
      <c r="H24" s="407"/>
      <c r="I24" s="2084"/>
      <c r="J24" s="407"/>
      <c r="K24" s="572"/>
      <c r="L24" s="1054"/>
      <c r="M24" s="1045"/>
      <c r="N24" s="1045"/>
      <c r="O24" s="1053"/>
      <c r="P24" s="3318"/>
      <c r="Q24" s="1536"/>
      <c r="R24" s="714"/>
      <c r="S24" s="715"/>
      <c r="T24" s="714"/>
      <c r="U24" s="715"/>
      <c r="V24" s="714"/>
      <c r="W24" s="715"/>
      <c r="X24" s="1539"/>
      <c r="Y24" s="3318"/>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8"/>
      <c r="Q25" s="1536">
        <f>B25</f>
        <v>111</v>
      </c>
      <c r="R25" s="714" t="s">
        <v>17</v>
      </c>
      <c r="S25" s="715">
        <f>F25</f>
        <v>100</v>
      </c>
      <c r="T25" s="714" t="s">
        <v>17</v>
      </c>
      <c r="U25" s="715">
        <f>H25</f>
        <v>100</v>
      </c>
      <c r="V25" s="714" t="s">
        <v>17</v>
      </c>
      <c r="W25" s="715">
        <f>J25</f>
        <v>100</v>
      </c>
      <c r="X25" s="1539"/>
      <c r="Y25" s="3318"/>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8"/>
      <c r="Q26" s="1536">
        <f t="shared" ref="Q26:Q40" si="11">B26</f>
        <v>111</v>
      </c>
      <c r="R26" s="714" t="s">
        <v>17</v>
      </c>
      <c r="S26" s="715">
        <f>F26</f>
        <v>100</v>
      </c>
      <c r="T26" s="714" t="s">
        <v>17</v>
      </c>
      <c r="U26" s="715">
        <f>H26</f>
        <v>100</v>
      </c>
      <c r="V26" s="714" t="s">
        <v>17</v>
      </c>
      <c r="W26" s="715">
        <f>J26</f>
        <v>100</v>
      </c>
      <c r="X26" s="1539"/>
      <c r="Y26" s="3318"/>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8"/>
      <c r="Q27" s="1527">
        <f t="shared" si="11"/>
        <v>111</v>
      </c>
      <c r="R27" s="710" t="s">
        <v>17</v>
      </c>
      <c r="S27" s="711">
        <f>F27</f>
        <v>100</v>
      </c>
      <c r="T27" s="710" t="s">
        <v>17</v>
      </c>
      <c r="U27" s="711">
        <f>H27</f>
        <v>100</v>
      </c>
      <c r="V27" s="710" t="s">
        <v>17</v>
      </c>
      <c r="W27" s="711">
        <f>J27</f>
        <v>100</v>
      </c>
      <c r="X27" s="712"/>
      <c r="Y27" s="3318"/>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8"/>
      <c r="Q28" s="1536">
        <f t="shared" si="11"/>
        <v>111</v>
      </c>
      <c r="R28" s="714" t="s">
        <v>17</v>
      </c>
      <c r="S28" s="715">
        <f t="shared" ref="S28:S40" si="12">F28</f>
        <v>100</v>
      </c>
      <c r="T28" s="714" t="s">
        <v>17</v>
      </c>
      <c r="U28" s="715">
        <f t="shared" ref="U28:U40" si="13">H28</f>
        <v>100</v>
      </c>
      <c r="V28" s="714" t="s">
        <v>17</v>
      </c>
      <c r="W28" s="715">
        <f t="shared" ref="W28:W40" si="14">J28</f>
        <v>100</v>
      </c>
      <c r="X28" s="1539"/>
      <c r="Y28" s="3318"/>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19" t="s">
        <v>2386</v>
      </c>
      <c r="Q29" s="1536" t="str">
        <f t="shared" si="11"/>
        <v>建筑类型</v>
      </c>
      <c r="R29" s="714" t="s">
        <v>17</v>
      </c>
      <c r="S29" s="715">
        <f t="shared" si="12"/>
        <v>100</v>
      </c>
      <c r="T29" s="714" t="s">
        <v>17</v>
      </c>
      <c r="U29" s="715">
        <f t="shared" si="13"/>
        <v>100</v>
      </c>
      <c r="V29" s="714" t="s">
        <v>17</v>
      </c>
      <c r="W29" s="715">
        <f t="shared" si="14"/>
        <v>100</v>
      </c>
      <c r="X29" s="1539"/>
      <c r="Y29" s="332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0"/>
      <c r="Q30" s="716" t="str">
        <f t="shared" si="11"/>
        <v>项目建筑规模</v>
      </c>
      <c r="R30" s="717" t="s">
        <v>17</v>
      </c>
      <c r="S30" s="718" t="e">
        <f t="shared" si="12"/>
        <v>#N/A</v>
      </c>
      <c r="T30" s="717" t="s">
        <v>17</v>
      </c>
      <c r="U30" s="718" t="e">
        <f t="shared" si="13"/>
        <v>#N/A</v>
      </c>
      <c r="V30" s="717" t="s">
        <v>17</v>
      </c>
      <c r="W30" s="718" t="e">
        <f t="shared" si="14"/>
        <v>#N/A</v>
      </c>
      <c r="X30" s="719"/>
      <c r="Y30" s="332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0"/>
      <c r="Q31" s="1536" t="str">
        <f t="shared" si="11"/>
        <v>建筑结构</v>
      </c>
      <c r="R31" s="714" t="s">
        <v>17</v>
      </c>
      <c r="S31" s="715">
        <f t="shared" si="12"/>
        <v>100</v>
      </c>
      <c r="T31" s="714" t="s">
        <v>17</v>
      </c>
      <c r="U31" s="715">
        <f t="shared" si="13"/>
        <v>100</v>
      </c>
      <c r="V31" s="714" t="s">
        <v>17</v>
      </c>
      <c r="W31" s="715">
        <f t="shared" si="14"/>
        <v>100</v>
      </c>
      <c r="X31" s="1539"/>
      <c r="Y31" s="332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0"/>
      <c r="Q32" s="1536" t="str">
        <f t="shared" si="11"/>
        <v>公共部分装修</v>
      </c>
      <c r="R32" s="714" t="s">
        <v>17</v>
      </c>
      <c r="S32" s="715">
        <f t="shared" si="12"/>
        <v>100</v>
      </c>
      <c r="T32" s="714" t="s">
        <v>17</v>
      </c>
      <c r="U32" s="715">
        <f t="shared" si="13"/>
        <v>100</v>
      </c>
      <c r="V32" s="714" t="s">
        <v>17</v>
      </c>
      <c r="W32" s="715">
        <f t="shared" si="14"/>
        <v>100</v>
      </c>
      <c r="X32" s="1539"/>
      <c r="Y32" s="332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0"/>
      <c r="Q33" s="1536" t="str">
        <f t="shared" si="11"/>
        <v>成新度</v>
      </c>
      <c r="R33" s="714" t="s">
        <v>17</v>
      </c>
      <c r="S33" s="715" t="e">
        <f t="shared" si="12"/>
        <v>#N/A</v>
      </c>
      <c r="T33" s="714" t="s">
        <v>17</v>
      </c>
      <c r="U33" s="715" t="e">
        <f t="shared" si="13"/>
        <v>#N/A</v>
      </c>
      <c r="V33" s="714" t="s">
        <v>17</v>
      </c>
      <c r="W33" s="715" t="e">
        <f t="shared" si="14"/>
        <v>#N/A</v>
      </c>
      <c r="X33" s="1539"/>
      <c r="Y33" s="332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0"/>
      <c r="Q34" s="1527" t="str">
        <f t="shared" si="11"/>
        <v>物业管理</v>
      </c>
      <c r="R34" s="710" t="s">
        <v>17</v>
      </c>
      <c r="S34" s="711">
        <f t="shared" si="12"/>
        <v>100</v>
      </c>
      <c r="T34" s="710" t="s">
        <v>17</v>
      </c>
      <c r="U34" s="711">
        <f t="shared" si="13"/>
        <v>100</v>
      </c>
      <c r="V34" s="710" t="s">
        <v>17</v>
      </c>
      <c r="W34" s="711">
        <f t="shared" si="14"/>
        <v>100</v>
      </c>
      <c r="X34" s="712"/>
      <c r="Y34" s="332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0" t="s">
        <v>2386</v>
      </c>
      <c r="Q35" s="1536" t="str">
        <f t="shared" si="11"/>
        <v>市政基础设施</v>
      </c>
      <c r="R35" s="714" t="s">
        <v>17</v>
      </c>
      <c r="S35" s="715">
        <f t="shared" si="12"/>
        <v>100</v>
      </c>
      <c r="T35" s="714" t="s">
        <v>17</v>
      </c>
      <c r="U35" s="715">
        <f t="shared" si="13"/>
        <v>100</v>
      </c>
      <c r="V35" s="714" t="s">
        <v>17</v>
      </c>
      <c r="W35" s="715">
        <f t="shared" si="14"/>
        <v>100</v>
      </c>
      <c r="X35" s="1539"/>
      <c r="Y35" s="332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0"/>
      <c r="Q36" s="1536" t="str">
        <f t="shared" si="11"/>
        <v>内部装修</v>
      </c>
      <c r="R36" s="714" t="s">
        <v>17</v>
      </c>
      <c r="S36" s="715">
        <f t="shared" si="12"/>
        <v>100</v>
      </c>
      <c r="T36" s="714" t="s">
        <v>17</v>
      </c>
      <c r="U36" s="715">
        <f t="shared" si="13"/>
        <v>100</v>
      </c>
      <c r="V36" s="714" t="s">
        <v>17</v>
      </c>
      <c r="W36" s="715">
        <f t="shared" si="14"/>
        <v>100</v>
      </c>
      <c r="X36" s="1539"/>
      <c r="Y36" s="332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0"/>
      <c r="Q37" s="1536" t="str">
        <f t="shared" si="11"/>
        <v>内部装修状况</v>
      </c>
      <c r="R37" s="714" t="s">
        <v>17</v>
      </c>
      <c r="S37" s="715">
        <f t="shared" si="12"/>
        <v>100</v>
      </c>
      <c r="T37" s="714" t="s">
        <v>17</v>
      </c>
      <c r="U37" s="715">
        <f t="shared" si="13"/>
        <v>100</v>
      </c>
      <c r="V37" s="714" t="s">
        <v>17</v>
      </c>
      <c r="W37" s="715">
        <f t="shared" si="14"/>
        <v>100</v>
      </c>
      <c r="X37" s="1539"/>
      <c r="Y37" s="3320"/>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0"/>
      <c r="Q38" s="716">
        <f t="shared" si="11"/>
        <v>111</v>
      </c>
      <c r="R38" s="717" t="s">
        <v>17</v>
      </c>
      <c r="S38" s="718">
        <f t="shared" si="12"/>
        <v>100</v>
      </c>
      <c r="T38" s="717" t="s">
        <v>17</v>
      </c>
      <c r="U38" s="718">
        <f t="shared" si="13"/>
        <v>100</v>
      </c>
      <c r="V38" s="717" t="s">
        <v>17</v>
      </c>
      <c r="W38" s="718">
        <f t="shared" si="14"/>
        <v>100</v>
      </c>
      <c r="X38" s="719"/>
      <c r="Y38" s="3320"/>
      <c r="Z38" s="720">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0"/>
      <c r="Q39" s="1536">
        <f t="shared" si="11"/>
        <v>111</v>
      </c>
      <c r="R39" s="714" t="s">
        <v>17</v>
      </c>
      <c r="S39" s="715">
        <f t="shared" si="12"/>
        <v>100</v>
      </c>
      <c r="T39" s="714" t="s">
        <v>17</v>
      </c>
      <c r="U39" s="715">
        <f t="shared" si="13"/>
        <v>100</v>
      </c>
      <c r="V39" s="714" t="s">
        <v>17</v>
      </c>
      <c r="W39" s="715">
        <f t="shared" si="14"/>
        <v>100</v>
      </c>
      <c r="X39" s="1539"/>
      <c r="Y39" s="332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1"/>
      <c r="Q40" s="1536">
        <f t="shared" si="11"/>
        <v>111</v>
      </c>
      <c r="R40" s="714" t="s">
        <v>17</v>
      </c>
      <c r="S40" s="715">
        <f t="shared" si="12"/>
        <v>100</v>
      </c>
      <c r="T40" s="714" t="s">
        <v>17</v>
      </c>
      <c r="U40" s="715">
        <f t="shared" si="13"/>
        <v>100</v>
      </c>
      <c r="V40" s="714" t="s">
        <v>17</v>
      </c>
      <c r="W40" s="715">
        <f t="shared" si="14"/>
        <v>100</v>
      </c>
      <c r="X40" s="1539"/>
      <c r="Y40" s="3391"/>
      <c r="Z40" s="1540">
        <f t="shared" si="15"/>
        <v>111</v>
      </c>
      <c r="AA40" s="1537">
        <f t="shared" si="3"/>
        <v>1</v>
      </c>
      <c r="AB40" s="1537">
        <f t="shared" si="4"/>
        <v>1</v>
      </c>
      <c r="AC40" s="1537">
        <f t="shared" si="5"/>
        <v>1</v>
      </c>
    </row>
    <row r="41" spans="1:29" ht="15">
      <c r="A41" s="438" t="s">
        <v>2398</v>
      </c>
      <c r="B41" s="439"/>
      <c r="C41" s="1315" t="s">
        <v>1</v>
      </c>
      <c r="D41" s="1316"/>
      <c r="E41" s="1317"/>
      <c r="F41" s="1318"/>
      <c r="G41" s="1319"/>
      <c r="H41" s="1320"/>
      <c r="I41" s="1317"/>
      <c r="J41" s="1320"/>
      <c r="K41" s="723"/>
      <c r="L41" s="1057"/>
      <c r="M41" s="1058"/>
      <c r="N41" s="1045"/>
      <c r="O41" s="1058"/>
      <c r="P41" s="3302" t="str">
        <f>A41</f>
        <v>成交单价（元/平方米）</v>
      </c>
      <c r="Q41" s="3302"/>
      <c r="R41" s="3387">
        <f>E41</f>
        <v>0</v>
      </c>
      <c r="S41" s="3387"/>
      <c r="T41" s="3387">
        <f>G41</f>
        <v>0</v>
      </c>
      <c r="U41" s="3387"/>
      <c r="V41" s="3387">
        <f>I41</f>
        <v>0</v>
      </c>
      <c r="W41" s="3387"/>
      <c r="X41" s="699"/>
      <c r="Y41" s="721"/>
      <c r="Z41" s="699"/>
      <c r="AA41" s="699"/>
      <c r="AB41" s="699"/>
      <c r="AC41" s="699"/>
    </row>
    <row r="42" spans="1:29" ht="15.75" thickBot="1">
      <c r="A42" s="445" t="s">
        <v>2490</v>
      </c>
      <c r="B42" s="446"/>
      <c r="C42" s="1321" t="e">
        <f>R43</f>
        <v>#DIV/0!</v>
      </c>
      <c r="D42" s="2529" t="s">
        <v>2879</v>
      </c>
      <c r="E42" s="1322" t="e">
        <f>R42</f>
        <v>#DIV/0!</v>
      </c>
      <c r="F42" s="2530"/>
      <c r="G42" s="1321" t="e">
        <f>T42</f>
        <v>#DIV/0!</v>
      </c>
      <c r="H42" s="2530"/>
      <c r="I42" s="1322" t="e">
        <f>V42</f>
        <v>#DIV/0!</v>
      </c>
      <c r="J42" s="2530"/>
      <c r="K42" s="2532">
        <f>F42+H42+J42</f>
        <v>0</v>
      </c>
      <c r="L42" s="1057"/>
      <c r="M42" s="1058"/>
      <c r="N42" s="1045"/>
      <c r="O42" s="1058"/>
      <c r="P42" s="3302" t="str">
        <f>A42</f>
        <v>比较价值（元/平方米）</v>
      </c>
      <c r="Q42" s="3302"/>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22" t="str">
        <f>A43</f>
        <v>估价对象XX用房的比较价值（楼面单价，元/平方米）</v>
      </c>
      <c r="Q43" s="3323"/>
      <c r="R43" s="3386" t="e">
        <f>IF(F1="售价",ROUND(IF(D42="简单平均",AVERAGE(R42:V42),R42*F42+T42*H42+V42*J42),0),ROUND(IF(D42="简单平均",AVERAGE(R42:V42),R42*F42+T42*H42+V42*J42),1))</f>
        <v>#DIV/0!</v>
      </c>
      <c r="S43" s="3386"/>
      <c r="T43" s="3386"/>
      <c r="U43" s="3386"/>
      <c r="V43" s="3386"/>
      <c r="W43" s="3386"/>
      <c r="X43" s="699"/>
      <c r="Y43" s="699"/>
      <c r="Z43" s="699"/>
      <c r="AA43" s="699"/>
      <c r="AB43" s="699"/>
      <c r="AC43" s="699"/>
    </row>
    <row r="44" spans="1:29">
      <c r="A44" s="2945"/>
      <c r="B44" s="2945"/>
      <c r="C44" s="2945"/>
      <c r="D44" s="2945"/>
      <c r="E44" s="2945"/>
      <c r="F44" s="2945"/>
      <c r="G44" s="2949"/>
      <c r="H44" s="2945"/>
      <c r="I44" s="2945"/>
      <c r="J44" s="2945"/>
      <c r="K44" s="2950"/>
      <c r="L44" s="1020"/>
      <c r="M44" s="1058"/>
      <c r="N44" s="1058"/>
      <c r="O44" s="1058"/>
    </row>
    <row r="45" spans="1:29">
      <c r="A45" s="2945"/>
      <c r="B45" s="2945"/>
      <c r="C45" s="2945"/>
      <c r="D45" s="2945"/>
      <c r="E45" s="2945"/>
      <c r="F45" s="2945"/>
      <c r="G45" s="2945"/>
      <c r="H45" s="2945"/>
      <c r="I45" s="2945"/>
      <c r="J45" s="2945"/>
      <c r="K45" s="2950"/>
      <c r="L45" s="1020"/>
      <c r="M45" s="1058"/>
      <c r="N45" s="1058"/>
      <c r="O45" s="1058"/>
    </row>
    <row r="46" spans="1:29"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20"/>
      <c r="M46" s="1058"/>
      <c r="N46" s="1058"/>
      <c r="O46" s="1058"/>
    </row>
    <row r="47" spans="1:29"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20"/>
      <c r="M47" s="1058"/>
      <c r="N47" s="1058"/>
      <c r="O47" s="1058"/>
    </row>
    <row r="48" spans="1:29"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61"/>
      <c r="M48" s="1059"/>
      <c r="N48" s="1059"/>
      <c r="O48" s="1059"/>
    </row>
    <row r="49" spans="1:17" s="459" customFormat="1">
      <c r="A49" s="2948"/>
      <c r="B49" s="2951"/>
      <c r="C49" s="2952"/>
      <c r="D49" s="2948"/>
      <c r="E49" s="2948"/>
      <c r="F49" s="2948"/>
      <c r="G49" s="2948"/>
      <c r="H49" s="2948"/>
      <c r="I49" s="2948"/>
      <c r="J49" s="2948"/>
      <c r="K49" s="2953"/>
      <c r="L49" s="1061"/>
      <c r="M49" s="1059"/>
      <c r="N49" s="1059"/>
      <c r="O49" s="1059"/>
    </row>
    <row r="50" spans="1:17">
      <c r="A50" s="2945"/>
      <c r="B50" s="2951"/>
      <c r="C50" s="2952"/>
      <c r="D50" s="2945"/>
      <c r="E50" s="2945"/>
      <c r="F50" s="2945"/>
      <c r="G50" s="2945"/>
      <c r="H50" s="2945"/>
      <c r="I50" s="2945"/>
      <c r="J50" s="2945"/>
      <c r="K50" s="295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2022-1</v>
      </c>
      <c r="D52" s="1346">
        <f>EDATE(C52,-1)</f>
        <v>44531</v>
      </c>
      <c r="E52" s="1346">
        <f t="shared" ref="E52:O52" si="16">EDATE(D52,-1)</f>
        <v>44501</v>
      </c>
      <c r="F52" s="1346">
        <f t="shared" si="16"/>
        <v>44470</v>
      </c>
      <c r="G52" s="1346">
        <f t="shared" si="16"/>
        <v>44440</v>
      </c>
      <c r="H52" s="1346">
        <f t="shared" si="16"/>
        <v>44409</v>
      </c>
      <c r="I52" s="1346">
        <f t="shared" si="16"/>
        <v>44378</v>
      </c>
      <c r="J52" s="1346">
        <f t="shared" si="16"/>
        <v>44348</v>
      </c>
      <c r="K52" s="1346">
        <f t="shared" si="16"/>
        <v>44317</v>
      </c>
      <c r="L52" s="1346">
        <f t="shared" si="16"/>
        <v>44287</v>
      </c>
      <c r="M52" s="1346">
        <f t="shared" si="16"/>
        <v>44256</v>
      </c>
      <c r="N52" s="1346">
        <f t="shared" si="16"/>
        <v>44228</v>
      </c>
      <c r="O52" s="1346">
        <f t="shared" si="16"/>
        <v>44197</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0"/>
      <c r="O54" s="299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5"/>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54"/>
      <c r="M2" s="2955"/>
      <c r="N2" s="2955"/>
      <c r="O2" s="2955"/>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4"/>
      <c r="M3" s="2955"/>
      <c r="N3" s="2955"/>
      <c r="O3" s="2955"/>
      <c r="P3" s="1326"/>
      <c r="Q3" s="708"/>
      <c r="R3" s="708"/>
      <c r="S3" s="708"/>
      <c r="T3" s="708"/>
      <c r="U3" s="708"/>
      <c r="V3" s="708"/>
      <c r="W3" s="708"/>
      <c r="X3" s="708"/>
      <c r="Y3" s="708"/>
      <c r="Z3" s="708"/>
      <c r="AA3" s="708"/>
      <c r="AB3" s="725"/>
      <c r="AC3" s="722"/>
    </row>
    <row r="4" spans="1:29" ht="15">
      <c r="A4" s="361" t="s">
        <v>2466</v>
      </c>
      <c r="B4" s="362"/>
      <c r="C4" s="3303" t="s">
        <v>2467</v>
      </c>
      <c r="D4" s="3304"/>
      <c r="E4" s="3305" t="s">
        <v>2468</v>
      </c>
      <c r="F4" s="3306"/>
      <c r="G4" s="3303" t="s">
        <v>2469</v>
      </c>
      <c r="H4" s="3304"/>
      <c r="I4" s="3303" t="s">
        <v>2470</v>
      </c>
      <c r="J4" s="3304"/>
      <c r="K4" s="567" t="s">
        <v>2471</v>
      </c>
      <c r="L4" s="2935"/>
      <c r="M4" s="2936"/>
      <c r="N4" s="2936"/>
      <c r="O4" s="2936"/>
      <c r="P4" s="3307" t="s">
        <v>2472</v>
      </c>
      <c r="Q4" s="3308"/>
      <c r="R4" s="3290" t="s">
        <v>2468</v>
      </c>
      <c r="S4" s="3291"/>
      <c r="T4" s="3290" t="s">
        <v>2469</v>
      </c>
      <c r="U4" s="3291"/>
      <c r="V4" s="3315" t="s">
        <v>2470</v>
      </c>
      <c r="W4" s="3315"/>
      <c r="X4" s="1539"/>
      <c r="Y4" s="3290" t="s">
        <v>2472</v>
      </c>
      <c r="Z4" s="3291"/>
      <c r="AA4" s="3285" t="s">
        <v>2468</v>
      </c>
      <c r="AB4" s="3286" t="s">
        <v>2469</v>
      </c>
      <c r="AC4" s="3285" t="s">
        <v>2470</v>
      </c>
    </row>
    <row r="5" spans="1:29" ht="15">
      <c r="A5" s="364"/>
      <c r="B5" s="365"/>
      <c r="C5" s="3296" t="s">
        <v>2363</v>
      </c>
      <c r="D5" s="3297"/>
      <c r="E5" s="3294" t="s">
        <v>2364</v>
      </c>
      <c r="F5" s="3295"/>
      <c r="G5" s="3296" t="s">
        <v>2365</v>
      </c>
      <c r="H5" s="3297"/>
      <c r="I5" s="3296" t="s">
        <v>2366</v>
      </c>
      <c r="J5" s="3297"/>
      <c r="K5" s="567"/>
      <c r="L5" s="2935"/>
      <c r="M5" s="2936"/>
      <c r="N5" s="2936"/>
      <c r="O5" s="2936"/>
      <c r="P5" s="3309"/>
      <c r="Q5" s="3310"/>
      <c r="R5" s="3292"/>
      <c r="S5" s="3293"/>
      <c r="T5" s="3292"/>
      <c r="U5" s="3293"/>
      <c r="V5" s="3315"/>
      <c r="W5" s="3315"/>
      <c r="X5" s="1539"/>
      <c r="Y5" s="3292"/>
      <c r="Z5" s="3293"/>
      <c r="AA5" s="3286"/>
      <c r="AB5" s="3286"/>
      <c r="AC5" s="3286"/>
    </row>
    <row r="6" spans="1:29" ht="15.75" thickBot="1">
      <c r="A6" s="366"/>
      <c r="B6" s="367"/>
      <c r="C6" s="3298" t="s">
        <v>2367</v>
      </c>
      <c r="D6" s="3299"/>
      <c r="E6" s="3300" t="s">
        <v>2367</v>
      </c>
      <c r="F6" s="3301"/>
      <c r="G6" s="3298" t="s">
        <v>2367</v>
      </c>
      <c r="H6" s="3299"/>
      <c r="I6" s="3298" t="s">
        <v>2367</v>
      </c>
      <c r="J6" s="3299"/>
      <c r="K6" s="567" t="s">
        <v>2368</v>
      </c>
      <c r="L6" s="2935"/>
      <c r="M6" s="2936"/>
      <c r="N6" s="2936"/>
      <c r="O6" s="2936"/>
      <c r="P6" s="3311"/>
      <c r="Q6" s="3312"/>
      <c r="R6" s="3292"/>
      <c r="S6" s="3293"/>
      <c r="T6" s="3313"/>
      <c r="U6" s="3314"/>
      <c r="V6" s="3315"/>
      <c r="W6" s="3315"/>
      <c r="X6" s="1539"/>
      <c r="Y6" s="3313"/>
      <c r="Z6" s="3314"/>
      <c r="AA6" s="3287"/>
      <c r="AB6" s="3287"/>
      <c r="AC6" s="3287"/>
    </row>
    <row r="7" spans="1:29" s="113" customFormat="1" ht="15.75" thickBot="1">
      <c r="A7" s="368" t="s">
        <v>2369</v>
      </c>
      <c r="B7" s="369"/>
      <c r="C7" s="370">
        <f>'数据-取费表'!B2</f>
        <v>44580</v>
      </c>
      <c r="D7" s="371">
        <v>100</v>
      </c>
      <c r="E7" s="372"/>
      <c r="F7" s="373">
        <f>SUMIF(48:48,YEAR(E7)&amp;"-"&amp;MONTH(E7),49:49)</f>
        <v>0</v>
      </c>
      <c r="G7" s="372"/>
      <c r="H7" s="371">
        <f>SUMIF(48:48,YEAR(G7)&amp;"-"&amp;MONTH(G7),49:49)</f>
        <v>0</v>
      </c>
      <c r="I7" s="372"/>
      <c r="J7" s="371">
        <f>SUMIF(48:48,YEAR(I7)&amp;"-"&amp;MONTH(I7),49:49)</f>
        <v>0</v>
      </c>
      <c r="K7" s="568"/>
      <c r="L7" s="2937"/>
      <c r="M7" s="2938"/>
      <c r="N7" s="2938"/>
      <c r="O7" s="2938"/>
      <c r="P7" s="3288" t="s">
        <v>2370</v>
      </c>
      <c r="Q7" s="3316"/>
      <c r="R7" s="710" t="s">
        <v>17</v>
      </c>
      <c r="S7" s="711">
        <f t="shared" ref="S7:S14" si="0">F7</f>
        <v>0</v>
      </c>
      <c r="T7" s="710" t="s">
        <v>17</v>
      </c>
      <c r="U7" s="711">
        <f t="shared" ref="U7:U14" si="1">H7</f>
        <v>0</v>
      </c>
      <c r="V7" s="710" t="s">
        <v>17</v>
      </c>
      <c r="W7" s="711">
        <f t="shared" ref="W7:W14" si="2">J7</f>
        <v>0</v>
      </c>
      <c r="X7" s="712"/>
      <c r="Y7" s="3288" t="s">
        <v>2370</v>
      </c>
      <c r="Z7" s="3289"/>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288" t="s">
        <v>2373</v>
      </c>
      <c r="Q8" s="3289"/>
      <c r="R8" s="710" t="s">
        <v>17</v>
      </c>
      <c r="S8" s="711">
        <f t="shared" si="0"/>
        <v>0</v>
      </c>
      <c r="T8" s="710" t="s">
        <v>17</v>
      </c>
      <c r="U8" s="711">
        <f t="shared" si="1"/>
        <v>0</v>
      </c>
      <c r="V8" s="710" t="s">
        <v>17</v>
      </c>
      <c r="W8" s="711">
        <f t="shared" si="2"/>
        <v>0</v>
      </c>
      <c r="X8" s="712"/>
      <c r="Y8" s="3288" t="s">
        <v>2373</v>
      </c>
      <c r="Z8" s="3289"/>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302" t="s">
        <v>2376</v>
      </c>
      <c r="Q9" s="1527" t="str">
        <f t="shared" ref="Q9:Q14" si="6">B9</f>
        <v>用途</v>
      </c>
      <c r="R9" s="710" t="s">
        <v>17</v>
      </c>
      <c r="S9" s="711">
        <f t="shared" si="0"/>
        <v>100</v>
      </c>
      <c r="T9" s="710" t="s">
        <v>17</v>
      </c>
      <c r="U9" s="711">
        <f t="shared" si="1"/>
        <v>100</v>
      </c>
      <c r="V9" s="710" t="s">
        <v>17</v>
      </c>
      <c r="W9" s="711">
        <f t="shared" si="2"/>
        <v>100</v>
      </c>
      <c r="X9" s="712"/>
      <c r="Y9" s="325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302"/>
      <c r="Q10" s="1527" t="str">
        <f t="shared" si="6"/>
        <v>土地使用年限（年）</v>
      </c>
      <c r="R10" s="710" t="s">
        <v>17</v>
      </c>
      <c r="S10" s="711">
        <f t="shared" si="0"/>
        <v>100</v>
      </c>
      <c r="T10" s="710" t="s">
        <v>17</v>
      </c>
      <c r="U10" s="711">
        <f t="shared" si="1"/>
        <v>100</v>
      </c>
      <c r="V10" s="710" t="s">
        <v>17</v>
      </c>
      <c r="W10" s="711">
        <f t="shared" si="2"/>
        <v>100</v>
      </c>
      <c r="X10" s="712"/>
      <c r="Y10" s="325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302"/>
      <c r="Q11" s="1527">
        <f t="shared" si="6"/>
        <v>111</v>
      </c>
      <c r="R11" s="710" t="s">
        <v>17</v>
      </c>
      <c r="S11" s="711">
        <f t="shared" si="0"/>
        <v>100</v>
      </c>
      <c r="T11" s="710" t="s">
        <v>17</v>
      </c>
      <c r="U11" s="711">
        <f t="shared" si="1"/>
        <v>100</v>
      </c>
      <c r="V11" s="710" t="s">
        <v>17</v>
      </c>
      <c r="W11" s="711">
        <f t="shared" si="2"/>
        <v>100</v>
      </c>
      <c r="X11" s="712"/>
      <c r="Y11" s="325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302"/>
      <c r="Q12" s="1527">
        <f t="shared" si="6"/>
        <v>111</v>
      </c>
      <c r="R12" s="710" t="s">
        <v>17</v>
      </c>
      <c r="S12" s="711">
        <f t="shared" si="0"/>
        <v>100</v>
      </c>
      <c r="T12" s="710" t="s">
        <v>17</v>
      </c>
      <c r="U12" s="711">
        <f t="shared" si="1"/>
        <v>100</v>
      </c>
      <c r="V12" s="710" t="s">
        <v>17</v>
      </c>
      <c r="W12" s="711">
        <f t="shared" si="2"/>
        <v>100</v>
      </c>
      <c r="X12" s="712"/>
      <c r="Y12" s="325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302"/>
      <c r="Q13" s="1527">
        <f t="shared" si="6"/>
        <v>111</v>
      </c>
      <c r="R13" s="710" t="s">
        <v>17</v>
      </c>
      <c r="S13" s="711">
        <f t="shared" si="0"/>
        <v>100</v>
      </c>
      <c r="T13" s="710" t="s">
        <v>17</v>
      </c>
      <c r="U13" s="711">
        <f t="shared" si="1"/>
        <v>100</v>
      </c>
      <c r="V13" s="710" t="s">
        <v>17</v>
      </c>
      <c r="W13" s="711">
        <f t="shared" si="2"/>
        <v>100</v>
      </c>
      <c r="X13" s="712"/>
      <c r="Y13" s="3258"/>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317" t="s">
        <v>2381</v>
      </c>
      <c r="Q14" s="1536" t="str">
        <f t="shared" si="6"/>
        <v>交通便捷度</v>
      </c>
      <c r="R14" s="714" t="s">
        <v>17</v>
      </c>
      <c r="S14" s="715">
        <f t="shared" si="0"/>
        <v>100</v>
      </c>
      <c r="T14" s="714" t="s">
        <v>17</v>
      </c>
      <c r="U14" s="715">
        <f t="shared" si="1"/>
        <v>100</v>
      </c>
      <c r="V14" s="714" t="s">
        <v>17</v>
      </c>
      <c r="W14" s="715">
        <f t="shared" si="2"/>
        <v>100</v>
      </c>
      <c r="X14" s="1539"/>
      <c r="Y14" s="3317"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2"/>
      <c r="M15" s="2936"/>
      <c r="N15" s="2936"/>
      <c r="O15" s="2936"/>
      <c r="P15" s="3318"/>
      <c r="Q15" s="1536"/>
      <c r="R15" s="714"/>
      <c r="S15" s="715"/>
      <c r="T15" s="714"/>
      <c r="U15" s="715"/>
      <c r="V15" s="714"/>
      <c r="W15" s="715"/>
      <c r="X15" s="1539"/>
      <c r="Y15" s="3318"/>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318"/>
      <c r="Q16" s="1536" t="str">
        <f>B16</f>
        <v>公共配套设施</v>
      </c>
      <c r="R16" s="714" t="s">
        <v>17</v>
      </c>
      <c r="S16" s="715">
        <f>F16</f>
        <v>100</v>
      </c>
      <c r="T16" s="714" t="s">
        <v>17</v>
      </c>
      <c r="U16" s="715">
        <f>H16</f>
        <v>100</v>
      </c>
      <c r="V16" s="714" t="s">
        <v>17</v>
      </c>
      <c r="W16" s="715">
        <f>J16</f>
        <v>100</v>
      </c>
      <c r="X16" s="1539"/>
      <c r="Y16" s="331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2"/>
      <c r="M17" s="2936"/>
      <c r="N17" s="2936"/>
      <c r="O17" s="2936"/>
      <c r="P17" s="3318"/>
      <c r="Q17" s="1536"/>
      <c r="R17" s="714"/>
      <c r="S17" s="715"/>
      <c r="T17" s="714"/>
      <c r="U17" s="715"/>
      <c r="V17" s="714"/>
      <c r="W17" s="715"/>
      <c r="X17" s="1539"/>
      <c r="Y17" s="3318"/>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318"/>
      <c r="Q18" s="1536" t="str">
        <f>B18</f>
        <v>基础设施水平</v>
      </c>
      <c r="R18" s="714" t="s">
        <v>17</v>
      </c>
      <c r="S18" s="715">
        <f>F18</f>
        <v>100</v>
      </c>
      <c r="T18" s="714" t="s">
        <v>17</v>
      </c>
      <c r="U18" s="715">
        <f>H18</f>
        <v>100</v>
      </c>
      <c r="V18" s="714" t="s">
        <v>17</v>
      </c>
      <c r="W18" s="715">
        <f>J18</f>
        <v>100</v>
      </c>
      <c r="X18" s="1539"/>
      <c r="Y18" s="331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1"/>
      <c r="L19" s="2942"/>
      <c r="M19" s="2936"/>
      <c r="N19" s="2936"/>
      <c r="O19" s="2936"/>
      <c r="P19" s="3318"/>
      <c r="Q19" s="1536"/>
      <c r="R19" s="714"/>
      <c r="S19" s="715"/>
      <c r="T19" s="714"/>
      <c r="U19" s="715"/>
      <c r="V19" s="714"/>
      <c r="W19" s="715"/>
      <c r="X19" s="1539"/>
      <c r="Y19" s="3318"/>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318"/>
      <c r="Q20" s="1536" t="str">
        <f>B20</f>
        <v>自然及人文环境</v>
      </c>
      <c r="R20" s="714" t="s">
        <v>17</v>
      </c>
      <c r="S20" s="715">
        <f>F20</f>
        <v>100</v>
      </c>
      <c r="T20" s="714" t="s">
        <v>17</v>
      </c>
      <c r="U20" s="715">
        <f>H20</f>
        <v>100</v>
      </c>
      <c r="V20" s="714" t="s">
        <v>17</v>
      </c>
      <c r="W20" s="715">
        <f>J20</f>
        <v>100</v>
      </c>
      <c r="X20" s="1539"/>
      <c r="Y20" s="331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2"/>
      <c r="M21" s="2936"/>
      <c r="N21" s="2936"/>
      <c r="O21" s="2936"/>
      <c r="P21" s="3318"/>
      <c r="Q21" s="1536"/>
      <c r="R21" s="714"/>
      <c r="S21" s="715"/>
      <c r="T21" s="714"/>
      <c r="U21" s="715"/>
      <c r="V21" s="714"/>
      <c r="W21" s="715"/>
      <c r="X21" s="1539"/>
      <c r="Y21" s="3318"/>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318"/>
      <c r="Q22" s="1536" t="str">
        <f>B22</f>
        <v>楼层</v>
      </c>
      <c r="R22" s="714" t="s">
        <v>17</v>
      </c>
      <c r="S22" s="715">
        <f>F22</f>
        <v>100</v>
      </c>
      <c r="T22" s="714" t="s">
        <v>17</v>
      </c>
      <c r="U22" s="715">
        <f>H22</f>
        <v>100</v>
      </c>
      <c r="V22" s="714" t="s">
        <v>17</v>
      </c>
      <c r="W22" s="715">
        <f>J22</f>
        <v>100</v>
      </c>
      <c r="X22" s="1539"/>
      <c r="Y22" s="331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318"/>
      <c r="Q23" s="1536">
        <f>B23</f>
        <v>111</v>
      </c>
      <c r="R23" s="714" t="s">
        <v>17</v>
      </c>
      <c r="S23" s="715">
        <f>F23</f>
        <v>100</v>
      </c>
      <c r="T23" s="714" t="s">
        <v>17</v>
      </c>
      <c r="U23" s="715">
        <f>H23</f>
        <v>100</v>
      </c>
      <c r="V23" s="714" t="s">
        <v>17</v>
      </c>
      <c r="W23" s="715">
        <f>J23</f>
        <v>100</v>
      </c>
      <c r="X23" s="1539"/>
      <c r="Y23" s="331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318"/>
      <c r="Q24" s="1536">
        <f t="shared" ref="Q24:Q36" si="11">B24</f>
        <v>111</v>
      </c>
      <c r="R24" s="714" t="s">
        <v>17</v>
      </c>
      <c r="S24" s="715">
        <f>F24</f>
        <v>100</v>
      </c>
      <c r="T24" s="714" t="s">
        <v>17</v>
      </c>
      <c r="U24" s="715">
        <f>H24</f>
        <v>100</v>
      </c>
      <c r="V24" s="714" t="s">
        <v>17</v>
      </c>
      <c r="W24" s="715">
        <f>J24</f>
        <v>100</v>
      </c>
      <c r="X24" s="1539"/>
      <c r="Y24" s="331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318"/>
      <c r="Q25" s="1527">
        <f t="shared" si="11"/>
        <v>111</v>
      </c>
      <c r="R25" s="710" t="s">
        <v>17</v>
      </c>
      <c r="S25" s="711">
        <f>F25</f>
        <v>100</v>
      </c>
      <c r="T25" s="710" t="s">
        <v>17</v>
      </c>
      <c r="U25" s="711">
        <f>H25</f>
        <v>100</v>
      </c>
      <c r="V25" s="710" t="s">
        <v>17</v>
      </c>
      <c r="W25" s="711">
        <f>J25</f>
        <v>100</v>
      </c>
      <c r="X25" s="712"/>
      <c r="Y25" s="3318"/>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319"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320"/>
      <c r="Q27" s="716" t="str">
        <f t="shared" si="11"/>
        <v>项目停车位配比</v>
      </c>
      <c r="R27" s="717" t="s">
        <v>17</v>
      </c>
      <c r="S27" s="718">
        <f t="shared" si="12"/>
        <v>100</v>
      </c>
      <c r="T27" s="717" t="s">
        <v>17</v>
      </c>
      <c r="U27" s="718">
        <f t="shared" si="13"/>
        <v>100</v>
      </c>
      <c r="V27" s="717" t="s">
        <v>17</v>
      </c>
      <c r="W27" s="718">
        <f t="shared" si="14"/>
        <v>100</v>
      </c>
      <c r="X27" s="719"/>
      <c r="Y27" s="332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320"/>
      <c r="Q28" s="1536" t="str">
        <f t="shared" si="11"/>
        <v>公共部分装修</v>
      </c>
      <c r="R28" s="714" t="s">
        <v>17</v>
      </c>
      <c r="S28" s="715">
        <f t="shared" si="12"/>
        <v>100</v>
      </c>
      <c r="T28" s="714" t="s">
        <v>17</v>
      </c>
      <c r="U28" s="715">
        <f t="shared" si="13"/>
        <v>100</v>
      </c>
      <c r="V28" s="714" t="s">
        <v>17</v>
      </c>
      <c r="W28" s="715">
        <f t="shared" si="14"/>
        <v>100</v>
      </c>
      <c r="X28" s="1539"/>
      <c r="Y28" s="332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320"/>
      <c r="Q29" s="1536" t="str">
        <f t="shared" si="11"/>
        <v>成新率</v>
      </c>
      <c r="R29" s="714" t="s">
        <v>17</v>
      </c>
      <c r="S29" s="715" t="e">
        <f t="shared" si="12"/>
        <v>#N/A</v>
      </c>
      <c r="T29" s="714" t="s">
        <v>17</v>
      </c>
      <c r="U29" s="715" t="e">
        <f t="shared" si="13"/>
        <v>#N/A</v>
      </c>
      <c r="V29" s="714" t="s">
        <v>17</v>
      </c>
      <c r="W29" s="715" t="e">
        <f t="shared" si="14"/>
        <v>#N/A</v>
      </c>
      <c r="X29" s="1539"/>
      <c r="Y29" s="332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320"/>
      <c r="Q30" s="1536" t="str">
        <f t="shared" si="11"/>
        <v>物业等级</v>
      </c>
      <c r="R30" s="714" t="s">
        <v>17</v>
      </c>
      <c r="S30" s="715">
        <f t="shared" si="12"/>
        <v>100</v>
      </c>
      <c r="T30" s="714" t="s">
        <v>17</v>
      </c>
      <c r="U30" s="715">
        <f t="shared" si="13"/>
        <v>100</v>
      </c>
      <c r="V30" s="714" t="s">
        <v>17</v>
      </c>
      <c r="W30" s="715">
        <f t="shared" si="14"/>
        <v>100</v>
      </c>
      <c r="X30" s="1539"/>
      <c r="Y30" s="332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320"/>
      <c r="Q31" s="1527" t="str">
        <f t="shared" si="11"/>
        <v>停车位面积</v>
      </c>
      <c r="R31" s="710" t="s">
        <v>17</v>
      </c>
      <c r="S31" s="711" t="e">
        <f t="shared" si="12"/>
        <v>#N/A</v>
      </c>
      <c r="T31" s="710" t="s">
        <v>17</v>
      </c>
      <c r="U31" s="711" t="e">
        <f t="shared" si="13"/>
        <v>#N/A</v>
      </c>
      <c r="V31" s="710" t="s">
        <v>17</v>
      </c>
      <c r="W31" s="711" t="e">
        <f t="shared" si="14"/>
        <v>#N/A</v>
      </c>
      <c r="X31" s="712"/>
      <c r="Y31" s="332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320" t="s">
        <v>2386</v>
      </c>
      <c r="Q32" s="1536" t="str">
        <f t="shared" si="11"/>
        <v>车位类型</v>
      </c>
      <c r="R32" s="714" t="s">
        <v>17</v>
      </c>
      <c r="S32" s="715">
        <f t="shared" si="12"/>
        <v>100</v>
      </c>
      <c r="T32" s="714" t="s">
        <v>17</v>
      </c>
      <c r="U32" s="715">
        <f t="shared" si="13"/>
        <v>100</v>
      </c>
      <c r="V32" s="714" t="s">
        <v>17</v>
      </c>
      <c r="W32" s="715">
        <f t="shared" si="14"/>
        <v>100</v>
      </c>
      <c r="X32" s="1539"/>
      <c r="Y32" s="332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320"/>
      <c r="Q33" s="1536" t="str">
        <f t="shared" si="11"/>
        <v>是否直接入户</v>
      </c>
      <c r="R33" s="714" t="s">
        <v>17</v>
      </c>
      <c r="S33" s="715">
        <f t="shared" si="12"/>
        <v>100</v>
      </c>
      <c r="T33" s="714" t="s">
        <v>17</v>
      </c>
      <c r="U33" s="715">
        <f t="shared" si="13"/>
        <v>100</v>
      </c>
      <c r="V33" s="714" t="s">
        <v>17</v>
      </c>
      <c r="W33" s="715">
        <f t="shared" si="14"/>
        <v>100</v>
      </c>
      <c r="X33" s="1539"/>
      <c r="Y33" s="332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320"/>
      <c r="Q34" s="1536">
        <f t="shared" si="11"/>
        <v>111</v>
      </c>
      <c r="R34" s="714" t="s">
        <v>17</v>
      </c>
      <c r="S34" s="715">
        <f t="shared" si="12"/>
        <v>100</v>
      </c>
      <c r="T34" s="714" t="s">
        <v>17</v>
      </c>
      <c r="U34" s="715">
        <f t="shared" si="13"/>
        <v>100</v>
      </c>
      <c r="V34" s="714" t="s">
        <v>17</v>
      </c>
      <c r="W34" s="715">
        <f t="shared" si="14"/>
        <v>100</v>
      </c>
      <c r="X34" s="1539"/>
      <c r="Y34" s="332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320"/>
      <c r="Q35" s="716">
        <f t="shared" si="11"/>
        <v>111</v>
      </c>
      <c r="R35" s="717" t="s">
        <v>17</v>
      </c>
      <c r="S35" s="718">
        <f t="shared" si="12"/>
        <v>100</v>
      </c>
      <c r="T35" s="717" t="s">
        <v>17</v>
      </c>
      <c r="U35" s="718">
        <f t="shared" si="13"/>
        <v>100</v>
      </c>
      <c r="V35" s="717" t="s">
        <v>17</v>
      </c>
      <c r="W35" s="718">
        <f t="shared" si="14"/>
        <v>100</v>
      </c>
      <c r="X35" s="719"/>
      <c r="Y35" s="332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320"/>
      <c r="Q36" s="1536">
        <f t="shared" si="11"/>
        <v>111</v>
      </c>
      <c r="R36" s="714" t="s">
        <v>17</v>
      </c>
      <c r="S36" s="715">
        <f t="shared" si="12"/>
        <v>100</v>
      </c>
      <c r="T36" s="714" t="s">
        <v>17</v>
      </c>
      <c r="U36" s="715">
        <f t="shared" si="13"/>
        <v>100</v>
      </c>
      <c r="V36" s="714" t="s">
        <v>17</v>
      </c>
      <c r="W36" s="715">
        <f t="shared" si="14"/>
        <v>100</v>
      </c>
      <c r="X36" s="1539"/>
      <c r="Y36" s="3320"/>
      <c r="Z36" s="1540">
        <f t="shared" si="15"/>
        <v>111</v>
      </c>
      <c r="AA36" s="1537">
        <f t="shared" si="3"/>
        <v>1</v>
      </c>
      <c r="AB36" s="1537">
        <f t="shared" si="4"/>
        <v>1</v>
      </c>
      <c r="AC36" s="1537">
        <f t="shared" si="5"/>
        <v>1</v>
      </c>
    </row>
    <row r="37" spans="1:29" ht="15">
      <c r="A37" s="438" t="s">
        <v>2541</v>
      </c>
      <c r="B37" s="2159" t="s">
        <v>2542</v>
      </c>
      <c r="C37" s="1315" t="s">
        <v>1</v>
      </c>
      <c r="D37" s="1316"/>
      <c r="E37" s="1317"/>
      <c r="F37" s="1318"/>
      <c r="G37" s="1319"/>
      <c r="H37" s="1320"/>
      <c r="I37" s="1317"/>
      <c r="J37" s="1320"/>
      <c r="K37" s="576"/>
      <c r="L37" s="2944"/>
      <c r="M37" s="2945"/>
      <c r="N37" s="2936"/>
      <c r="O37" s="2945"/>
      <c r="P37" s="3302" t="str">
        <f>A37</f>
        <v>成交单价</v>
      </c>
      <c r="Q37" s="3302"/>
      <c r="R37" s="3387">
        <f>E37</f>
        <v>0</v>
      </c>
      <c r="S37" s="3387"/>
      <c r="T37" s="3387">
        <f>G37</f>
        <v>0</v>
      </c>
      <c r="U37" s="3387"/>
      <c r="V37" s="3387">
        <f>I37</f>
        <v>0</v>
      </c>
      <c r="W37" s="3387"/>
      <c r="X37" s="699"/>
      <c r="Y37" s="721"/>
      <c r="Z37" s="699"/>
      <c r="AA37" s="699"/>
      <c r="AB37" s="699"/>
      <c r="AC37" s="699"/>
    </row>
    <row r="38" spans="1:29" ht="15.75" thickBot="1">
      <c r="A38" s="445" t="s">
        <v>2543</v>
      </c>
      <c r="B38" s="446" t="str">
        <f>B37</f>
        <v>元/车位</v>
      </c>
      <c r="C38" s="1321" t="e">
        <f>R39</f>
        <v>#DIV/0!</v>
      </c>
      <c r="D38" s="2529" t="s">
        <v>2879</v>
      </c>
      <c r="E38" s="1322" t="e">
        <f>R38</f>
        <v>#DIV/0!</v>
      </c>
      <c r="F38" s="2530"/>
      <c r="G38" s="1321" t="e">
        <f>T38</f>
        <v>#DIV/0!</v>
      </c>
      <c r="H38" s="2530"/>
      <c r="I38" s="1322" t="e">
        <f>V38</f>
        <v>#DIV/0!</v>
      </c>
      <c r="J38" s="2530"/>
      <c r="K38" s="2532">
        <f>F38+H38+J38</f>
        <v>0</v>
      </c>
      <c r="L38" s="2944"/>
      <c r="M38" s="2945"/>
      <c r="N38" s="2945"/>
      <c r="O38" s="2945"/>
      <c r="P38" s="3302" t="str">
        <f>A38</f>
        <v>比较价值（元/平方米）</v>
      </c>
      <c r="Q38" s="3302"/>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44"/>
      <c r="M39" s="2945"/>
      <c r="N39" s="2945"/>
      <c r="O39" s="2945"/>
      <c r="P39" s="3322" t="str">
        <f>A39</f>
        <v>估价对象XX用房的比较价值（楼面单价，元/平方米）</v>
      </c>
      <c r="Q39" s="3323"/>
      <c r="R39" s="3409" t="e">
        <f>IF(F1="售价",ROUND(IF(D38="简单平均",AVERAGE(R38:W38),R38*F38+T38*H38+V38*J38),0),ROUND(IF(D38="简单平均",AVERAGE(R38:V38),R38*F38+T38*H38+V38*J38),1))</f>
        <v>#DIV/0!</v>
      </c>
      <c r="S39" s="3409"/>
      <c r="T39" s="3409"/>
      <c r="U39" s="3409"/>
      <c r="V39" s="3409"/>
      <c r="W39" s="3409"/>
      <c r="X39" s="699"/>
      <c r="Y39" s="699"/>
      <c r="Z39" s="699"/>
      <c r="AA39" s="699"/>
      <c r="AB39" s="699"/>
      <c r="AC39" s="699"/>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7" t="s">
        <v>2548</v>
      </c>
      <c r="B47" s="1058"/>
      <c r="C47" s="1071"/>
      <c r="D47" s="1071"/>
      <c r="E47" s="1071"/>
      <c r="F47" s="1328"/>
      <c r="G47" s="1328"/>
      <c r="H47" s="1071"/>
      <c r="I47" s="1071"/>
      <c r="J47" s="1071"/>
      <c r="K47" s="1072"/>
      <c r="L47" s="1073"/>
      <c r="M47" s="1071"/>
      <c r="N47" s="2989"/>
      <c r="O47" s="2989"/>
      <c r="P47" s="2978"/>
      <c r="Q47" s="2959"/>
      <c r="R47" s="2945"/>
      <c r="S47" s="2945"/>
      <c r="T47" s="2945"/>
      <c r="U47" s="2945"/>
      <c r="V47" s="2945"/>
      <c r="W47" s="2945"/>
      <c r="X47" s="2945"/>
      <c r="Y47" s="2945"/>
      <c r="Z47" s="2945"/>
      <c r="AA47" s="2945"/>
      <c r="AB47" s="2945"/>
      <c r="AC47" s="2945"/>
    </row>
    <row r="48" spans="1:29" s="465" customFormat="1" ht="15">
      <c r="A48" s="462" t="s">
        <v>2549</v>
      </c>
      <c r="B48" s="463"/>
      <c r="C48" s="1345" t="str">
        <f>YEAR(C7)&amp;"-"&amp;MONTH(C7)</f>
        <v>2022-1</v>
      </c>
      <c r="D48" s="1346">
        <f>EDATE(C48,-1)</f>
        <v>44531</v>
      </c>
      <c r="E48" s="1346">
        <f t="shared" ref="E48:O48" si="16">EDATE(D48,-1)</f>
        <v>44501</v>
      </c>
      <c r="F48" s="1346">
        <f t="shared" si="16"/>
        <v>44470</v>
      </c>
      <c r="G48" s="1346">
        <f t="shared" si="16"/>
        <v>44440</v>
      </c>
      <c r="H48" s="1346">
        <f t="shared" si="16"/>
        <v>44409</v>
      </c>
      <c r="I48" s="1346">
        <f t="shared" si="16"/>
        <v>44378</v>
      </c>
      <c r="J48" s="1346">
        <f t="shared" si="16"/>
        <v>44348</v>
      </c>
      <c r="K48" s="1346">
        <f t="shared" si="16"/>
        <v>44317</v>
      </c>
      <c r="L48" s="1346">
        <f t="shared" si="16"/>
        <v>44287</v>
      </c>
      <c r="M48" s="1346">
        <f t="shared" si="16"/>
        <v>44256</v>
      </c>
      <c r="N48" s="1346">
        <f t="shared" si="16"/>
        <v>44228</v>
      </c>
      <c r="O48" s="1346">
        <f t="shared" si="16"/>
        <v>44197</v>
      </c>
      <c r="P48" s="2979"/>
      <c r="Q48" s="2961"/>
      <c r="R48" s="2961"/>
      <c r="S48" s="2961"/>
      <c r="T48" s="2961"/>
      <c r="U48" s="2961"/>
      <c r="V48" s="2961"/>
      <c r="W48" s="2961"/>
      <c r="X48" s="2961"/>
      <c r="Y48" s="2961"/>
      <c r="Z48" s="2961"/>
      <c r="AA48" s="2961"/>
      <c r="AB48" s="2961"/>
      <c r="AC48" s="2961"/>
    </row>
    <row r="49" spans="1:29" s="113" customFormat="1" ht="15">
      <c r="A49" s="466"/>
      <c r="B49" s="467"/>
      <c r="C49" s="1338">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2406</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2371</v>
      </c>
      <c r="B51" s="467"/>
      <c r="C51" s="479" t="s">
        <v>2473</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2409</v>
      </c>
      <c r="B53" s="485" t="s">
        <v>2375</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2424</v>
      </c>
      <c r="C65" s="535" t="s">
        <v>2418</v>
      </c>
      <c r="D65" s="535" t="s">
        <v>2419</v>
      </c>
      <c r="E65" s="535" t="s">
        <v>2420</v>
      </c>
      <c r="F65" s="535" t="s">
        <v>2421</v>
      </c>
      <c r="G65" s="535" t="s">
        <v>2422</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2510</v>
      </c>
      <c r="C67" s="616" t="s">
        <v>2496</v>
      </c>
      <c r="D67" s="616" t="s">
        <v>2497</v>
      </c>
      <c r="E67" s="616" t="s">
        <v>2498</v>
      </c>
      <c r="F67" s="616" t="s">
        <v>2499</v>
      </c>
      <c r="G67" s="616" t="s">
        <v>2500</v>
      </c>
      <c r="H67" s="496"/>
      <c r="I67" s="496"/>
      <c r="J67" s="496"/>
      <c r="K67" s="496"/>
      <c r="L67" s="496"/>
      <c r="M67" s="1290"/>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2430</v>
      </c>
      <c r="C69" s="535" t="s">
        <v>2418</v>
      </c>
      <c r="D69" s="535" t="s">
        <v>2419</v>
      </c>
      <c r="E69" s="535" t="s">
        <v>2420</v>
      </c>
      <c r="F69" s="535" t="s">
        <v>2421</v>
      </c>
      <c r="G69" s="535" t="s">
        <v>2422</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2550</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2384</v>
      </c>
      <c r="B79" s="485" t="s">
        <v>2551</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2552</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2437</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2554</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2556</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2557</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R37" sqref="R37:W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7"/>
      <c r="D2" s="1038" t="e">
        <f ca="1">SUMIF(INDIRECT("'"&amp;F2&amp;"'"&amp;"!A:A"),"承租人权益价值",INDIRECT("'"&amp;F2&amp;"'"&amp;"!c:c"))</f>
        <v>#REF!</v>
      </c>
      <c r="E2" s="2068" t="s">
        <v>2149</v>
      </c>
      <c r="F2" s="2069"/>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2466</v>
      </c>
      <c r="B4" s="362"/>
      <c r="C4" s="3303" t="s">
        <v>2467</v>
      </c>
      <c r="D4" s="3304"/>
      <c r="E4" s="3305" t="s">
        <v>2468</v>
      </c>
      <c r="F4" s="3306"/>
      <c r="G4" s="3303" t="s">
        <v>2469</v>
      </c>
      <c r="H4" s="3304"/>
      <c r="I4" s="3303" t="s">
        <v>2470</v>
      </c>
      <c r="J4" s="3304"/>
      <c r="K4" s="567" t="s">
        <v>2471</v>
      </c>
      <c r="L4" s="2935"/>
      <c r="M4" s="2936"/>
      <c r="N4" s="2936"/>
      <c r="O4" s="2936"/>
      <c r="P4" s="3307" t="s">
        <v>2472</v>
      </c>
      <c r="Q4" s="3308"/>
      <c r="R4" s="3290" t="s">
        <v>2468</v>
      </c>
      <c r="S4" s="3291"/>
      <c r="T4" s="3290" t="s">
        <v>2469</v>
      </c>
      <c r="U4" s="3291"/>
      <c r="V4" s="3315" t="s">
        <v>2470</v>
      </c>
      <c r="W4" s="3315"/>
      <c r="X4" s="1539"/>
      <c r="Y4" s="3290" t="s">
        <v>2472</v>
      </c>
      <c r="Z4" s="3291"/>
      <c r="AA4" s="3285" t="s">
        <v>2468</v>
      </c>
      <c r="AB4" s="3286" t="s">
        <v>2469</v>
      </c>
      <c r="AC4" s="3285" t="s">
        <v>2470</v>
      </c>
    </row>
    <row r="5" spans="1:29" ht="15">
      <c r="A5" s="364"/>
      <c r="B5" s="365"/>
      <c r="C5" s="3296" t="s">
        <v>2363</v>
      </c>
      <c r="D5" s="3297"/>
      <c r="E5" s="3294" t="s">
        <v>2364</v>
      </c>
      <c r="F5" s="3295"/>
      <c r="G5" s="3296" t="s">
        <v>2365</v>
      </c>
      <c r="H5" s="3297"/>
      <c r="I5" s="3296" t="s">
        <v>2366</v>
      </c>
      <c r="J5" s="3297"/>
      <c r="K5" s="567"/>
      <c r="L5" s="2935"/>
      <c r="M5" s="2936"/>
      <c r="N5" s="2936"/>
      <c r="O5" s="2936"/>
      <c r="P5" s="3309"/>
      <c r="Q5" s="3310"/>
      <c r="R5" s="3292"/>
      <c r="S5" s="3293"/>
      <c r="T5" s="3292"/>
      <c r="U5" s="3293"/>
      <c r="V5" s="3315"/>
      <c r="W5" s="3315"/>
      <c r="X5" s="1539"/>
      <c r="Y5" s="3292"/>
      <c r="Z5" s="3293"/>
      <c r="AA5" s="3286"/>
      <c r="AB5" s="3286"/>
      <c r="AC5" s="3286"/>
    </row>
    <row r="6" spans="1:29" ht="15.75" thickBot="1">
      <c r="A6" s="366"/>
      <c r="B6" s="367"/>
      <c r="C6" s="3298" t="s">
        <v>2367</v>
      </c>
      <c r="D6" s="3299"/>
      <c r="E6" s="3300" t="s">
        <v>2367</v>
      </c>
      <c r="F6" s="3301"/>
      <c r="G6" s="3298" t="s">
        <v>2367</v>
      </c>
      <c r="H6" s="3299"/>
      <c r="I6" s="3298" t="s">
        <v>2367</v>
      </c>
      <c r="J6" s="3299"/>
      <c r="K6" s="567" t="s">
        <v>2368</v>
      </c>
      <c r="L6" s="2935"/>
      <c r="M6" s="2936"/>
      <c r="N6" s="2936"/>
      <c r="O6" s="2936"/>
      <c r="P6" s="3311"/>
      <c r="Q6" s="3312"/>
      <c r="R6" s="3292"/>
      <c r="S6" s="3293"/>
      <c r="T6" s="3313"/>
      <c r="U6" s="3314"/>
      <c r="V6" s="3315"/>
      <c r="W6" s="3315"/>
      <c r="X6" s="1539"/>
      <c r="Y6" s="3313"/>
      <c r="Z6" s="3314"/>
      <c r="AA6" s="3287"/>
      <c r="AB6" s="3287"/>
      <c r="AC6" s="3287"/>
    </row>
    <row r="7" spans="1:29" s="113" customFormat="1" ht="15.75" thickBot="1">
      <c r="A7" s="368" t="s">
        <v>2369</v>
      </c>
      <c r="B7" s="369"/>
      <c r="C7" s="370">
        <f>'数据-取费表'!B2</f>
        <v>44580</v>
      </c>
      <c r="D7" s="371">
        <v>100</v>
      </c>
      <c r="E7" s="372"/>
      <c r="F7" s="373">
        <f>SUMIF(46:46,YEAR(E7)&amp;"-"&amp;MONTH(E7),47:47)</f>
        <v>0</v>
      </c>
      <c r="G7" s="2160"/>
      <c r="H7" s="371">
        <f>SUMIF(46:46,YEAR(G7)&amp;"-"&amp;MONTH(G7),47:47)</f>
        <v>0</v>
      </c>
      <c r="I7" s="372"/>
      <c r="J7" s="371">
        <f>SUMIF(46:46,YEAR(I7)&amp;"-"&amp;MONTH(I7),47:47)</f>
        <v>0</v>
      </c>
      <c r="K7" s="568"/>
      <c r="L7" s="2937"/>
      <c r="M7" s="2938"/>
      <c r="N7" s="2938"/>
      <c r="O7" s="2938"/>
      <c r="P7" s="3288" t="s">
        <v>2370</v>
      </c>
      <c r="Q7" s="3316"/>
      <c r="R7" s="710" t="s">
        <v>17</v>
      </c>
      <c r="S7" s="711">
        <f t="shared" ref="S7:S14" si="0">F7</f>
        <v>0</v>
      </c>
      <c r="T7" s="710" t="s">
        <v>17</v>
      </c>
      <c r="U7" s="711">
        <f t="shared" ref="U7:U14" si="1">H7</f>
        <v>0</v>
      </c>
      <c r="V7" s="710" t="s">
        <v>17</v>
      </c>
      <c r="W7" s="711">
        <f t="shared" ref="W7:W14" si="2">J7</f>
        <v>0</v>
      </c>
      <c r="X7" s="712"/>
      <c r="Y7" s="3288" t="s">
        <v>2370</v>
      </c>
      <c r="Z7" s="3289"/>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288" t="s">
        <v>2373</v>
      </c>
      <c r="Q8" s="3289"/>
      <c r="R8" s="710" t="s">
        <v>17</v>
      </c>
      <c r="S8" s="711">
        <f t="shared" si="0"/>
        <v>0</v>
      </c>
      <c r="T8" s="710" t="s">
        <v>17</v>
      </c>
      <c r="U8" s="711">
        <f t="shared" si="1"/>
        <v>0</v>
      </c>
      <c r="V8" s="710" t="s">
        <v>17</v>
      </c>
      <c r="W8" s="711">
        <f t="shared" si="2"/>
        <v>0</v>
      </c>
      <c r="X8" s="712"/>
      <c r="Y8" s="3288" t="s">
        <v>2373</v>
      </c>
      <c r="Z8" s="3289"/>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302" t="s">
        <v>2376</v>
      </c>
      <c r="Q9" s="1527" t="str">
        <f t="shared" ref="Q9:Q14" si="6">B9</f>
        <v>用途</v>
      </c>
      <c r="R9" s="710" t="s">
        <v>17</v>
      </c>
      <c r="S9" s="711">
        <f t="shared" si="0"/>
        <v>100</v>
      </c>
      <c r="T9" s="710" t="s">
        <v>17</v>
      </c>
      <c r="U9" s="711">
        <f t="shared" si="1"/>
        <v>100</v>
      </c>
      <c r="V9" s="710" t="s">
        <v>17</v>
      </c>
      <c r="W9" s="711">
        <f t="shared" si="2"/>
        <v>100</v>
      </c>
      <c r="X9" s="712"/>
      <c r="Y9" s="325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302"/>
      <c r="Q10" s="1527" t="str">
        <f t="shared" si="6"/>
        <v>土地使用年限（年）</v>
      </c>
      <c r="R10" s="710" t="s">
        <v>17</v>
      </c>
      <c r="S10" s="711">
        <f t="shared" si="0"/>
        <v>100</v>
      </c>
      <c r="T10" s="710" t="s">
        <v>17</v>
      </c>
      <c r="U10" s="711">
        <f t="shared" si="1"/>
        <v>100</v>
      </c>
      <c r="V10" s="710" t="s">
        <v>17</v>
      </c>
      <c r="W10" s="711">
        <f t="shared" si="2"/>
        <v>100</v>
      </c>
      <c r="X10" s="712"/>
      <c r="Y10" s="325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302"/>
      <c r="Q11" s="1527">
        <f t="shared" si="6"/>
        <v>111</v>
      </c>
      <c r="R11" s="710" t="s">
        <v>17</v>
      </c>
      <c r="S11" s="711">
        <f t="shared" si="0"/>
        <v>100</v>
      </c>
      <c r="T11" s="710" t="s">
        <v>17</v>
      </c>
      <c r="U11" s="711">
        <f t="shared" si="1"/>
        <v>100</v>
      </c>
      <c r="V11" s="710" t="s">
        <v>17</v>
      </c>
      <c r="W11" s="711">
        <f t="shared" si="2"/>
        <v>100</v>
      </c>
      <c r="X11" s="712"/>
      <c r="Y11" s="325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302"/>
      <c r="Q12" s="1527">
        <f t="shared" si="6"/>
        <v>111</v>
      </c>
      <c r="R12" s="710" t="s">
        <v>17</v>
      </c>
      <c r="S12" s="711">
        <f t="shared" si="0"/>
        <v>100</v>
      </c>
      <c r="T12" s="710" t="s">
        <v>17</v>
      </c>
      <c r="U12" s="711">
        <f t="shared" si="1"/>
        <v>100</v>
      </c>
      <c r="V12" s="710" t="s">
        <v>17</v>
      </c>
      <c r="W12" s="711">
        <f t="shared" si="2"/>
        <v>100</v>
      </c>
      <c r="X12" s="712"/>
      <c r="Y12" s="325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2"/>
      <c r="M13" s="2936"/>
      <c r="N13" s="2936"/>
      <c r="O13" s="2994"/>
      <c r="P13" s="3302"/>
      <c r="Q13" s="1527">
        <f t="shared" si="6"/>
        <v>111</v>
      </c>
      <c r="R13" s="710" t="s">
        <v>17</v>
      </c>
      <c r="S13" s="711">
        <f t="shared" si="0"/>
        <v>100</v>
      </c>
      <c r="T13" s="710" t="s">
        <v>17</v>
      </c>
      <c r="U13" s="711">
        <f t="shared" si="1"/>
        <v>100</v>
      </c>
      <c r="V13" s="710" t="s">
        <v>17</v>
      </c>
      <c r="W13" s="711">
        <f t="shared" si="2"/>
        <v>100</v>
      </c>
      <c r="X13" s="712"/>
      <c r="Y13" s="3258"/>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317" t="s">
        <v>2381</v>
      </c>
      <c r="Q14" s="1536" t="str">
        <f t="shared" si="6"/>
        <v>交通便捷度</v>
      </c>
      <c r="R14" s="714" t="s">
        <v>17</v>
      </c>
      <c r="S14" s="715">
        <f t="shared" si="0"/>
        <v>100</v>
      </c>
      <c r="T14" s="714" t="s">
        <v>17</v>
      </c>
      <c r="U14" s="715">
        <f t="shared" si="1"/>
        <v>100</v>
      </c>
      <c r="V14" s="714" t="s">
        <v>17</v>
      </c>
      <c r="W14" s="715">
        <f t="shared" si="2"/>
        <v>100</v>
      </c>
      <c r="X14" s="1539"/>
      <c r="Y14" s="3317"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2"/>
      <c r="M15" s="2936"/>
      <c r="N15" s="2936"/>
      <c r="O15" s="2994"/>
      <c r="P15" s="3318"/>
      <c r="Q15" s="1536"/>
      <c r="R15" s="714"/>
      <c r="S15" s="715"/>
      <c r="T15" s="714"/>
      <c r="U15" s="715"/>
      <c r="V15" s="714"/>
      <c r="W15" s="715"/>
      <c r="X15" s="1539"/>
      <c r="Y15" s="3318"/>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318"/>
      <c r="Q16" s="1536" t="str">
        <f>B16</f>
        <v>公共配套设施</v>
      </c>
      <c r="R16" s="714" t="s">
        <v>17</v>
      </c>
      <c r="S16" s="715">
        <f>F16</f>
        <v>100</v>
      </c>
      <c r="T16" s="714" t="s">
        <v>17</v>
      </c>
      <c r="U16" s="715">
        <f>H16</f>
        <v>100</v>
      </c>
      <c r="V16" s="714" t="s">
        <v>17</v>
      </c>
      <c r="W16" s="715">
        <f>J16</f>
        <v>100</v>
      </c>
      <c r="X16" s="1539"/>
      <c r="Y16" s="331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2"/>
      <c r="M17" s="2936"/>
      <c r="N17" s="2936"/>
      <c r="O17" s="2994"/>
      <c r="P17" s="3318"/>
      <c r="Q17" s="1536"/>
      <c r="R17" s="714"/>
      <c r="S17" s="715"/>
      <c r="T17" s="714"/>
      <c r="U17" s="715"/>
      <c r="V17" s="714"/>
      <c r="W17" s="715"/>
      <c r="X17" s="1539"/>
      <c r="Y17" s="3318"/>
      <c r="Z17" s="1540"/>
      <c r="AA17" s="1537">
        <v>1</v>
      </c>
      <c r="AB17" s="1537">
        <v>1</v>
      </c>
      <c r="AC17" s="1537">
        <v>1</v>
      </c>
    </row>
    <row r="18" spans="1:29" ht="28.5">
      <c r="A18" s="387"/>
      <c r="B18" s="1292"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318"/>
      <c r="Q18" s="1536" t="str">
        <f>B18</f>
        <v>基础设施水平</v>
      </c>
      <c r="R18" s="714" t="s">
        <v>17</v>
      </c>
      <c r="S18" s="715">
        <f>F18</f>
        <v>100</v>
      </c>
      <c r="T18" s="714" t="s">
        <v>17</v>
      </c>
      <c r="U18" s="715">
        <f>H18</f>
        <v>100</v>
      </c>
      <c r="V18" s="714" t="s">
        <v>17</v>
      </c>
      <c r="W18" s="715">
        <f>J18</f>
        <v>100</v>
      </c>
      <c r="X18" s="1539"/>
      <c r="Y18" s="3318"/>
      <c r="Z18" s="1540" t="str">
        <f>Q18</f>
        <v>基础设施水平</v>
      </c>
      <c r="AA18" s="1537">
        <f t="shared" ref="AA18" si="8">D18/F18</f>
        <v>1</v>
      </c>
      <c r="AB18" s="1537">
        <f t="shared" ref="AB18" si="9">D18/H18</f>
        <v>1</v>
      </c>
      <c r="AC18" s="1537">
        <f t="shared" ref="AC18" si="10">D18/J18</f>
        <v>1</v>
      </c>
    </row>
    <row r="19" spans="1:29" ht="15">
      <c r="A19" s="387"/>
      <c r="B19" s="1292"/>
      <c r="C19" s="2087"/>
      <c r="D19" s="409"/>
      <c r="E19" s="2087"/>
      <c r="F19" s="412"/>
      <c r="G19" s="2087"/>
      <c r="H19" s="407"/>
      <c r="I19" s="406"/>
      <c r="J19" s="407"/>
      <c r="K19" s="1291"/>
      <c r="L19" s="2942"/>
      <c r="M19" s="2936"/>
      <c r="N19" s="2936"/>
      <c r="O19" s="2994"/>
      <c r="P19" s="3318"/>
      <c r="Q19" s="1536"/>
      <c r="R19" s="714"/>
      <c r="S19" s="715"/>
      <c r="T19" s="714"/>
      <c r="U19" s="715"/>
      <c r="V19" s="714"/>
      <c r="W19" s="715"/>
      <c r="X19" s="1539"/>
      <c r="Y19" s="3318"/>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318"/>
      <c r="Q20" s="1536" t="str">
        <f>B20</f>
        <v>自然及人文环境</v>
      </c>
      <c r="R20" s="714" t="s">
        <v>17</v>
      </c>
      <c r="S20" s="715">
        <f>F20</f>
        <v>100</v>
      </c>
      <c r="T20" s="714" t="s">
        <v>17</v>
      </c>
      <c r="U20" s="715">
        <f>H20</f>
        <v>100</v>
      </c>
      <c r="V20" s="714" t="s">
        <v>17</v>
      </c>
      <c r="W20" s="715">
        <f>J20</f>
        <v>100</v>
      </c>
      <c r="X20" s="1539"/>
      <c r="Y20" s="331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2"/>
      <c r="M21" s="2936"/>
      <c r="N21" s="2936"/>
      <c r="O21" s="2994"/>
      <c r="P21" s="3318"/>
      <c r="Q21" s="1536"/>
      <c r="R21" s="714"/>
      <c r="S21" s="715"/>
      <c r="T21" s="714"/>
      <c r="U21" s="715"/>
      <c r="V21" s="714"/>
      <c r="W21" s="715"/>
      <c r="X21" s="1539"/>
      <c r="Y21" s="3318"/>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318"/>
      <c r="Q22" s="1536" t="str">
        <f>B22</f>
        <v>楼层</v>
      </c>
      <c r="R22" s="714" t="s">
        <v>17</v>
      </c>
      <c r="S22" s="715">
        <f>F22</f>
        <v>100</v>
      </c>
      <c r="T22" s="714" t="s">
        <v>17</v>
      </c>
      <c r="U22" s="715">
        <f>H22</f>
        <v>100</v>
      </c>
      <c r="V22" s="714" t="s">
        <v>17</v>
      </c>
      <c r="W22" s="715">
        <f>J22</f>
        <v>100</v>
      </c>
      <c r="X22" s="1539"/>
      <c r="Y22" s="331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318"/>
      <c r="Q23" s="1536">
        <f>B23</f>
        <v>111</v>
      </c>
      <c r="R23" s="714" t="s">
        <v>17</v>
      </c>
      <c r="S23" s="715">
        <f>F23</f>
        <v>100</v>
      </c>
      <c r="T23" s="714" t="s">
        <v>17</v>
      </c>
      <c r="U23" s="715">
        <f>H23</f>
        <v>100</v>
      </c>
      <c r="V23" s="714" t="s">
        <v>17</v>
      </c>
      <c r="W23" s="715">
        <f>J23</f>
        <v>100</v>
      </c>
      <c r="X23" s="1539"/>
      <c r="Y23" s="331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318"/>
      <c r="Q24" s="1536">
        <f t="shared" ref="Q24:Q34" si="11">B24</f>
        <v>111</v>
      </c>
      <c r="R24" s="714" t="s">
        <v>17</v>
      </c>
      <c r="S24" s="715">
        <f>F24</f>
        <v>100</v>
      </c>
      <c r="T24" s="714" t="s">
        <v>17</v>
      </c>
      <c r="U24" s="715">
        <f>H24</f>
        <v>100</v>
      </c>
      <c r="V24" s="714" t="s">
        <v>17</v>
      </c>
      <c r="W24" s="715">
        <f>J24</f>
        <v>100</v>
      </c>
      <c r="X24" s="1539"/>
      <c r="Y24" s="331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7"/>
      <c r="M25" s="2938"/>
      <c r="N25" s="2938"/>
      <c r="O25" s="2992"/>
      <c r="P25" s="3318"/>
      <c r="Q25" s="1527">
        <f t="shared" si="11"/>
        <v>111</v>
      </c>
      <c r="R25" s="710" t="s">
        <v>17</v>
      </c>
      <c r="S25" s="711">
        <f>F25</f>
        <v>100</v>
      </c>
      <c r="T25" s="710" t="s">
        <v>17</v>
      </c>
      <c r="U25" s="711">
        <f>H25</f>
        <v>100</v>
      </c>
      <c r="V25" s="710" t="s">
        <v>17</v>
      </c>
      <c r="W25" s="711">
        <f>J25</f>
        <v>100</v>
      </c>
      <c r="X25" s="712"/>
      <c r="Y25" s="3318"/>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2"/>
      <c r="M26" s="2936"/>
      <c r="N26" s="2936"/>
      <c r="O26" s="2994"/>
      <c r="P26" s="3319"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320"/>
      <c r="Q27" s="716" t="str">
        <f t="shared" si="11"/>
        <v>成新率</v>
      </c>
      <c r="R27" s="717" t="s">
        <v>17</v>
      </c>
      <c r="S27" s="718" t="e">
        <f t="shared" si="12"/>
        <v>#N/A</v>
      </c>
      <c r="T27" s="717" t="s">
        <v>17</v>
      </c>
      <c r="U27" s="718" t="e">
        <f t="shared" si="13"/>
        <v>#N/A</v>
      </c>
      <c r="V27" s="717" t="s">
        <v>17</v>
      </c>
      <c r="W27" s="718" t="e">
        <f t="shared" si="14"/>
        <v>#N/A</v>
      </c>
      <c r="X27" s="719"/>
      <c r="Y27" s="332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320"/>
      <c r="Q28" s="1536" t="str">
        <f t="shared" si="11"/>
        <v>物业等级</v>
      </c>
      <c r="R28" s="714" t="s">
        <v>17</v>
      </c>
      <c r="S28" s="715">
        <f t="shared" si="12"/>
        <v>100</v>
      </c>
      <c r="T28" s="714" t="s">
        <v>17</v>
      </c>
      <c r="U28" s="715">
        <f t="shared" si="13"/>
        <v>100</v>
      </c>
      <c r="V28" s="714" t="s">
        <v>17</v>
      </c>
      <c r="W28" s="715">
        <f t="shared" si="14"/>
        <v>100</v>
      </c>
      <c r="X28" s="1539"/>
      <c r="Y28" s="332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320"/>
      <c r="Q29" s="1536" t="str">
        <f t="shared" si="11"/>
        <v>有无电梯</v>
      </c>
      <c r="R29" s="714" t="s">
        <v>17</v>
      </c>
      <c r="S29" s="715">
        <f t="shared" si="12"/>
        <v>100</v>
      </c>
      <c r="T29" s="714" t="s">
        <v>17</v>
      </c>
      <c r="U29" s="715">
        <f t="shared" si="13"/>
        <v>100</v>
      </c>
      <c r="V29" s="714" t="s">
        <v>17</v>
      </c>
      <c r="W29" s="715">
        <f t="shared" si="14"/>
        <v>100</v>
      </c>
      <c r="X29" s="1539"/>
      <c r="Y29" s="332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320"/>
      <c r="Q30" s="1536" t="str">
        <f t="shared" si="11"/>
        <v>建筑面积</v>
      </c>
      <c r="R30" s="714" t="s">
        <v>17</v>
      </c>
      <c r="S30" s="715" t="e">
        <f t="shared" si="12"/>
        <v>#N/A</v>
      </c>
      <c r="T30" s="714" t="s">
        <v>17</v>
      </c>
      <c r="U30" s="715" t="e">
        <f t="shared" si="13"/>
        <v>#N/A</v>
      </c>
      <c r="V30" s="714" t="s">
        <v>17</v>
      </c>
      <c r="W30" s="715" t="e">
        <f t="shared" si="14"/>
        <v>#N/A</v>
      </c>
      <c r="X30" s="1539"/>
      <c r="Y30" s="332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320"/>
      <c r="Q31" s="1527" t="str">
        <f t="shared" si="11"/>
        <v>是否封闭</v>
      </c>
      <c r="R31" s="710" t="s">
        <v>17</v>
      </c>
      <c r="S31" s="711">
        <f t="shared" si="12"/>
        <v>100</v>
      </c>
      <c r="T31" s="710" t="s">
        <v>17</v>
      </c>
      <c r="U31" s="711">
        <f t="shared" si="13"/>
        <v>100</v>
      </c>
      <c r="V31" s="710" t="s">
        <v>17</v>
      </c>
      <c r="W31" s="711">
        <f t="shared" si="14"/>
        <v>100</v>
      </c>
      <c r="X31" s="712"/>
      <c r="Y31" s="332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320" t="s">
        <v>2386</v>
      </c>
      <c r="Q32" s="1536">
        <f t="shared" si="11"/>
        <v>111</v>
      </c>
      <c r="R32" s="714" t="s">
        <v>17</v>
      </c>
      <c r="S32" s="715">
        <f t="shared" si="12"/>
        <v>100</v>
      </c>
      <c r="T32" s="714" t="s">
        <v>17</v>
      </c>
      <c r="U32" s="715">
        <f t="shared" si="13"/>
        <v>100</v>
      </c>
      <c r="V32" s="714" t="s">
        <v>17</v>
      </c>
      <c r="W32" s="715">
        <f t="shared" si="14"/>
        <v>100</v>
      </c>
      <c r="X32" s="1539"/>
      <c r="Y32" s="332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320"/>
      <c r="Q33" s="1536">
        <f t="shared" si="11"/>
        <v>111</v>
      </c>
      <c r="R33" s="714" t="s">
        <v>17</v>
      </c>
      <c r="S33" s="715">
        <f t="shared" si="12"/>
        <v>100</v>
      </c>
      <c r="T33" s="714" t="s">
        <v>17</v>
      </c>
      <c r="U33" s="715">
        <f t="shared" si="13"/>
        <v>100</v>
      </c>
      <c r="V33" s="714" t="s">
        <v>17</v>
      </c>
      <c r="W33" s="715">
        <f t="shared" si="14"/>
        <v>100</v>
      </c>
      <c r="X33" s="1539"/>
      <c r="Y33" s="332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2"/>
      <c r="M34" s="2936"/>
      <c r="N34" s="2936"/>
      <c r="O34" s="2994"/>
      <c r="P34" s="3320"/>
      <c r="Q34" s="1536">
        <f t="shared" si="11"/>
        <v>111</v>
      </c>
      <c r="R34" s="714" t="s">
        <v>17</v>
      </c>
      <c r="S34" s="715">
        <f t="shared" si="12"/>
        <v>100</v>
      </c>
      <c r="T34" s="714" t="s">
        <v>17</v>
      </c>
      <c r="U34" s="715">
        <f t="shared" si="13"/>
        <v>100</v>
      </c>
      <c r="V34" s="714" t="s">
        <v>17</v>
      </c>
      <c r="W34" s="715">
        <f t="shared" si="14"/>
        <v>100</v>
      </c>
      <c r="X34" s="1539"/>
      <c r="Y34" s="3320"/>
      <c r="Z34" s="1540">
        <f t="shared" si="15"/>
        <v>111</v>
      </c>
      <c r="AA34" s="1537">
        <f t="shared" si="3"/>
        <v>1</v>
      </c>
      <c r="AB34" s="1537">
        <f t="shared" si="4"/>
        <v>1</v>
      </c>
      <c r="AC34" s="1537">
        <f t="shared" si="5"/>
        <v>1</v>
      </c>
    </row>
    <row r="35" spans="1:30" ht="15">
      <c r="A35" s="438" t="s">
        <v>2398</v>
      </c>
      <c r="B35" s="439"/>
      <c r="C35" s="1315" t="s">
        <v>1</v>
      </c>
      <c r="D35" s="1316"/>
      <c r="E35" s="1317"/>
      <c r="F35" s="1318"/>
      <c r="G35" s="1319"/>
      <c r="H35" s="1320"/>
      <c r="I35" s="1317"/>
      <c r="J35" s="1320"/>
      <c r="K35" s="723"/>
      <c r="L35" s="2944"/>
      <c r="M35" s="2945"/>
      <c r="N35" s="2936"/>
      <c r="O35" s="2945"/>
      <c r="P35" s="3302" t="str">
        <f>A35</f>
        <v>成交单价（元/平方米）</v>
      </c>
      <c r="Q35" s="3302"/>
      <c r="R35" s="3387">
        <f>E35</f>
        <v>0</v>
      </c>
      <c r="S35" s="3387"/>
      <c r="T35" s="3387">
        <f>G35</f>
        <v>0</v>
      </c>
      <c r="U35" s="3387"/>
      <c r="V35" s="3387">
        <f>I35</f>
        <v>0</v>
      </c>
      <c r="W35" s="3387"/>
      <c r="X35" s="699"/>
      <c r="Y35" s="721"/>
      <c r="Z35" s="699"/>
      <c r="AA35" s="699"/>
      <c r="AB35" s="699"/>
      <c r="AC35" s="699"/>
    </row>
    <row r="36" spans="1:30" ht="15.75" thickBot="1">
      <c r="A36" s="445" t="s">
        <v>2490</v>
      </c>
      <c r="B36" s="446"/>
      <c r="C36" s="1321" t="e">
        <f>R37</f>
        <v>#DIV/0!</v>
      </c>
      <c r="D36" s="2529" t="s">
        <v>2879</v>
      </c>
      <c r="E36" s="1322" t="e">
        <f>R36</f>
        <v>#DIV/0!</v>
      </c>
      <c r="F36" s="2530"/>
      <c r="G36" s="1321" t="e">
        <f>T36</f>
        <v>#DIV/0!</v>
      </c>
      <c r="H36" s="2530"/>
      <c r="I36" s="1322" t="e">
        <f>V36</f>
        <v>#DIV/0!</v>
      </c>
      <c r="J36" s="2530"/>
      <c r="K36" s="2532">
        <f>F36+H36+J36</f>
        <v>0</v>
      </c>
      <c r="L36" s="2944"/>
      <c r="M36" s="2945"/>
      <c r="N36" s="2936"/>
      <c r="O36" s="2945"/>
      <c r="P36" s="3302" t="str">
        <f>A36</f>
        <v>比较价值（元/平方米）</v>
      </c>
      <c r="Q36" s="3302"/>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44"/>
      <c r="M37" s="2945"/>
      <c r="N37" s="2945"/>
      <c r="O37" s="2945"/>
      <c r="P37" s="3322" t="str">
        <f>A37</f>
        <v>估价对象XX用房的比较价值（楼面单价，元/平方米）</v>
      </c>
      <c r="Q37" s="3323"/>
      <c r="R37" s="3409" t="e">
        <f>IF(F1="售价",ROUND(IF(D36="简单平均",AVERAGE(R36:W36),R36*F36+T36*H36+V36*J36),0),ROUND(IF(D36="简单平均",AVERAGE(R36:V36),R36*F36+T36*H36+V36*J36),1))</f>
        <v>#DIV/0!</v>
      </c>
      <c r="S37" s="3409"/>
      <c r="T37" s="3409"/>
      <c r="U37" s="3409"/>
      <c r="V37" s="3409"/>
      <c r="W37" s="3409"/>
      <c r="X37" s="699"/>
      <c r="Y37" s="699"/>
      <c r="Z37" s="699"/>
      <c r="AA37" s="699"/>
      <c r="AB37" s="699"/>
      <c r="AC37" s="699"/>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3" t="s">
        <v>2495</v>
      </c>
      <c r="B45" s="699"/>
      <c r="C45" s="704"/>
      <c r="D45" s="704"/>
      <c r="E45" s="704"/>
      <c r="F45" s="705"/>
      <c r="G45" s="705"/>
      <c r="H45" s="704"/>
      <c r="I45" s="704"/>
      <c r="J45" s="704"/>
      <c r="K45" s="706"/>
      <c r="L45" s="707"/>
      <c r="M45" s="704"/>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2369</v>
      </c>
      <c r="B46" s="463"/>
      <c r="C46" s="1345" t="str">
        <f>YEAR(C7)&amp;"-"&amp;MONTH(C7)</f>
        <v>2022-1</v>
      </c>
      <c r="D46" s="1346">
        <f>EDATE(C46,-1)</f>
        <v>44531</v>
      </c>
      <c r="E46" s="1346">
        <f t="shared" ref="E46:O46" si="16">EDATE(D46,-1)</f>
        <v>44501</v>
      </c>
      <c r="F46" s="1346">
        <f t="shared" si="16"/>
        <v>44470</v>
      </c>
      <c r="G46" s="1346">
        <f t="shared" si="16"/>
        <v>44440</v>
      </c>
      <c r="H46" s="1346">
        <f t="shared" si="16"/>
        <v>44409</v>
      </c>
      <c r="I46" s="1346">
        <f t="shared" si="16"/>
        <v>44378</v>
      </c>
      <c r="J46" s="1346">
        <f t="shared" si="16"/>
        <v>44348</v>
      </c>
      <c r="K46" s="1346">
        <f t="shared" si="16"/>
        <v>44317</v>
      </c>
      <c r="L46" s="1346">
        <f t="shared" si="16"/>
        <v>44287</v>
      </c>
      <c r="M46" s="1346">
        <f t="shared" si="16"/>
        <v>44256</v>
      </c>
      <c r="N46" s="1346">
        <f t="shared" si="16"/>
        <v>44228</v>
      </c>
      <c r="O46" s="1346">
        <f t="shared" si="16"/>
        <v>44197</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44">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2406</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2371</v>
      </c>
      <c r="B49" s="467"/>
      <c r="C49" s="479" t="s">
        <v>2473</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2409</v>
      </c>
      <c r="B51" s="485" t="s">
        <v>2375</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2561</v>
      </c>
      <c r="C63" s="535" t="s">
        <v>2418</v>
      </c>
      <c r="D63" s="535" t="s">
        <v>2419</v>
      </c>
      <c r="E63" s="535" t="s">
        <v>2420</v>
      </c>
      <c r="F63" s="535" t="s">
        <v>2421</v>
      </c>
      <c r="G63" s="535" t="s">
        <v>2422</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2510</v>
      </c>
      <c r="C65" s="616" t="s">
        <v>2496</v>
      </c>
      <c r="D65" s="616" t="s">
        <v>2497</v>
      </c>
      <c r="E65" s="616" t="s">
        <v>2498</v>
      </c>
      <c r="F65" s="616" t="s">
        <v>2499</v>
      </c>
      <c r="G65" s="616" t="s">
        <v>2500</v>
      </c>
      <c r="H65" s="496"/>
      <c r="I65" s="496"/>
      <c r="J65" s="496"/>
      <c r="K65" s="496"/>
      <c r="L65" s="496"/>
      <c r="M65" s="1290"/>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2430</v>
      </c>
      <c r="C67" s="535" t="s">
        <v>2418</v>
      </c>
      <c r="D67" s="535" t="s">
        <v>2419</v>
      </c>
      <c r="E67" s="535" t="s">
        <v>2420</v>
      </c>
      <c r="F67" s="535" t="s">
        <v>2421</v>
      </c>
      <c r="G67" s="535" t="s">
        <v>2422</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2550</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2384</v>
      </c>
      <c r="B77" s="485" t="s">
        <v>2437</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2554</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2562</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2564</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7"/>
      <c r="B98" s="1067"/>
      <c r="C98" s="1067"/>
      <c r="D98" s="1067"/>
      <c r="E98" s="1067"/>
      <c r="F98" s="1067"/>
      <c r="G98" s="1067"/>
      <c r="H98" s="1067"/>
      <c r="I98" s="1067"/>
      <c r="J98" s="1067"/>
      <c r="K98" s="1068"/>
      <c r="L98" s="1069"/>
      <c r="M98" s="1067"/>
      <c r="N98" s="2945"/>
      <c r="O98" s="2945"/>
      <c r="P98" s="2945"/>
      <c r="Q98" s="2945"/>
      <c r="R98" s="2945"/>
      <c r="S98" s="2945"/>
      <c r="T98" s="2945"/>
      <c r="U98" s="2945"/>
      <c r="V98" s="2945"/>
      <c r="W98" s="2945"/>
      <c r="X98" s="2945"/>
      <c r="Y98" s="2945"/>
      <c r="Z98" s="2945"/>
      <c r="AA98" s="2945"/>
      <c r="AB98" s="2945"/>
      <c r="AC98" s="2945"/>
      <c r="AD98" s="2945"/>
    </row>
    <row r="99" spans="1:30">
      <c r="A99" s="1067"/>
      <c r="B99" s="1067"/>
      <c r="C99" s="1067"/>
      <c r="D99" s="1067"/>
      <c r="E99" s="1067"/>
      <c r="F99" s="1067"/>
      <c r="G99" s="1067"/>
      <c r="H99" s="1067"/>
      <c r="I99" s="1067"/>
      <c r="J99" s="1067"/>
      <c r="K99" s="1068"/>
      <c r="L99" s="1069"/>
      <c r="M99" s="1067"/>
      <c r="N99" s="2945"/>
      <c r="O99" s="2945"/>
      <c r="P99" s="2945"/>
      <c r="Q99" s="2945"/>
      <c r="R99" s="2945"/>
      <c r="S99" s="2945"/>
      <c r="T99" s="2945"/>
      <c r="U99" s="2945"/>
      <c r="V99" s="2945"/>
      <c r="W99" s="2945"/>
      <c r="X99" s="2945"/>
      <c r="Y99" s="2945"/>
      <c r="Z99" s="2945"/>
      <c r="AA99" s="2945"/>
      <c r="AB99" s="2945"/>
      <c r="AC99" s="2945"/>
      <c r="AD99" s="2945"/>
    </row>
    <row r="100" spans="1:30">
      <c r="A100" s="1067"/>
      <c r="B100" s="1067"/>
      <c r="C100" s="1067"/>
      <c r="D100" s="1067"/>
      <c r="E100" s="1067"/>
      <c r="F100" s="1067"/>
      <c r="G100" s="1067"/>
      <c r="H100" s="1067"/>
      <c r="I100" s="1067"/>
      <c r="J100" s="1067"/>
      <c r="K100" s="1068"/>
      <c r="L100" s="1069"/>
      <c r="M100" s="1067"/>
      <c r="N100" s="2945"/>
      <c r="O100" s="2945"/>
      <c r="P100" s="2945"/>
      <c r="Q100" s="2945"/>
      <c r="R100" s="2945"/>
      <c r="S100" s="2945"/>
      <c r="T100" s="2945"/>
      <c r="U100" s="2945"/>
      <c r="V100" s="2945"/>
      <c r="W100" s="2945"/>
      <c r="X100" s="2945"/>
      <c r="Y100" s="2945"/>
      <c r="Z100" s="2945"/>
      <c r="AA100" s="2945"/>
      <c r="AB100" s="2945"/>
      <c r="AC100" s="2945"/>
      <c r="AD100" s="2945"/>
    </row>
    <row r="101" spans="1:30">
      <c r="A101" s="1067"/>
      <c r="B101" s="1067"/>
      <c r="C101" s="1067"/>
      <c r="D101" s="1067"/>
      <c r="E101" s="1067"/>
      <c r="F101" s="1067"/>
      <c r="G101" s="1067"/>
      <c r="H101" s="1067"/>
      <c r="I101" s="1067"/>
      <c r="J101" s="1067"/>
      <c r="K101" s="1068"/>
      <c r="L101" s="1069"/>
      <c r="M101" s="1067"/>
      <c r="N101" s="2945"/>
      <c r="O101" s="2945"/>
      <c r="P101" s="2945"/>
      <c r="Q101" s="2945"/>
      <c r="R101" s="2945"/>
      <c r="S101" s="2945"/>
      <c r="T101" s="2945"/>
      <c r="U101" s="2945"/>
      <c r="V101" s="2945"/>
      <c r="W101" s="2945"/>
      <c r="X101" s="2945"/>
      <c r="Y101" s="2945"/>
      <c r="Z101" s="2945"/>
      <c r="AA101" s="2945"/>
      <c r="AB101" s="2945"/>
      <c r="AC101" s="2945"/>
      <c r="AD101" s="2945"/>
    </row>
    <row r="102" spans="1:30">
      <c r="A102" s="1067"/>
      <c r="B102" s="1067"/>
      <c r="C102" s="1067"/>
      <c r="D102" s="1067"/>
      <c r="E102" s="1067"/>
      <c r="F102" s="1067"/>
      <c r="G102" s="1067"/>
      <c r="H102" s="1067"/>
      <c r="I102" s="1067"/>
      <c r="J102" s="1067"/>
      <c r="K102" s="1068"/>
      <c r="L102" s="1069"/>
      <c r="M102" s="1067"/>
      <c r="N102" s="2945"/>
      <c r="O102" s="2945"/>
      <c r="P102" s="2945"/>
      <c r="Q102" s="2945"/>
      <c r="R102" s="2945"/>
      <c r="S102" s="2945"/>
      <c r="T102" s="2945"/>
      <c r="U102" s="2945"/>
      <c r="V102" s="2945"/>
      <c r="W102" s="2945"/>
      <c r="X102" s="2945"/>
      <c r="Y102" s="2945"/>
      <c r="Z102" s="2945"/>
      <c r="AA102" s="2945"/>
      <c r="AB102" s="2945"/>
      <c r="AC102" s="2945"/>
      <c r="AD102" s="2945"/>
    </row>
    <row r="103" spans="1:30">
      <c r="A103" s="1067"/>
      <c r="B103" s="1067"/>
      <c r="C103" s="1067"/>
      <c r="D103" s="1067"/>
      <c r="E103" s="1067"/>
      <c r="F103" s="1067"/>
      <c r="G103" s="1067"/>
      <c r="H103" s="1067"/>
      <c r="I103" s="1067"/>
      <c r="J103" s="1067"/>
      <c r="K103" s="1068"/>
      <c r="L103" s="1069"/>
      <c r="M103" s="1067"/>
      <c r="N103" s="1067"/>
      <c r="O103" s="1067"/>
      <c r="P103" s="2945"/>
      <c r="Q103" s="2945"/>
      <c r="R103" s="2945"/>
      <c r="S103" s="2945"/>
      <c r="T103" s="2945"/>
      <c r="U103" s="2945"/>
      <c r="V103" s="2945"/>
      <c r="W103" s="2945"/>
      <c r="X103" s="2945"/>
      <c r="Y103" s="2945"/>
      <c r="Z103" s="2945"/>
      <c r="AA103" s="2945"/>
      <c r="AB103" s="2945"/>
      <c r="AC103" s="2945"/>
      <c r="AD103" s="294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0" t="s">
        <v>183</v>
      </c>
      <c r="B18" s="821" t="s">
        <v>560</v>
      </c>
      <c r="C18" s="822" t="s">
        <v>561</v>
      </c>
      <c r="D18" s="823"/>
      <c r="E18" s="821">
        <v>1</v>
      </c>
      <c r="F18" s="824" t="s">
        <v>562</v>
      </c>
      <c r="G18" s="825"/>
      <c r="H18" s="817"/>
      <c r="I18" s="817"/>
    </row>
    <row r="19" spans="1:9" s="826" customFormat="1" ht="19.5" customHeight="1">
      <c r="A19" s="3410"/>
      <c r="B19" s="3410" t="s">
        <v>563</v>
      </c>
      <c r="C19" s="822" t="s">
        <v>564</v>
      </c>
      <c r="D19" s="823"/>
      <c r="E19" s="821">
        <v>0.9</v>
      </c>
      <c r="F19" s="824" t="s">
        <v>565</v>
      </c>
      <c r="G19" s="825"/>
      <c r="H19" s="817"/>
      <c r="I19" s="817"/>
    </row>
    <row r="20" spans="1:9" s="826" customFormat="1" ht="19.5" customHeight="1">
      <c r="A20" s="3410"/>
      <c r="B20" s="3410"/>
      <c r="C20" s="822" t="s">
        <v>566</v>
      </c>
      <c r="D20" s="823"/>
      <c r="E20" s="821">
        <v>1.1000000000000001</v>
      </c>
      <c r="F20" s="824" t="s">
        <v>567</v>
      </c>
      <c r="G20" s="825"/>
      <c r="H20" s="817"/>
      <c r="I20" s="817"/>
    </row>
    <row r="21" spans="1:9" s="826" customFormat="1" ht="19.5" customHeight="1">
      <c r="A21" s="3410"/>
      <c r="B21" s="3410"/>
      <c r="C21" s="822" t="s">
        <v>568</v>
      </c>
      <c r="D21" s="823"/>
      <c r="E21" s="821">
        <v>0.8</v>
      </c>
      <c r="F21" s="824" t="s">
        <v>569</v>
      </c>
      <c r="G21" s="825"/>
      <c r="H21" s="817"/>
      <c r="I21" s="817"/>
    </row>
    <row r="22" spans="1:9" s="826" customFormat="1" ht="19.5" customHeight="1">
      <c r="A22" s="3410"/>
      <c r="B22" s="3410"/>
      <c r="C22" s="822" t="s">
        <v>570</v>
      </c>
      <c r="D22" s="823"/>
      <c r="E22" s="821">
        <v>0.5</v>
      </c>
      <c r="F22" s="824"/>
      <c r="G22" s="825"/>
      <c r="H22" s="817"/>
      <c r="I22" s="817"/>
    </row>
    <row r="23" spans="1:9" s="826" customFormat="1" ht="19.5" customHeight="1">
      <c r="A23" s="3410" t="s">
        <v>184</v>
      </c>
      <c r="B23" s="821" t="s">
        <v>560</v>
      </c>
      <c r="C23" s="822" t="s">
        <v>571</v>
      </c>
      <c r="D23" s="823"/>
      <c r="E23" s="821">
        <v>1</v>
      </c>
      <c r="F23" s="824" t="s">
        <v>572</v>
      </c>
      <c r="G23" s="825"/>
      <c r="H23" s="817"/>
      <c r="I23" s="817"/>
    </row>
    <row r="24" spans="1:9" s="826" customFormat="1" ht="19.5" customHeight="1">
      <c r="A24" s="3410"/>
      <c r="B24" s="3410" t="s">
        <v>563</v>
      </c>
      <c r="C24" s="822" t="s">
        <v>573</v>
      </c>
      <c r="D24" s="823"/>
      <c r="E24" s="821">
        <v>0.5</v>
      </c>
      <c r="F24" s="824"/>
      <c r="G24" s="825"/>
      <c r="H24" s="817"/>
      <c r="I24" s="817"/>
    </row>
    <row r="25" spans="1:9" s="826" customFormat="1" ht="19.5" customHeight="1">
      <c r="A25" s="3410"/>
      <c r="B25" s="3410"/>
      <c r="C25" s="822" t="s">
        <v>574</v>
      </c>
      <c r="D25" s="823"/>
      <c r="E25" s="821">
        <v>1.1000000000000001</v>
      </c>
      <c r="F25" s="824"/>
      <c r="G25" s="825"/>
      <c r="H25" s="817"/>
      <c r="I25" s="817"/>
    </row>
    <row r="26" spans="1:9" s="826" customFormat="1" ht="19.5" customHeight="1">
      <c r="A26" s="3410"/>
      <c r="B26" s="3410"/>
      <c r="C26" s="822" t="s">
        <v>575</v>
      </c>
      <c r="D26" s="823"/>
      <c r="E26" s="821">
        <v>1.1000000000000001</v>
      </c>
      <c r="F26" s="824"/>
      <c r="G26" s="825"/>
      <c r="H26" s="817"/>
      <c r="I26" s="817"/>
    </row>
    <row r="27" spans="1:9" s="826" customFormat="1" ht="19.5" customHeight="1">
      <c r="A27" s="3410"/>
      <c r="B27" s="3410"/>
      <c r="C27" s="822" t="s">
        <v>576</v>
      </c>
      <c r="D27" s="823"/>
      <c r="E27" s="821">
        <v>0.9</v>
      </c>
      <c r="F27" s="824" t="s">
        <v>577</v>
      </c>
      <c r="G27" s="825"/>
      <c r="H27" s="817"/>
      <c r="I27" s="817"/>
    </row>
    <row r="28" spans="1:9" s="826" customFormat="1" ht="19.5" customHeight="1">
      <c r="A28" s="3410"/>
      <c r="B28" s="3410"/>
      <c r="C28" s="822" t="s">
        <v>578</v>
      </c>
      <c r="D28" s="823"/>
      <c r="E28" s="821">
        <v>0.9</v>
      </c>
      <c r="F28" s="824" t="s">
        <v>579</v>
      </c>
      <c r="G28" s="825"/>
      <c r="H28" s="817"/>
      <c r="I28" s="817"/>
    </row>
    <row r="29" spans="1:9" s="826" customFormat="1" ht="19.5" customHeight="1">
      <c r="A29" s="3410"/>
      <c r="B29" s="3410"/>
      <c r="C29" s="822" t="s">
        <v>580</v>
      </c>
      <c r="D29" s="823"/>
      <c r="E29" s="821">
        <v>0.9</v>
      </c>
      <c r="F29" s="824" t="s">
        <v>581</v>
      </c>
      <c r="G29" s="825"/>
      <c r="H29" s="817"/>
      <c r="I29" s="817"/>
    </row>
    <row r="30" spans="1:9" s="826" customFormat="1" ht="19.5" customHeight="1">
      <c r="A30" s="3410"/>
      <c r="B30" s="3410"/>
      <c r="C30" s="822" t="s">
        <v>582</v>
      </c>
      <c r="D30" s="823"/>
      <c r="E30" s="821">
        <v>0.9</v>
      </c>
      <c r="F30" s="824" t="s">
        <v>583</v>
      </c>
      <c r="G30" s="825"/>
      <c r="H30" s="817"/>
      <c r="I30" s="817"/>
    </row>
    <row r="31" spans="1:9" s="826" customFormat="1" ht="19.5" customHeight="1">
      <c r="A31" s="3410"/>
      <c r="B31" s="3410"/>
      <c r="C31" s="822" t="s">
        <v>584</v>
      </c>
      <c r="D31" s="823"/>
      <c r="E31" s="821">
        <v>0.8</v>
      </c>
      <c r="F31" s="824" t="s">
        <v>585</v>
      </c>
      <c r="G31" s="825"/>
      <c r="H31" s="817"/>
      <c r="I31" s="817"/>
    </row>
    <row r="32" spans="1:9" s="826" customFormat="1" ht="19.5" customHeight="1">
      <c r="A32" s="3410"/>
      <c r="B32" s="3410"/>
      <c r="C32" s="822" t="s">
        <v>586</v>
      </c>
      <c r="D32" s="823"/>
      <c r="E32" s="821">
        <v>0.8</v>
      </c>
      <c r="F32" s="824" t="s">
        <v>587</v>
      </c>
      <c r="G32" s="825"/>
      <c r="H32" s="817"/>
      <c r="I32" s="817"/>
    </row>
    <row r="33" spans="1:9" s="826" customFormat="1" ht="19.5" customHeight="1">
      <c r="A33" s="3410" t="s">
        <v>185</v>
      </c>
      <c r="B33" s="821" t="s">
        <v>560</v>
      </c>
      <c r="C33" s="822" t="s">
        <v>588</v>
      </c>
      <c r="D33" s="823"/>
      <c r="E33" s="821">
        <v>1</v>
      </c>
      <c r="F33" s="824" t="s">
        <v>589</v>
      </c>
      <c r="G33" s="825"/>
      <c r="H33" s="817"/>
      <c r="I33" s="817"/>
    </row>
    <row r="34" spans="1:9" s="826" customFormat="1" ht="19.5" customHeight="1">
      <c r="A34" s="3410"/>
      <c r="B34" s="821" t="s">
        <v>563</v>
      </c>
      <c r="C34" s="822" t="s">
        <v>590</v>
      </c>
      <c r="D34" s="823"/>
      <c r="E34" s="821">
        <v>1.5</v>
      </c>
      <c r="F34" s="824" t="s">
        <v>591</v>
      </c>
      <c r="G34" s="825"/>
      <c r="H34" s="817"/>
      <c r="I34" s="817"/>
    </row>
    <row r="35" spans="1:9" s="826" customFormat="1" ht="19.5" customHeight="1">
      <c r="A35" s="3410" t="s">
        <v>186</v>
      </c>
      <c r="B35" s="821" t="s">
        <v>560</v>
      </c>
      <c r="C35" s="822" t="s">
        <v>592</v>
      </c>
      <c r="D35" s="823"/>
      <c r="E35" s="821">
        <v>1</v>
      </c>
      <c r="F35" s="824" t="s">
        <v>593</v>
      </c>
      <c r="G35" s="825"/>
      <c r="H35" s="817"/>
      <c r="I35" s="817"/>
    </row>
    <row r="36" spans="1:9" s="826" customFormat="1" ht="19.5" customHeight="1">
      <c r="A36" s="3410"/>
      <c r="B36" s="3410" t="s">
        <v>563</v>
      </c>
      <c r="C36" s="822" t="s">
        <v>594</v>
      </c>
      <c r="D36" s="823"/>
      <c r="E36" s="821">
        <v>1</v>
      </c>
      <c r="F36" s="824" t="s">
        <v>595</v>
      </c>
      <c r="G36" s="825"/>
      <c r="H36" s="817"/>
      <c r="I36" s="817"/>
    </row>
    <row r="37" spans="1:9" s="826" customFormat="1" ht="19.5" customHeight="1">
      <c r="A37" s="3410"/>
      <c r="B37" s="3410"/>
      <c r="C37" s="822" t="s">
        <v>596</v>
      </c>
      <c r="D37" s="823"/>
      <c r="E37" s="821">
        <v>1.5</v>
      </c>
      <c r="F37" s="824" t="s">
        <v>597</v>
      </c>
      <c r="G37" s="825"/>
      <c r="H37" s="817"/>
      <c r="I37" s="817"/>
    </row>
    <row r="38" spans="1:9" s="826" customFormat="1" ht="19.5" customHeight="1">
      <c r="A38" s="3410"/>
      <c r="B38" s="3410"/>
      <c r="C38" s="822" t="s">
        <v>598</v>
      </c>
      <c r="D38" s="823"/>
      <c r="E38" s="821">
        <v>1</v>
      </c>
      <c r="F38" s="824" t="s">
        <v>599</v>
      </c>
      <c r="G38" s="825"/>
      <c r="H38" s="817"/>
      <c r="I38" s="817"/>
    </row>
    <row r="39" spans="1:9" s="826" customFormat="1" ht="19.5" customHeight="1">
      <c r="A39" s="3410"/>
      <c r="B39" s="341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0" t="s">
        <v>614</v>
      </c>
      <c r="C61" s="757" t="s">
        <v>615</v>
      </c>
      <c r="D61" s="757" t="s">
        <v>616</v>
      </c>
      <c r="E61" s="834">
        <v>0.5</v>
      </c>
      <c r="F61" s="821">
        <v>80</v>
      </c>
    </row>
    <row r="62" spans="1:8" s="817" customFormat="1" ht="24">
      <c r="A62" s="821">
        <v>2</v>
      </c>
      <c r="B62" s="3410"/>
      <c r="C62" s="757" t="s">
        <v>617</v>
      </c>
      <c r="D62" s="757" t="s">
        <v>618</v>
      </c>
      <c r="E62" s="834">
        <v>0.5</v>
      </c>
      <c r="F62" s="821">
        <v>80</v>
      </c>
    </row>
    <row r="63" spans="1:8" s="817" customFormat="1" ht="36">
      <c r="A63" s="821">
        <v>3</v>
      </c>
      <c r="B63" s="3410"/>
      <c r="C63" s="757" t="s">
        <v>619</v>
      </c>
      <c r="D63" s="757" t="s">
        <v>620</v>
      </c>
      <c r="E63" s="834">
        <v>0.5</v>
      </c>
      <c r="F63" s="821">
        <v>80</v>
      </c>
    </row>
    <row r="64" spans="1:8" s="817" customFormat="1" ht="36">
      <c r="A64" s="821">
        <v>4</v>
      </c>
      <c r="B64" s="3410"/>
      <c r="C64" s="757" t="s">
        <v>621</v>
      </c>
      <c r="D64" s="757" t="s">
        <v>622</v>
      </c>
      <c r="E64" s="834">
        <v>0.4</v>
      </c>
      <c r="F64" s="821">
        <v>60</v>
      </c>
    </row>
    <row r="65" spans="1:6" s="817" customFormat="1" ht="36">
      <c r="A65" s="821">
        <v>5</v>
      </c>
      <c r="B65" s="3410"/>
      <c r="C65" s="757" t="s">
        <v>623</v>
      </c>
      <c r="D65" s="757" t="s">
        <v>624</v>
      </c>
      <c r="E65" s="834">
        <v>0.2</v>
      </c>
      <c r="F65" s="821">
        <v>30</v>
      </c>
    </row>
    <row r="66" spans="1:6" s="817" customFormat="1" ht="36">
      <c r="A66" s="821">
        <v>6</v>
      </c>
      <c r="B66" s="3410"/>
      <c r="C66" s="757" t="s">
        <v>625</v>
      </c>
      <c r="D66" s="757" t="s">
        <v>626</v>
      </c>
      <c r="E66" s="834">
        <v>0.3</v>
      </c>
      <c r="F66" s="821">
        <v>50</v>
      </c>
    </row>
    <row r="67" spans="1:6" s="817" customFormat="1" ht="36">
      <c r="A67" s="821">
        <v>7</v>
      </c>
      <c r="B67" s="3410"/>
      <c r="C67" s="757" t="s">
        <v>627</v>
      </c>
      <c r="D67" s="757" t="s">
        <v>628</v>
      </c>
      <c r="E67" s="834">
        <v>0.2</v>
      </c>
      <c r="F67" s="821">
        <v>30</v>
      </c>
    </row>
    <row r="68" spans="1:6" s="817" customFormat="1" ht="36">
      <c r="A68" s="821">
        <v>8</v>
      </c>
      <c r="B68" s="3410"/>
      <c r="C68" s="757" t="s">
        <v>629</v>
      </c>
      <c r="D68" s="757" t="s">
        <v>630</v>
      </c>
      <c r="E68" s="834">
        <v>0.2</v>
      </c>
      <c r="F68" s="821">
        <v>30</v>
      </c>
    </row>
    <row r="69" spans="1:6" s="817" customFormat="1" ht="36">
      <c r="A69" s="821">
        <v>9</v>
      </c>
      <c r="B69" s="3410"/>
      <c r="C69" s="757" t="s">
        <v>631</v>
      </c>
      <c r="D69" s="757" t="s">
        <v>632</v>
      </c>
      <c r="E69" s="834">
        <v>0.2</v>
      </c>
      <c r="F69" s="821">
        <v>30</v>
      </c>
    </row>
    <row r="70" spans="1:6" s="817" customFormat="1" ht="48">
      <c r="A70" s="821">
        <v>10</v>
      </c>
      <c r="B70" s="3410"/>
      <c r="C70" s="757" t="s">
        <v>633</v>
      </c>
      <c r="D70" s="757" t="s">
        <v>634</v>
      </c>
      <c r="E70" s="834">
        <v>0.2</v>
      </c>
      <c r="F70" s="821">
        <v>30</v>
      </c>
    </row>
    <row r="71" spans="1:6" s="817" customFormat="1" ht="48">
      <c r="A71" s="821">
        <v>11</v>
      </c>
      <c r="B71" s="3410"/>
      <c r="C71" s="757" t="s">
        <v>635</v>
      </c>
      <c r="D71" s="757" t="s">
        <v>636</v>
      </c>
      <c r="E71" s="834">
        <v>0.2</v>
      </c>
      <c r="F71" s="821">
        <v>30</v>
      </c>
    </row>
    <row r="72" spans="1:6" s="817" customFormat="1" ht="36">
      <c r="A72" s="821">
        <v>12</v>
      </c>
      <c r="B72" s="3410"/>
      <c r="C72" s="757" t="s">
        <v>637</v>
      </c>
      <c r="D72" s="757" t="s">
        <v>638</v>
      </c>
      <c r="E72" s="834">
        <v>0.5</v>
      </c>
      <c r="F72" s="821">
        <v>80</v>
      </c>
    </row>
    <row r="73" spans="1:6" s="817" customFormat="1" ht="24">
      <c r="A73" s="821">
        <v>13</v>
      </c>
      <c r="B73" s="3410"/>
      <c r="C73" s="757" t="s">
        <v>639</v>
      </c>
      <c r="D73" s="757" t="s">
        <v>640</v>
      </c>
      <c r="E73" s="834">
        <v>0.4</v>
      </c>
      <c r="F73" s="821">
        <v>60</v>
      </c>
    </row>
    <row r="74" spans="1:6" s="817" customFormat="1" ht="24">
      <c r="A74" s="821">
        <v>14</v>
      </c>
      <c r="B74" s="3410"/>
      <c r="C74" s="757" t="s">
        <v>641</v>
      </c>
      <c r="D74" s="757" t="s">
        <v>642</v>
      </c>
      <c r="E74" s="834">
        <v>0.2</v>
      </c>
      <c r="F74" s="821">
        <v>30</v>
      </c>
    </row>
    <row r="75" spans="1:6" s="817" customFormat="1" ht="24">
      <c r="A75" s="821">
        <v>15</v>
      </c>
      <c r="B75" s="3410"/>
      <c r="C75" s="757" t="s">
        <v>643</v>
      </c>
      <c r="D75" s="757" t="s">
        <v>644</v>
      </c>
      <c r="E75" s="834">
        <v>0.2</v>
      </c>
      <c r="F75" s="821">
        <v>30</v>
      </c>
    </row>
    <row r="76" spans="1:6" s="817" customFormat="1" ht="24">
      <c r="A76" s="821">
        <v>16</v>
      </c>
      <c r="B76" s="3410" t="s">
        <v>645</v>
      </c>
      <c r="C76" s="757" t="s">
        <v>646</v>
      </c>
      <c r="D76" s="757" t="s">
        <v>647</v>
      </c>
      <c r="E76" s="834">
        <v>0.5</v>
      </c>
      <c r="F76" s="821">
        <v>80</v>
      </c>
    </row>
    <row r="77" spans="1:6" s="817" customFormat="1" ht="24">
      <c r="A77" s="821">
        <v>17</v>
      </c>
      <c r="B77" s="3410"/>
      <c r="C77" s="757" t="s">
        <v>648</v>
      </c>
      <c r="D77" s="757" t="s">
        <v>649</v>
      </c>
      <c r="E77" s="834">
        <v>0.5</v>
      </c>
      <c r="F77" s="821">
        <v>80</v>
      </c>
    </row>
    <row r="78" spans="1:6" s="817" customFormat="1" ht="24">
      <c r="A78" s="821">
        <v>18</v>
      </c>
      <c r="B78" s="3410"/>
      <c r="C78" s="757" t="s">
        <v>650</v>
      </c>
      <c r="D78" s="757" t="s">
        <v>651</v>
      </c>
      <c r="E78" s="834">
        <v>0.2</v>
      </c>
      <c r="F78" s="821">
        <v>30</v>
      </c>
    </row>
    <row r="79" spans="1:6" s="817" customFormat="1" ht="24">
      <c r="A79" s="821">
        <v>19</v>
      </c>
      <c r="B79" s="3410"/>
      <c r="C79" s="757" t="s">
        <v>652</v>
      </c>
      <c r="D79" s="757" t="s">
        <v>653</v>
      </c>
      <c r="E79" s="834">
        <v>0.5</v>
      </c>
      <c r="F79" s="821">
        <v>80</v>
      </c>
    </row>
    <row r="80" spans="1:6" s="817" customFormat="1" ht="36">
      <c r="A80" s="821">
        <v>20</v>
      </c>
      <c r="B80" s="3410"/>
      <c r="C80" s="757" t="s">
        <v>654</v>
      </c>
      <c r="D80" s="757" t="s">
        <v>655</v>
      </c>
      <c r="E80" s="834">
        <v>0.2</v>
      </c>
      <c r="F80" s="821">
        <v>30</v>
      </c>
    </row>
    <row r="81" spans="1:6" s="817" customFormat="1" ht="36">
      <c r="A81" s="821">
        <v>21</v>
      </c>
      <c r="B81" s="3410"/>
      <c r="C81" s="757" t="s">
        <v>656</v>
      </c>
      <c r="D81" s="757" t="s">
        <v>657</v>
      </c>
      <c r="E81" s="834">
        <v>0.2</v>
      </c>
      <c r="F81" s="821">
        <v>30</v>
      </c>
    </row>
    <row r="82" spans="1:6" s="817" customFormat="1" ht="48">
      <c r="A82" s="821">
        <v>22</v>
      </c>
      <c r="B82" s="3410"/>
      <c r="C82" s="757" t="s">
        <v>658</v>
      </c>
      <c r="D82" s="757" t="s">
        <v>659</v>
      </c>
      <c r="E82" s="834">
        <v>0.2</v>
      </c>
      <c r="F82" s="821">
        <v>30</v>
      </c>
    </row>
    <row r="83" spans="1:6" s="817" customFormat="1" ht="48">
      <c r="A83" s="821">
        <v>23</v>
      </c>
      <c r="B83" s="3410"/>
      <c r="C83" s="757" t="s">
        <v>660</v>
      </c>
      <c r="D83" s="757" t="s">
        <v>661</v>
      </c>
      <c r="E83" s="834">
        <v>0.2</v>
      </c>
      <c r="F83" s="821">
        <v>30</v>
      </c>
    </row>
    <row r="84" spans="1:6" s="817" customFormat="1" ht="36">
      <c r="A84" s="821">
        <v>24</v>
      </c>
      <c r="B84" s="3410"/>
      <c r="C84" s="757" t="s">
        <v>662</v>
      </c>
      <c r="D84" s="757" t="s">
        <v>663</v>
      </c>
      <c r="E84" s="834">
        <v>0.2</v>
      </c>
      <c r="F84" s="821">
        <v>30</v>
      </c>
    </row>
    <row r="85" spans="1:6" s="817" customFormat="1" ht="36">
      <c r="A85" s="821">
        <v>25</v>
      </c>
      <c r="B85" s="3410"/>
      <c r="C85" s="757" t="s">
        <v>664</v>
      </c>
      <c r="D85" s="757" t="s">
        <v>665</v>
      </c>
      <c r="E85" s="834">
        <v>0.5</v>
      </c>
      <c r="F85" s="821">
        <v>80</v>
      </c>
    </row>
    <row r="86" spans="1:6" s="817" customFormat="1" ht="36">
      <c r="A86" s="821">
        <v>26</v>
      </c>
      <c r="B86" s="3410"/>
      <c r="C86" s="757" t="s">
        <v>666</v>
      </c>
      <c r="D86" s="757" t="s">
        <v>667</v>
      </c>
      <c r="E86" s="834">
        <v>0.2</v>
      </c>
      <c r="F86" s="821">
        <v>30</v>
      </c>
    </row>
    <row r="87" spans="1:6" s="817" customFormat="1" ht="36">
      <c r="A87" s="821">
        <v>27</v>
      </c>
      <c r="B87" s="3410"/>
      <c r="C87" s="757" t="s">
        <v>668</v>
      </c>
      <c r="D87" s="757" t="s">
        <v>669</v>
      </c>
      <c r="E87" s="834">
        <v>0.2</v>
      </c>
      <c r="F87" s="821">
        <v>30</v>
      </c>
    </row>
    <row r="88" spans="1:6" s="817" customFormat="1" ht="36">
      <c r="A88" s="821">
        <v>28</v>
      </c>
      <c r="B88" s="3410"/>
      <c r="C88" s="757" t="s">
        <v>670</v>
      </c>
      <c r="D88" s="757" t="s">
        <v>671</v>
      </c>
      <c r="E88" s="834">
        <v>0.2</v>
      </c>
      <c r="F88" s="821">
        <v>30</v>
      </c>
    </row>
    <row r="89" spans="1:6" s="817" customFormat="1" ht="24">
      <c r="A89" s="821">
        <v>29</v>
      </c>
      <c r="B89" s="3410"/>
      <c r="C89" s="757" t="s">
        <v>672</v>
      </c>
      <c r="D89" s="757" t="s">
        <v>673</v>
      </c>
      <c r="E89" s="834">
        <v>0.2</v>
      </c>
      <c r="F89" s="821">
        <v>30</v>
      </c>
    </row>
    <row r="90" spans="1:6" s="817" customFormat="1" ht="24">
      <c r="A90" s="821">
        <v>30</v>
      </c>
      <c r="B90" s="3410"/>
      <c r="C90" s="757" t="s">
        <v>674</v>
      </c>
      <c r="D90" s="757" t="s">
        <v>675</v>
      </c>
      <c r="E90" s="834">
        <v>0.2</v>
      </c>
      <c r="F90" s="821">
        <v>30</v>
      </c>
    </row>
    <row r="91" spans="1:6" s="817" customFormat="1" ht="36">
      <c r="A91" s="821">
        <v>31</v>
      </c>
      <c r="B91" s="3410"/>
      <c r="C91" s="757" t="s">
        <v>676</v>
      </c>
      <c r="D91" s="757" t="s">
        <v>677</v>
      </c>
      <c r="E91" s="834">
        <v>0.2</v>
      </c>
      <c r="F91" s="821">
        <v>30</v>
      </c>
    </row>
    <row r="92" spans="1:6" s="817" customFormat="1" ht="24">
      <c r="A92" s="821">
        <v>32</v>
      </c>
      <c r="B92" s="3410" t="s">
        <v>678</v>
      </c>
      <c r="C92" s="821" t="s">
        <v>679</v>
      </c>
      <c r="D92" s="757" t="s">
        <v>680</v>
      </c>
      <c r="E92" s="834">
        <v>0.2</v>
      </c>
      <c r="F92" s="821">
        <v>30</v>
      </c>
    </row>
    <row r="93" spans="1:6" s="817" customFormat="1" ht="36">
      <c r="A93" s="821">
        <v>33</v>
      </c>
      <c r="B93" s="3410"/>
      <c r="C93" s="821" t="s">
        <v>681</v>
      </c>
      <c r="D93" s="757" t="s">
        <v>682</v>
      </c>
      <c r="E93" s="834">
        <v>0.2</v>
      </c>
      <c r="F93" s="821">
        <v>30</v>
      </c>
    </row>
    <row r="94" spans="1:6" s="817" customFormat="1" ht="48">
      <c r="A94" s="821">
        <v>34</v>
      </c>
      <c r="B94" s="3410"/>
      <c r="C94" s="821" t="s">
        <v>683</v>
      </c>
      <c r="D94" s="757" t="s">
        <v>684</v>
      </c>
      <c r="E94" s="834">
        <v>0.2</v>
      </c>
      <c r="F94" s="821">
        <v>30</v>
      </c>
    </row>
    <row r="95" spans="1:6" s="817" customFormat="1" ht="36">
      <c r="A95" s="821">
        <v>35</v>
      </c>
      <c r="B95" s="3410"/>
      <c r="C95" s="821" t="s">
        <v>685</v>
      </c>
      <c r="D95" s="757" t="s">
        <v>686</v>
      </c>
      <c r="E95" s="834">
        <v>0.2</v>
      </c>
      <c r="F95" s="821">
        <v>30</v>
      </c>
    </row>
    <row r="96" spans="1:6" s="817" customFormat="1" ht="48">
      <c r="A96" s="821">
        <v>36</v>
      </c>
      <c r="B96" s="3410"/>
      <c r="C96" s="757" t="s">
        <v>687</v>
      </c>
      <c r="D96" s="757" t="s">
        <v>688</v>
      </c>
      <c r="E96" s="834">
        <v>0.2</v>
      </c>
      <c r="F96" s="821">
        <v>30</v>
      </c>
    </row>
    <row r="97" spans="1:6" s="817" customFormat="1" ht="36">
      <c r="A97" s="821">
        <v>37</v>
      </c>
      <c r="B97" s="3410"/>
      <c r="C97" s="821" t="s">
        <v>689</v>
      </c>
      <c r="D97" s="757" t="s">
        <v>690</v>
      </c>
      <c r="E97" s="834">
        <v>0.2</v>
      </c>
      <c r="F97" s="821">
        <v>30</v>
      </c>
    </row>
    <row r="98" spans="1:6" s="817" customFormat="1" ht="36">
      <c r="A98" s="821">
        <v>38</v>
      </c>
      <c r="B98" s="3410"/>
      <c r="C98" s="821" t="s">
        <v>691</v>
      </c>
      <c r="D98" s="757" t="s">
        <v>692</v>
      </c>
      <c r="E98" s="834">
        <v>0.2</v>
      </c>
      <c r="F98" s="821">
        <v>30</v>
      </c>
    </row>
    <row r="99" spans="1:6" s="817" customFormat="1" ht="36">
      <c r="A99" s="821">
        <v>39</v>
      </c>
      <c r="B99" s="3410" t="s">
        <v>693</v>
      </c>
      <c r="C99" s="821" t="s">
        <v>694</v>
      </c>
      <c r="D99" s="757" t="s">
        <v>695</v>
      </c>
      <c r="E99" s="834">
        <v>0.3</v>
      </c>
      <c r="F99" s="821">
        <v>50</v>
      </c>
    </row>
    <row r="100" spans="1:6" s="817" customFormat="1" ht="24">
      <c r="A100" s="821">
        <v>40</v>
      </c>
      <c r="B100" s="3410"/>
      <c r="C100" s="821" t="s">
        <v>696</v>
      </c>
      <c r="D100" s="757" t="s">
        <v>697</v>
      </c>
      <c r="E100" s="834">
        <v>0.2</v>
      </c>
      <c r="F100" s="821">
        <v>30</v>
      </c>
    </row>
    <row r="101" spans="1:6" s="817" customFormat="1" ht="36">
      <c r="A101" s="821">
        <v>41</v>
      </c>
      <c r="B101" s="341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0" t="s">
        <v>708</v>
      </c>
      <c r="C105" s="821" t="s">
        <v>709</v>
      </c>
      <c r="D105" s="757" t="s">
        <v>710</v>
      </c>
      <c r="E105" s="834">
        <v>0.2</v>
      </c>
      <c r="F105" s="821">
        <v>30</v>
      </c>
    </row>
    <row r="106" spans="1:6" s="817" customFormat="1" ht="36">
      <c r="A106" s="821">
        <v>46</v>
      </c>
      <c r="B106" s="3410"/>
      <c r="C106" s="821" t="s">
        <v>711</v>
      </c>
      <c r="D106" s="757" t="s">
        <v>712</v>
      </c>
      <c r="E106" s="834">
        <v>0.2</v>
      </c>
      <c r="F106" s="821">
        <v>30</v>
      </c>
    </row>
    <row r="107" spans="1:6" s="817" customFormat="1" ht="36">
      <c r="A107" s="821">
        <v>47</v>
      </c>
      <c r="B107" s="3410" t="s">
        <v>713</v>
      </c>
      <c r="C107" s="821" t="s">
        <v>714</v>
      </c>
      <c r="D107" s="757" t="s">
        <v>715</v>
      </c>
      <c r="E107" s="834">
        <v>0.3</v>
      </c>
      <c r="F107" s="821">
        <v>50</v>
      </c>
    </row>
    <row r="108" spans="1:6" s="817" customFormat="1" ht="36">
      <c r="A108" s="821">
        <v>48</v>
      </c>
      <c r="B108" s="341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0" t="s">
        <v>724</v>
      </c>
      <c r="C111" s="821" t="s">
        <v>725</v>
      </c>
      <c r="D111" s="757" t="s">
        <v>726</v>
      </c>
      <c r="E111" s="834">
        <v>0.2</v>
      </c>
      <c r="F111" s="821">
        <v>30</v>
      </c>
    </row>
    <row r="112" spans="1:6" s="817" customFormat="1" ht="24">
      <c r="A112" s="821">
        <v>52</v>
      </c>
      <c r="B112" s="3410"/>
      <c r="C112" s="821" t="s">
        <v>727</v>
      </c>
      <c r="D112" s="757" t="s">
        <v>728</v>
      </c>
      <c r="E112" s="834">
        <v>0.2</v>
      </c>
      <c r="F112" s="821">
        <v>30</v>
      </c>
    </row>
    <row r="113" spans="1:6" s="817" customFormat="1" ht="24">
      <c r="A113" s="821">
        <v>53</v>
      </c>
      <c r="B113" s="341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0" t="s">
        <v>737</v>
      </c>
      <c r="C116" s="821" t="s">
        <v>738</v>
      </c>
      <c r="D116" s="757" t="s">
        <v>739</v>
      </c>
      <c r="E116" s="834">
        <v>0.2</v>
      </c>
      <c r="F116" s="821">
        <v>30</v>
      </c>
    </row>
    <row r="117" spans="1:6" ht="36">
      <c r="A117" s="821">
        <v>57</v>
      </c>
      <c r="B117" s="341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C307" workbookViewId="0">
      <selection activeCell="A312" sqref="A312:XFD312"/>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3.1968000000000001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v>
      </c>
      <c r="B3" s="3088"/>
      <c r="C3" s="3088"/>
      <c r="D3" s="3088"/>
      <c r="E3" s="3088"/>
    </row>
    <row r="4" spans="1:5" ht="19.5" thickBot="1">
      <c r="A4" s="1678"/>
      <c r="B4" s="3086" t="s">
        <v>1595</v>
      </c>
      <c r="C4" s="3086"/>
      <c r="D4" s="3086"/>
      <c r="E4" s="1678"/>
    </row>
    <row r="5" spans="1:5" ht="16.5" thickTop="1">
      <c r="A5" s="1676"/>
      <c r="B5" s="3084" t="s">
        <v>1587</v>
      </c>
      <c r="C5" s="1679" t="s">
        <v>1588</v>
      </c>
      <c r="D5" s="959">
        <f ca="1">结果表!H101</f>
        <v>215785</v>
      </c>
      <c r="E5" s="1676"/>
    </row>
    <row r="6" spans="1:5" ht="15.75">
      <c r="A6" s="1676"/>
      <c r="B6" s="3084"/>
      <c r="C6" s="1679" t="s">
        <v>1589</v>
      </c>
      <c r="D6" s="959" t="str">
        <f ca="1">NUMBERSTRING(INT(D5*10000),2)&amp;"元整"</f>
        <v>贰拾壹亿伍仟柒佰捌拾伍万元整</v>
      </c>
      <c r="E6" s="1676"/>
    </row>
    <row r="7" spans="1:5" ht="15.75">
      <c r="A7" s="1676"/>
      <c r="B7" s="3089"/>
      <c r="C7" s="1680" t="s">
        <v>1590</v>
      </c>
      <c r="D7" s="960">
        <f ca="1">结果表!H102</f>
        <v>18911</v>
      </c>
      <c r="E7" s="1676"/>
    </row>
    <row r="8" spans="1:5" ht="15.75">
      <c r="A8" s="1676"/>
      <c r="B8" s="3090" t="str">
        <f>结果表!E103</f>
        <v>2.估价师知悉的法定优先受偿款</v>
      </c>
      <c r="C8" s="1681" t="s">
        <v>1591</v>
      </c>
      <c r="D8" s="960">
        <f>结果表!H103</f>
        <v>0</v>
      </c>
      <c r="E8" s="1676"/>
    </row>
    <row r="9" spans="1:5" ht="15.75">
      <c r="A9" s="1676"/>
      <c r="B9" s="309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3" t="str">
        <f>结果表!E107</f>
        <v>3.房地产抵押价值</v>
      </c>
      <c r="C13" s="1684" t="s">
        <v>1588</v>
      </c>
      <c r="D13" s="962">
        <f ca="1">结果表!H107</f>
        <v>215785</v>
      </c>
      <c r="E13" s="1676"/>
    </row>
    <row r="14" spans="1:5" ht="15.75">
      <c r="A14" s="1676"/>
      <c r="B14" s="3084"/>
      <c r="C14" s="1679" t="s">
        <v>1589</v>
      </c>
      <c r="D14" s="959" t="str">
        <f ca="1">NUMBERSTRING(INT(D13*10000),2)&amp;"元整"</f>
        <v>贰拾壹亿伍仟柒佰捌拾伍万元整</v>
      </c>
      <c r="E14" s="1676"/>
    </row>
    <row r="15" spans="1:5" ht="15">
      <c r="A15" s="1676"/>
      <c r="B15" s="3089"/>
      <c r="C15" s="1680" t="s">
        <v>1599</v>
      </c>
      <c r="D15" s="968">
        <f ca="1">结果表!H108</f>
        <v>18911</v>
      </c>
      <c r="E15" s="1676"/>
    </row>
    <row r="16" spans="1:5" ht="15">
      <c r="A16" s="1676"/>
      <c r="B16" s="3090" t="str">
        <f>结果表!E109</f>
        <v>——</v>
      </c>
      <c r="C16" s="1684" t="s">
        <v>1600</v>
      </c>
      <c r="D16" s="1685" t="str">
        <f>结果表!H109</f>
        <v>——</v>
      </c>
      <c r="E16" s="1676"/>
    </row>
    <row r="17" spans="1:5" ht="15.75">
      <c r="A17" s="1676"/>
      <c r="B17" s="3091"/>
      <c r="C17" s="1679" t="s">
        <v>1601</v>
      </c>
      <c r="D17" s="959" t="e">
        <f>NUMBERSTRING(INT(D16*10000),2)&amp;"元整"</f>
        <v>#VALUE!</v>
      </c>
      <c r="E17" s="1676"/>
    </row>
    <row r="18" spans="1:5" ht="15">
      <c r="A18" s="1676"/>
      <c r="B18" s="3092"/>
      <c r="C18" s="1680" t="s">
        <v>1590</v>
      </c>
      <c r="D18" s="968" t="str">
        <f>结果表!H110</f>
        <v>——</v>
      </c>
      <c r="E18" s="1676"/>
    </row>
    <row r="19" spans="1:5" ht="15.75">
      <c r="A19" s="1676"/>
      <c r="B19" s="3083" t="str">
        <f>结果表!E111</f>
        <v>4.抵押净值</v>
      </c>
      <c r="C19" s="1684" t="s">
        <v>1588</v>
      </c>
      <c r="D19" s="960">
        <f ca="1">结果表!H111</f>
        <v>124432</v>
      </c>
      <c r="E19" s="1676"/>
    </row>
    <row r="20" spans="1:5" ht="15.75">
      <c r="A20" s="1676"/>
      <c r="B20" s="3084"/>
      <c r="C20" s="1679" t="s">
        <v>1601</v>
      </c>
      <c r="D20" s="959" t="str">
        <f ca="1">NUMBERSTRING(INT(D19*10000),2)&amp;"元整"</f>
        <v>壹拾贰亿肆仟肆佰叁拾贰万元整</v>
      </c>
      <c r="E20" s="1676"/>
    </row>
    <row r="21" spans="1:5" ht="15.75" thickBot="1">
      <c r="A21" s="1676"/>
      <c r="B21" s="3085"/>
      <c r="C21" s="1686" t="s">
        <v>1599</v>
      </c>
      <c r="D21" s="969">
        <f ca="1">结果表!H112</f>
        <v>10905</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15"/>
      <c r="G1" s="3015"/>
      <c r="H1" s="3015"/>
      <c r="I1" s="3015"/>
      <c r="J1" s="3015"/>
      <c r="K1" s="3015"/>
      <c r="L1" s="3015"/>
      <c r="M1" s="3015"/>
      <c r="N1" s="3015"/>
      <c r="O1" s="3015"/>
      <c r="P1" s="3015"/>
    </row>
    <row r="2" spans="1:16" ht="15.75">
      <c r="A2" s="2361" t="s">
        <v>2814</v>
      </c>
      <c r="B2" s="2819">
        <f ca="1">SUMIF(B6:B13,"&lt;&gt;#ref!",B6:B13)</f>
        <v>75482</v>
      </c>
      <c r="C2" s="2361" t="s">
        <v>2815</v>
      </c>
      <c r="D2" s="2361" t="s">
        <v>2816</v>
      </c>
      <c r="E2" s="2829">
        <f ca="1">SUMIF(E6:E13,"&lt;&gt;#ref!",E6:E13)</f>
        <v>114107.98000000001</v>
      </c>
      <c r="F2" s="3015"/>
      <c r="G2" s="3015"/>
      <c r="H2" s="3015"/>
      <c r="I2" s="3015"/>
      <c r="J2" s="3015"/>
      <c r="K2" s="3015"/>
      <c r="L2" s="3015"/>
      <c r="M2" s="3015"/>
      <c r="N2" s="3015"/>
      <c r="O2" s="3015"/>
      <c r="P2" s="3015"/>
    </row>
    <row r="3" spans="1:16" ht="15.75">
      <c r="A3" s="2361" t="s">
        <v>2817</v>
      </c>
      <c r="B3" s="2819">
        <f ca="1">ROUND(B2*10000/E2,0)</f>
        <v>6615</v>
      </c>
      <c r="C3" s="2361" t="s">
        <v>2823</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2818</v>
      </c>
      <c r="B5" s="2827" t="s">
        <v>2819</v>
      </c>
      <c r="C5" s="2362"/>
      <c r="D5" s="3015"/>
      <c r="E5" s="2828" t="s">
        <v>2820</v>
      </c>
      <c r="F5" s="3015"/>
      <c r="G5" s="3015"/>
      <c r="H5" s="3015"/>
      <c r="I5" s="3015"/>
      <c r="J5" s="3015"/>
      <c r="K5" s="3015"/>
      <c r="L5" s="3015"/>
      <c r="M5" s="3015"/>
      <c r="N5" s="3015"/>
      <c r="O5" s="3015"/>
      <c r="P5" s="3015"/>
    </row>
    <row r="6" spans="1:16" ht="15.75">
      <c r="A6" s="2826" t="s">
        <v>2821</v>
      </c>
      <c r="B6" s="2819">
        <f ca="1">SUMIF(INDIRECT("'"&amp;A6&amp;"'"&amp;"!A:A"),"总价",INDIRECT("'"&amp;A6&amp;"'"&amp;"!B:B"))</f>
        <v>75482</v>
      </c>
      <c r="C6" s="2361" t="s">
        <v>2815</v>
      </c>
      <c r="D6" s="3015"/>
      <c r="E6" s="2829">
        <f ca="1">SUMIF(INDIRECT("'"&amp;A6&amp;"'"&amp;"!C:C"),"建筑面积",INDIRECT("'"&amp;A6&amp;"'"&amp;"!D:D"))</f>
        <v>114107.98000000001</v>
      </c>
      <c r="F6" s="3015"/>
      <c r="G6" s="3015"/>
      <c r="H6" s="3015"/>
      <c r="I6" s="3015"/>
      <c r="J6" s="3015"/>
      <c r="K6" s="3015"/>
      <c r="L6" s="3015"/>
      <c r="M6" s="3015"/>
      <c r="N6" s="3015"/>
      <c r="O6" s="3015"/>
      <c r="P6" s="3015"/>
    </row>
    <row r="7" spans="1:16" ht="15.75">
      <c r="A7" s="2826"/>
      <c r="B7" s="2819" t="e">
        <f ca="1">SUMIF(INDIRECT("'"&amp;A7&amp;"'"&amp;"!A:A"),"总价",INDIRECT("'"&amp;A7&amp;"'"&amp;"!B:B"))</f>
        <v>#REF!</v>
      </c>
      <c r="C7" s="2361" t="s">
        <v>2815</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61" t="s">
        <v>2815</v>
      </c>
      <c r="D8" s="3015"/>
      <c r="E8" s="2829" t="e">
        <f t="shared" ca="1" si="0"/>
        <v>#REF!</v>
      </c>
      <c r="F8" s="3015"/>
      <c r="G8" s="3015"/>
      <c r="H8" s="3015"/>
      <c r="I8" s="3015"/>
      <c r="J8" s="3015"/>
      <c r="K8" s="3015"/>
      <c r="L8" s="3015"/>
      <c r="M8" s="3015"/>
      <c r="N8" s="3015"/>
      <c r="O8" s="3015"/>
      <c r="P8" s="3015"/>
    </row>
    <row r="9" spans="1:16" ht="15.75">
      <c r="A9" s="2826"/>
      <c r="B9" s="2819" t="e">
        <f t="shared" ca="1" si="1"/>
        <v>#REF!</v>
      </c>
      <c r="C9" s="2361" t="s">
        <v>2815</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61" t="s">
        <v>2815</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61" t="s">
        <v>2815</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61" t="s">
        <v>2815</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61" t="s">
        <v>2815</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12" sqref="E12"/>
    </sheetView>
  </sheetViews>
  <sheetFormatPr defaultColWidth="9"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16" t="s">
        <v>1117</v>
      </c>
      <c r="C1" s="3416"/>
      <c r="D1" s="3416"/>
      <c r="E1" s="3416"/>
      <c r="F1" s="3416"/>
      <c r="G1" s="3412" t="s">
        <v>1118</v>
      </c>
      <c r="H1" s="3412"/>
      <c r="I1" s="3412"/>
      <c r="J1" s="3412"/>
      <c r="K1" s="3412"/>
      <c r="L1" s="3412"/>
      <c r="N1" s="3412" t="s">
        <v>1119</v>
      </c>
      <c r="O1" s="3412"/>
      <c r="P1" s="3412"/>
      <c r="Q1" s="3412"/>
      <c r="S1" s="3412" t="s">
        <v>1120</v>
      </c>
      <c r="T1" s="3412"/>
      <c r="U1" s="3412"/>
      <c r="V1" s="3412"/>
      <c r="X1" s="3411" t="s">
        <v>1121</v>
      </c>
      <c r="Y1" s="3412"/>
      <c r="Z1" s="3412"/>
      <c r="AA1" s="3412"/>
      <c r="AB1" s="3412"/>
      <c r="AD1" s="3411" t="s">
        <v>1122</v>
      </c>
      <c r="AE1" s="3412"/>
      <c r="AF1" s="3412"/>
      <c r="AG1" s="3412"/>
      <c r="AH1" s="341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ROUND(AVERAGE($I4:$I37),2)</f>
        <v>1.61</v>
      </c>
      <c r="J3" s="2399">
        <f>ROUND(AVERAGE($J4:$J37),2)</f>
        <v>1.02</v>
      </c>
      <c r="K3" s="2399">
        <f>ROUND(AVERAGE($K4:$K37),2)</f>
        <v>1.77</v>
      </c>
      <c r="L3" s="2399">
        <f>ROUND(AVERAGE($L4:$L37),2)</f>
        <v>1.18</v>
      </c>
      <c r="N3" s="2397"/>
      <c r="S3" s="2397"/>
      <c r="W3" s="2401"/>
      <c r="X3" s="2402">
        <f>ROUND(SUMPRODUCT(PRODUCT(1+N3:N$36)),4)</f>
        <v>1.6415999999999999</v>
      </c>
      <c r="Y3" s="2402">
        <f>ROUND(SUMPRODUCT(PRODUCT(1+O3:O$36)),4)</f>
        <v>1.3644000000000001</v>
      </c>
      <c r="Z3" s="2402">
        <f t="shared" ref="Z3:Z34" si="0">Y3</f>
        <v>1.3644000000000001</v>
      </c>
      <c r="AA3" s="2402">
        <f>ROUND(SUMPRODUCT(PRODUCT(1+P3:P$36)),4)</f>
        <v>1.7232000000000001</v>
      </c>
      <c r="AB3" s="2402">
        <f>ROUND(SUMPRODUCT(PRODUCT(1+Q3:Q$36)),4)</f>
        <v>1.4529000000000001</v>
      </c>
      <c r="AD3" s="2403">
        <f>ROUND(AVERAGE(I3:I$37)/100,4)</f>
        <v>1.61E-2</v>
      </c>
      <c r="AE3" s="2403">
        <f>ROUND(AVERAGE(J3:J$37)/100,4)</f>
        <v>1.0200000000000001E-2</v>
      </c>
      <c r="AF3" s="2403">
        <f t="shared" ref="AF3:AF35" si="1">AE3</f>
        <v>1.0200000000000001E-2</v>
      </c>
      <c r="AG3" s="2403">
        <f>ROUND(AVERAGE(K3:K$37)/100,4)</f>
        <v>1.77E-2</v>
      </c>
      <c r="AH3" s="2403">
        <f>ROUND(AVERAGE(L3:L$37)/100,4)</f>
        <v>1.18E-2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436" customFormat="1">
      <c r="A5" s="3432" t="s">
        <v>3166</v>
      </c>
      <c r="B5" s="3433">
        <f t="shared" ref="B5:C6" si="2">B6*(1+N5)</f>
        <v>504.87072809615569</v>
      </c>
      <c r="C5" s="3433">
        <f t="shared" si="2"/>
        <v>351.71182348101968</v>
      </c>
      <c r="D5" s="3433">
        <f t="shared" ref="D5:D6" si="3">C5</f>
        <v>351.71182348101968</v>
      </c>
      <c r="E5" s="3433">
        <f t="shared" ref="E5:F6" si="4">E6*(1+P5)</f>
        <v>728.75350858360832</v>
      </c>
      <c r="F5" s="3433">
        <f t="shared" si="4"/>
        <v>334.04593931673656</v>
      </c>
      <c r="G5" s="3434">
        <v>2022</v>
      </c>
      <c r="H5" s="3435">
        <v>1</v>
      </c>
      <c r="I5" s="3058">
        <v>0</v>
      </c>
      <c r="J5" s="3058">
        <v>0</v>
      </c>
      <c r="K5" s="3058">
        <v>0</v>
      </c>
      <c r="L5" s="3058">
        <v>0</v>
      </c>
      <c r="N5" s="3437">
        <f t="shared" ref="N5:Q6" si="5">I5/100</f>
        <v>0</v>
      </c>
      <c r="O5" s="3437">
        <f t="shared" si="5"/>
        <v>0</v>
      </c>
      <c r="P5" s="3437">
        <f t="shared" si="5"/>
        <v>0</v>
      </c>
      <c r="Q5" s="3437">
        <f t="shared" si="5"/>
        <v>0</v>
      </c>
      <c r="S5" s="3438"/>
      <c r="W5" s="3439" t="s">
        <v>3167</v>
      </c>
      <c r="X5" s="3440">
        <f>ROUND(IF([4]项目基本情况!B1="出让",SUMPRODUCT(PRODUCT(1+N5:N$37)),SUMPRODUCT(PRODUCT(1+N5:N$36))),4)</f>
        <v>1.6415999999999999</v>
      </c>
      <c r="Y5" s="3440">
        <f>ROUND(IF([4]项目基本情况!B1="出让",SUMPRODUCT(PRODUCT(1+O5:O$37)),SUMPRODUCT(PRODUCT(1+O5:O$36))),4)</f>
        <v>1.3644000000000001</v>
      </c>
      <c r="Z5" s="3440">
        <f t="shared" ref="Z5:Z6" si="6">Y5</f>
        <v>1.3644000000000001</v>
      </c>
      <c r="AA5" s="3440">
        <f>ROUND(IF([4]项目基本情况!B1="出让",SUMPRODUCT(PRODUCT(1+P5:P$37)),SUMPRODUCT(PRODUCT(1+P5:P$36))),4)</f>
        <v>1.7232000000000001</v>
      </c>
      <c r="AB5" s="3440">
        <f>ROUND(IF([4]项目基本情况!B1="出让",SUMPRODUCT(PRODUCT(1+Q5:Q$37)),SUMPRODUCT(PRODUCT(1+Q5:Q$36))),4)</f>
        <v>1.4529000000000001</v>
      </c>
      <c r="AD5" s="3441">
        <f>ROUND(AVERAGE(I5:I$37)/100,4)</f>
        <v>1.61E-2</v>
      </c>
      <c r="AE5" s="3441">
        <f>ROUND(AVERAGE(J5:J$37)/100,4)</f>
        <v>1.0200000000000001E-2</v>
      </c>
      <c r="AF5" s="3441">
        <f t="shared" ref="AF5:AF6" si="7">AE5</f>
        <v>1.0200000000000001E-2</v>
      </c>
      <c r="AG5" s="3441">
        <f>ROUND(AVERAGE(K5:K$37)/100,4)</f>
        <v>1.77E-2</v>
      </c>
      <c r="AH5" s="3441">
        <f>ROUND(AVERAGE(L5:L$37)/100,4)</f>
        <v>1.18E-2</v>
      </c>
    </row>
    <row r="6" spans="1:34" s="3445" customFormat="1">
      <c r="A6" s="3056" t="s">
        <v>3168</v>
      </c>
      <c r="B6" s="3057">
        <f t="shared" si="2"/>
        <v>504.87072809615569</v>
      </c>
      <c r="C6" s="3057">
        <f t="shared" si="2"/>
        <v>351.71182348101968</v>
      </c>
      <c r="D6" s="3057">
        <f t="shared" si="3"/>
        <v>351.71182348101968</v>
      </c>
      <c r="E6" s="3057">
        <f t="shared" si="4"/>
        <v>728.75350858360832</v>
      </c>
      <c r="F6" s="3057">
        <f t="shared" si="4"/>
        <v>334.04593931673656</v>
      </c>
      <c r="G6" s="3434">
        <v>2021</v>
      </c>
      <c r="H6" s="2387">
        <v>4</v>
      </c>
      <c r="I6" s="2387">
        <v>0</v>
      </c>
      <c r="J6" s="2387">
        <v>0</v>
      </c>
      <c r="K6" s="2387">
        <v>0</v>
      </c>
      <c r="L6" s="2388">
        <v>0</v>
      </c>
      <c r="M6" s="3059"/>
      <c r="N6" s="3061">
        <f t="shared" si="5"/>
        <v>0</v>
      </c>
      <c r="O6" s="3062">
        <f t="shared" si="5"/>
        <v>0</v>
      </c>
      <c r="P6" s="3062">
        <f t="shared" si="5"/>
        <v>0</v>
      </c>
      <c r="Q6" s="3062">
        <f t="shared" si="5"/>
        <v>0</v>
      </c>
      <c r="R6" s="3442"/>
      <c r="S6" s="3061"/>
      <c r="T6" s="3062"/>
      <c r="U6" s="3062"/>
      <c r="V6" s="3062"/>
      <c r="W6" s="3443"/>
      <c r="X6" s="3443">
        <f>ROUND(IF([4]项目基本情况!B2="出让",SUMPRODUCT(PRODUCT(1+N6:N$37)),SUMPRODUCT(PRODUCT(1+N6:N$36))),4)</f>
        <v>1.6415999999999999</v>
      </c>
      <c r="Y6" s="3443">
        <f>ROUND(IF([4]项目基本情况!B2="出让",SUMPRODUCT(PRODUCT(1+O6:O$37)),SUMPRODUCT(PRODUCT(1+O6:O$36))),4)</f>
        <v>1.3644000000000001</v>
      </c>
      <c r="Z6" s="3443">
        <f t="shared" si="6"/>
        <v>1.3644000000000001</v>
      </c>
      <c r="AA6" s="3443">
        <f>ROUND(IF([4]项目基本情况!B2="出让",SUMPRODUCT(PRODUCT(1+P6:P$37)),SUMPRODUCT(PRODUCT(1+P6:P$36))),4)</f>
        <v>1.7232000000000001</v>
      </c>
      <c r="AB6" s="3443">
        <f>ROUND(IF([4]项目基本情况!B2="出让",SUMPRODUCT(PRODUCT(1+Q6:Q$37)),SUMPRODUCT(PRODUCT(1+Q6:Q$36))),4)</f>
        <v>1.4529000000000001</v>
      </c>
      <c r="AC6" s="3443"/>
      <c r="AD6" s="3444">
        <f>ROUND(AVERAGE(I6:I$37)/100,4)</f>
        <v>1.66E-2</v>
      </c>
      <c r="AE6" s="3444">
        <f>ROUND(AVERAGE(J6:J$37)/100,4)</f>
        <v>1.0500000000000001E-2</v>
      </c>
      <c r="AF6" s="3444">
        <f t="shared" si="7"/>
        <v>1.0500000000000001E-2</v>
      </c>
      <c r="AG6" s="3444">
        <f>ROUND(AVERAGE(K6:K$37)/100,4)</f>
        <v>1.83E-2</v>
      </c>
      <c r="AH6" s="3444">
        <f>ROUND(AVERAGE(L6:L$37)/100,4)</f>
        <v>1.2200000000000001E-2</v>
      </c>
    </row>
    <row r="7" spans="1:34" s="2413" customFormat="1">
      <c r="A7" s="3056" t="s">
        <v>3150</v>
      </c>
      <c r="B7" s="3057">
        <f t="shared" ref="B7:C9" si="8">B8*(1+N7)</f>
        <v>504.87072809615569</v>
      </c>
      <c r="C7" s="3057">
        <f t="shared" si="8"/>
        <v>351.71182348101968</v>
      </c>
      <c r="D7" s="3057">
        <f t="shared" ref="D6:D9" si="9">C7</f>
        <v>351.71182348101968</v>
      </c>
      <c r="E7" s="3057">
        <f t="shared" ref="E7:F9" si="10">E8*(1+P7)</f>
        <v>728.75350858360832</v>
      </c>
      <c r="F7" s="3057">
        <f t="shared" si="10"/>
        <v>334.04593931673656</v>
      </c>
      <c r="G7" s="3055">
        <v>2021</v>
      </c>
      <c r="H7" s="3060">
        <v>3</v>
      </c>
      <c r="I7" s="2387">
        <v>0.47</v>
      </c>
      <c r="J7" s="2387">
        <v>0.41</v>
      </c>
      <c r="K7" s="2387">
        <v>0.48</v>
      </c>
      <c r="L7" s="3059">
        <v>0.48</v>
      </c>
      <c r="M7" s="2404"/>
      <c r="N7" s="3061">
        <f t="shared" ref="N6:Q9" si="11">I7/100</f>
        <v>4.6999999999999993E-3</v>
      </c>
      <c r="O7" s="3062">
        <f t="shared" si="11"/>
        <v>4.0999999999999995E-3</v>
      </c>
      <c r="P7" s="3062">
        <f t="shared" si="11"/>
        <v>4.7999999999999996E-3</v>
      </c>
      <c r="Q7" s="3062">
        <f t="shared" si="11"/>
        <v>4.7999999999999996E-3</v>
      </c>
      <c r="R7" s="2404"/>
      <c r="S7" s="2407"/>
      <c r="T7" s="2404"/>
      <c r="U7" s="2404"/>
      <c r="V7" s="2404"/>
      <c r="W7" s="3063"/>
      <c r="X7" s="2419">
        <f>ROUND(IF(项目基本情况!B6="出让",SUMPRODUCT(PRODUCT(1+N7:N$37)),SUMPRODUCT(PRODUCT(1+N7:N$36))),4)</f>
        <v>1.6415999999999999</v>
      </c>
      <c r="Y7" s="2419">
        <f>ROUND(IF(项目基本情况!B6="出让",SUMPRODUCT(PRODUCT(1+O7:O$37)),SUMPRODUCT(PRODUCT(1+O7:O$36))),4)</f>
        <v>1.3644000000000001</v>
      </c>
      <c r="Z7" s="2419">
        <f t="shared" ref="Z6:Z9" si="12">Y7</f>
        <v>1.3644000000000001</v>
      </c>
      <c r="AA7" s="2419">
        <f>ROUND(IF(项目基本情况!B6="出让",SUMPRODUCT(PRODUCT(1+P7:P$37)),SUMPRODUCT(PRODUCT(1+P7:P$36))),4)</f>
        <v>1.7232000000000001</v>
      </c>
      <c r="AB7" s="2419">
        <f>ROUND(IF(项目基本情况!B6="出让",SUMPRODUCT(PRODUCT(1+Q7:Q$37)),SUMPRODUCT(PRODUCT(1+Q7:Q$36))),4)</f>
        <v>1.4529000000000001</v>
      </c>
      <c r="AC7" s="2404"/>
      <c r="AD7" s="2420">
        <f>ROUND(AVERAGE(I7:I$37)/100,4)</f>
        <v>1.72E-2</v>
      </c>
      <c r="AE7" s="2420">
        <f>ROUND(AVERAGE(J7:J$37)/100,4)</f>
        <v>1.09E-2</v>
      </c>
      <c r="AF7" s="2420">
        <f t="shared" ref="AF6:AF9" si="13">AE7</f>
        <v>1.09E-2</v>
      </c>
      <c r="AG7" s="2420">
        <f>ROUND(AVERAGE(K7:K$37)/100,4)</f>
        <v>1.89E-2</v>
      </c>
      <c r="AH7" s="2420">
        <f>ROUND(AVERAGE(L7:L$37)/100,4)</f>
        <v>1.26E-2</v>
      </c>
    </row>
    <row r="8" spans="1:34" s="2413" customFormat="1">
      <c r="A8" s="3056" t="s">
        <v>3151</v>
      </c>
      <c r="B8" s="3057">
        <f t="shared" si="8"/>
        <v>502.50893609650217</v>
      </c>
      <c r="C8" s="3057">
        <f t="shared" si="8"/>
        <v>350.27569313914915</v>
      </c>
      <c r="D8" s="3057">
        <f t="shared" si="9"/>
        <v>350.27569313914915</v>
      </c>
      <c r="E8" s="3057">
        <f t="shared" si="10"/>
        <v>725.27220201394141</v>
      </c>
      <c r="F8" s="3057">
        <f t="shared" si="10"/>
        <v>332.45017846012797</v>
      </c>
      <c r="G8" s="3055">
        <v>2021</v>
      </c>
      <c r="H8" s="3060">
        <v>2</v>
      </c>
      <c r="I8" s="2387">
        <v>0.92</v>
      </c>
      <c r="J8" s="2387">
        <v>0.72</v>
      </c>
      <c r="K8" s="2387">
        <v>0.95</v>
      </c>
      <c r="L8" s="3059">
        <v>1.01</v>
      </c>
      <c r="M8" s="2404"/>
      <c r="N8" s="3061">
        <f t="shared" si="11"/>
        <v>9.1999999999999998E-3</v>
      </c>
      <c r="O8" s="3062">
        <f t="shared" si="11"/>
        <v>7.1999999999999998E-3</v>
      </c>
      <c r="P8" s="3062">
        <f t="shared" si="11"/>
        <v>9.4999999999999998E-3</v>
      </c>
      <c r="Q8" s="3062">
        <f t="shared" si="11"/>
        <v>1.01E-2</v>
      </c>
      <c r="R8" s="2404"/>
      <c r="S8" s="2407"/>
      <c r="T8" s="2404"/>
      <c r="U8" s="2404"/>
      <c r="V8" s="2404"/>
      <c r="W8" s="3063"/>
      <c r="X8" s="2419">
        <f>ROUND(IF(项目基本情况!B7="出让",SUMPRODUCT(PRODUCT(1+N8:N$37)),SUMPRODUCT(PRODUCT(1+N8:N$36))),4)</f>
        <v>1.6338999999999999</v>
      </c>
      <c r="Y8" s="2419">
        <f>ROUND(IF(项目基本情况!B7="出让",SUMPRODUCT(PRODUCT(1+O8:O$37)),SUMPRODUCT(PRODUCT(1+O8:O$36))),4)</f>
        <v>1.3588</v>
      </c>
      <c r="Z8" s="2419">
        <f t="shared" si="12"/>
        <v>1.3588</v>
      </c>
      <c r="AA8" s="2419">
        <f>ROUND(IF(项目基本情况!B7="出让",SUMPRODUCT(PRODUCT(1+P8:P$37)),SUMPRODUCT(PRODUCT(1+P8:P$36))),4)</f>
        <v>1.7150000000000001</v>
      </c>
      <c r="AB8" s="2419">
        <f>ROUND(IF(项目基本情况!B7="出让",SUMPRODUCT(PRODUCT(1+Q8:Q$37)),SUMPRODUCT(PRODUCT(1+Q8:Q$36))),4)</f>
        <v>1.446</v>
      </c>
      <c r="AC8" s="2404"/>
      <c r="AD8" s="2420">
        <f>ROUND(AVERAGE(I8:I$37)/100,4)</f>
        <v>1.7600000000000001E-2</v>
      </c>
      <c r="AE8" s="2420">
        <f>ROUND(AVERAGE(J8:J$37)/100,4)</f>
        <v>1.11E-2</v>
      </c>
      <c r="AF8" s="2420">
        <f t="shared" si="13"/>
        <v>1.11E-2</v>
      </c>
      <c r="AG8" s="2420">
        <f>ROUND(AVERAGE(K8:K$37)/100,4)</f>
        <v>1.9400000000000001E-2</v>
      </c>
      <c r="AH8" s="2420">
        <f>ROUND(AVERAGE(L8:L$37)/100,4)</f>
        <v>1.2800000000000001E-2</v>
      </c>
    </row>
    <row r="9" spans="1:34" s="2413" customFormat="1">
      <c r="A9" s="3056" t="s">
        <v>3152</v>
      </c>
      <c r="B9" s="3057">
        <f t="shared" si="8"/>
        <v>497.92799851020823</v>
      </c>
      <c r="C9" s="3057">
        <f t="shared" si="8"/>
        <v>347.77173663537445</v>
      </c>
      <c r="D9" s="3057">
        <f t="shared" si="9"/>
        <v>347.77173663537445</v>
      </c>
      <c r="E9" s="3057">
        <f t="shared" si="10"/>
        <v>718.44695593258189</v>
      </c>
      <c r="F9" s="3057">
        <f t="shared" si="10"/>
        <v>329.12600580153247</v>
      </c>
      <c r="G9" s="3055">
        <v>2021</v>
      </c>
      <c r="H9" s="3060">
        <v>1</v>
      </c>
      <c r="I9" s="2387">
        <v>0.97</v>
      </c>
      <c r="J9" s="2387">
        <v>0.16</v>
      </c>
      <c r="K9" s="2387">
        <v>1.1100000000000001</v>
      </c>
      <c r="L9" s="3059">
        <v>0.36</v>
      </c>
      <c r="M9" s="2404"/>
      <c r="N9" s="3061">
        <f t="shared" si="11"/>
        <v>9.7000000000000003E-3</v>
      </c>
      <c r="O9" s="3062">
        <f t="shared" si="11"/>
        <v>1.6000000000000001E-3</v>
      </c>
      <c r="P9" s="3062">
        <f t="shared" si="11"/>
        <v>1.11E-2</v>
      </c>
      <c r="Q9" s="3062">
        <f t="shared" si="11"/>
        <v>3.5999999999999999E-3</v>
      </c>
      <c r="R9" s="2404"/>
      <c r="S9" s="3061">
        <f>B9/B10-1</f>
        <v>9.7000000000000419E-3</v>
      </c>
      <c r="T9" s="3062">
        <f t="shared" ref="T9:V9" si="14">C9/C10-1</f>
        <v>1.6000000000000458E-3</v>
      </c>
      <c r="U9" s="3062">
        <f t="shared" si="14"/>
        <v>1.6000000000000458E-3</v>
      </c>
      <c r="V9" s="3062">
        <f t="shared" si="14"/>
        <v>1.110000000000011E-2</v>
      </c>
      <c r="W9" s="3063"/>
      <c r="X9" s="2419">
        <f>ROUND(IF(项目基本情况!B8="出让",SUMPRODUCT(PRODUCT(1+N9:N$37)),SUMPRODUCT(PRODUCT(1+N9:N$36))),4)</f>
        <v>1.619</v>
      </c>
      <c r="Y9" s="2419">
        <f>ROUND(IF(项目基本情况!B8="出让",SUMPRODUCT(PRODUCT(1+O9:O$37)),SUMPRODUCT(PRODUCT(1+O9:O$36))),4)</f>
        <v>1.3491</v>
      </c>
      <c r="Z9" s="2419">
        <f t="shared" si="12"/>
        <v>1.3491</v>
      </c>
      <c r="AA9" s="2419">
        <f>ROUND(IF(项目基本情况!B8="出让",SUMPRODUCT(PRODUCT(1+P9:P$37)),SUMPRODUCT(PRODUCT(1+P9:P$36))),4)</f>
        <v>1.6988000000000001</v>
      </c>
      <c r="AB9" s="2419">
        <f>ROUND(IF(项目基本情况!B8="出让",SUMPRODUCT(PRODUCT(1+Q9:Q$37)),SUMPRODUCT(PRODUCT(1+Q9:Q$36))),4)</f>
        <v>1.4315</v>
      </c>
      <c r="AC9" s="2404"/>
      <c r="AD9" s="2420">
        <f>ROUND(AVERAGE(I9:I$37)/100,4)</f>
        <v>1.7899999999999999E-2</v>
      </c>
      <c r="AE9" s="2420">
        <f>ROUND(AVERAGE(J9:J$37)/100,4)</f>
        <v>1.12E-2</v>
      </c>
      <c r="AF9" s="2420">
        <f t="shared" si="13"/>
        <v>1.12E-2</v>
      </c>
      <c r="AG9" s="2420">
        <f>ROUND(AVERAGE(K9:K$37)/100,4)</f>
        <v>1.9699999999999999E-2</v>
      </c>
      <c r="AH9" s="2420">
        <f>ROUND(AVERAGE(L9:L$37)/100,4)</f>
        <v>1.29E-2</v>
      </c>
    </row>
    <row r="10" spans="1:34" s="2421" customFormat="1">
      <c r="A10" s="2414" t="s">
        <v>3058</v>
      </c>
      <c r="B10" s="2415">
        <f t="shared" ref="B10" si="15">B11*(1+N10)</f>
        <v>493.14449689037161</v>
      </c>
      <c r="C10" s="2415">
        <f t="shared" ref="C10" si="16">C11*(1+O10)</f>
        <v>347.21619073020611</v>
      </c>
      <c r="D10" s="2415">
        <f t="shared" ref="D10" si="17">C10</f>
        <v>347.21619073020611</v>
      </c>
      <c r="E10" s="2415">
        <f t="shared" ref="E10" si="18">E11*(1+P10)</f>
        <v>710.55974278763904</v>
      </c>
      <c r="F10" s="2415">
        <f t="shared" ref="F10" si="19">F11*(1+Q10)</f>
        <v>327.94540235306141</v>
      </c>
      <c r="G10" s="3034">
        <v>2020</v>
      </c>
      <c r="H10" s="2416">
        <v>4</v>
      </c>
      <c r="I10" s="2387">
        <v>2.0699999999999998</v>
      </c>
      <c r="J10" s="2387">
        <v>0.37</v>
      </c>
      <c r="K10" s="2387">
        <v>2.35</v>
      </c>
      <c r="L10" s="2388">
        <v>2.69</v>
      </c>
      <c r="M10" s="2410"/>
      <c r="N10" s="2417">
        <f t="shared" ref="N10" si="20">I10/100</f>
        <v>2.07E-2</v>
      </c>
      <c r="O10" s="2411">
        <f t="shared" ref="O10" si="21">J10/100</f>
        <v>3.7000000000000002E-3</v>
      </c>
      <c r="P10" s="2411">
        <f t="shared" ref="P10" si="22">K10/100</f>
        <v>2.35E-2</v>
      </c>
      <c r="Q10" s="2411">
        <f t="shared" ref="Q10" si="23">L10/100</f>
        <v>2.69E-2</v>
      </c>
      <c r="R10" s="2418"/>
      <c r="S10" s="2417"/>
      <c r="T10" s="2411"/>
      <c r="U10" s="2411"/>
      <c r="V10" s="2411"/>
      <c r="W10" s="2419"/>
      <c r="X10" s="2419">
        <f>ROUND(IF(项目基本情况!B6="出让",SUMPRODUCT(PRODUCT(1+N10:N$37)),SUMPRODUCT(PRODUCT(1+N10:N$36))),4)</f>
        <v>1.6034999999999999</v>
      </c>
      <c r="Y10" s="2419">
        <f>ROUND(IF(项目基本情况!B6="出让",SUMPRODUCT(PRODUCT(1+O10:O$37)),SUMPRODUCT(PRODUCT(1+O10:O$36))),4)</f>
        <v>1.3469</v>
      </c>
      <c r="Z10" s="2419">
        <f t="shared" ref="Z10" si="24">Y10</f>
        <v>1.3469</v>
      </c>
      <c r="AA10" s="2419">
        <f>ROUND(IF(项目基本情况!B6="出让",SUMPRODUCT(PRODUCT(1+P10:P$37)),SUMPRODUCT(PRODUCT(1+P10:P$36))),4)</f>
        <v>1.6801999999999999</v>
      </c>
      <c r="AB10" s="2419">
        <f>ROUND(IF(项目基本情况!B6="出让",SUMPRODUCT(PRODUCT(1+Q10:Q$37)),SUMPRODUCT(PRODUCT(1+Q10:Q$36))),4)</f>
        <v>1.4263999999999999</v>
      </c>
      <c r="AC10" s="2419"/>
      <c r="AD10" s="2420">
        <f>ROUND(AVERAGE(I10:I$37)/100,4)</f>
        <v>1.8200000000000001E-2</v>
      </c>
      <c r="AE10" s="2420">
        <f>ROUND(AVERAGE(J10:J$37)/100,4)</f>
        <v>1.1599999999999999E-2</v>
      </c>
      <c r="AF10" s="2420">
        <f t="shared" ref="AF10" si="25">AE10</f>
        <v>1.1599999999999999E-2</v>
      </c>
      <c r="AG10" s="2420">
        <f>ROUND(AVERAGE(K10:K$37)/100,4)</f>
        <v>0.02</v>
      </c>
      <c r="AH10" s="2420">
        <f>ROUND(AVERAGE(L10:L$37)/100,4)</f>
        <v>1.3299999999999999E-2</v>
      </c>
    </row>
    <row r="11" spans="1:34" s="2421" customFormat="1">
      <c r="A11" s="2414" t="s">
        <v>3057</v>
      </c>
      <c r="B11" s="2415">
        <f t="shared" ref="B11" si="26">B12*(1+N11)</f>
        <v>483.1434279321756</v>
      </c>
      <c r="C11" s="2415">
        <f t="shared" ref="C11" si="27">C12*(1+O11)</f>
        <v>345.93622669144776</v>
      </c>
      <c r="D11" s="2415">
        <f t="shared" ref="D11" si="28">C11</f>
        <v>345.93622669144776</v>
      </c>
      <c r="E11" s="2415">
        <f t="shared" ref="E11" si="29">E12*(1+P11)</f>
        <v>694.24498562544113</v>
      </c>
      <c r="F11" s="2415">
        <f t="shared" ref="F11" si="30">F12*(1+Q11)</f>
        <v>319.35475932716082</v>
      </c>
      <c r="G11" s="3031">
        <v>2020</v>
      </c>
      <c r="H11" s="2416">
        <v>3</v>
      </c>
      <c r="I11" s="2387">
        <v>0.36</v>
      </c>
      <c r="J11" s="2387">
        <v>-0.39</v>
      </c>
      <c r="K11" s="2387">
        <v>0.49</v>
      </c>
      <c r="L11" s="2388">
        <v>7.0000000000000007E-2</v>
      </c>
      <c r="M11" s="2410"/>
      <c r="N11" s="2417">
        <f t="shared" ref="N11" si="31">I11/100</f>
        <v>3.5999999999999999E-3</v>
      </c>
      <c r="O11" s="2411">
        <f t="shared" ref="O11" si="32">J11/100</f>
        <v>-3.9000000000000003E-3</v>
      </c>
      <c r="P11" s="2411">
        <f t="shared" ref="P11" si="33">K11/100</f>
        <v>4.8999999999999998E-3</v>
      </c>
      <c r="Q11" s="2411">
        <f t="shared" ref="Q11" si="34">L11/100</f>
        <v>7.000000000000001E-4</v>
      </c>
      <c r="R11" s="2418"/>
      <c r="S11" s="2417"/>
      <c r="T11" s="2411"/>
      <c r="U11" s="2411"/>
      <c r="V11" s="2411"/>
      <c r="W11" s="2419"/>
      <c r="X11" s="2419">
        <f>ROUND(IF(项目基本情况!B7="出让",SUMPRODUCT(PRODUCT(1+N11:N$37)),SUMPRODUCT(PRODUCT(1+N11:N$36))),4)</f>
        <v>1.571</v>
      </c>
      <c r="Y11" s="2419">
        <f>ROUND(IF(项目基本情况!B7="出让",SUMPRODUCT(PRODUCT(1+O11:O$37)),SUMPRODUCT(PRODUCT(1+O11:O$36))),4)</f>
        <v>1.3420000000000001</v>
      </c>
      <c r="Z11" s="2419">
        <f t="shared" ref="Z11" si="35">Y11</f>
        <v>1.3420000000000001</v>
      </c>
      <c r="AA11" s="2419">
        <f>ROUND(IF(项目基本情况!B7="出让",SUMPRODUCT(PRODUCT(1+P11:P$37)),SUMPRODUCT(PRODUCT(1+P11:P$36))),4)</f>
        <v>1.6415999999999999</v>
      </c>
      <c r="AB11" s="2419">
        <f>ROUND(IF(项目基本情况!B7="出让",SUMPRODUCT(PRODUCT(1+Q11:Q$37)),SUMPRODUCT(PRODUCT(1+Q11:Q$36))),4)</f>
        <v>1.389</v>
      </c>
      <c r="AC11" s="2419"/>
      <c r="AD11" s="2420">
        <f>ROUND(AVERAGE(I11:I$37)/100,4)</f>
        <v>1.8100000000000002E-2</v>
      </c>
      <c r="AE11" s="2420">
        <f>ROUND(AVERAGE(J11:J$37)/100,4)</f>
        <v>1.1900000000000001E-2</v>
      </c>
      <c r="AF11" s="2420">
        <f t="shared" ref="AF11" si="36">AE11</f>
        <v>1.1900000000000001E-2</v>
      </c>
      <c r="AG11" s="2420">
        <f>ROUND(AVERAGE(K11:K$37)/100,4)</f>
        <v>1.9900000000000001E-2</v>
      </c>
      <c r="AH11" s="2420">
        <f>ROUND(AVERAGE(L11:L$37)/100,4)</f>
        <v>1.2800000000000001E-2</v>
      </c>
    </row>
    <row r="12" spans="1:34" s="2421" customFormat="1">
      <c r="A12" s="2414" t="s">
        <v>2871</v>
      </c>
      <c r="B12" s="2415">
        <f t="shared" ref="B12" si="37">B13*(1+N12)</f>
        <v>481.4103506697644</v>
      </c>
      <c r="C12" s="2415">
        <f t="shared" ref="C12" si="38">C13*(1+O12)</f>
        <v>347.29066026648707</v>
      </c>
      <c r="D12" s="2415">
        <f t="shared" ref="D12" si="39">C12</f>
        <v>347.29066026648707</v>
      </c>
      <c r="E12" s="2415">
        <f t="shared" ref="E12" si="40">E13*(1+P12)</f>
        <v>690.85977273901995</v>
      </c>
      <c r="F12" s="2415">
        <f t="shared" ref="F12" si="41">F13*(1+Q12)</f>
        <v>319.13136737000184</v>
      </c>
      <c r="G12" s="2412">
        <v>2020</v>
      </c>
      <c r="H12" s="2416">
        <v>2</v>
      </c>
      <c r="I12" s="2387">
        <v>0.31</v>
      </c>
      <c r="J12" s="2387">
        <v>-0.78</v>
      </c>
      <c r="K12" s="2387">
        <v>0.5</v>
      </c>
      <c r="L12" s="2388">
        <v>0.47</v>
      </c>
      <c r="M12" s="2410"/>
      <c r="N12" s="2417">
        <f t="shared" ref="N12" si="42">I12/100</f>
        <v>3.0999999999999999E-3</v>
      </c>
      <c r="O12" s="2411">
        <f t="shared" ref="O12" si="43">J12/100</f>
        <v>-7.8000000000000005E-3</v>
      </c>
      <c r="P12" s="2411">
        <f t="shared" ref="P12" si="44">K12/100</f>
        <v>5.0000000000000001E-3</v>
      </c>
      <c r="Q12" s="2411">
        <f t="shared" ref="Q12" si="45">L12/100</f>
        <v>4.6999999999999993E-3</v>
      </c>
      <c r="R12" s="2418"/>
      <c r="S12" s="2417"/>
      <c r="T12" s="2411"/>
      <c r="U12" s="2411"/>
      <c r="V12" s="2411"/>
      <c r="W12" s="2419"/>
      <c r="X12" s="2419">
        <f>ROUND(IF(项目基本情况!B8="出让",SUMPRODUCT(PRODUCT(1+N12:N$37)),SUMPRODUCT(PRODUCT(1+N12:N$36))),4)</f>
        <v>1.5652999999999999</v>
      </c>
      <c r="Y12" s="2419">
        <f>ROUND(IF(项目基本情况!B8="出让",SUMPRODUCT(PRODUCT(1+O12:O$37)),SUMPRODUCT(PRODUCT(1+O12:O$36))),4)</f>
        <v>1.3472</v>
      </c>
      <c r="Z12" s="2419">
        <f t="shared" ref="Z12" si="46">Y12</f>
        <v>1.3472</v>
      </c>
      <c r="AA12" s="2419">
        <f>ROUND(IF(项目基本情况!B8="出让",SUMPRODUCT(PRODUCT(1+P12:P$37)),SUMPRODUCT(PRODUCT(1+P12:P$36))),4)</f>
        <v>1.6335999999999999</v>
      </c>
      <c r="AB12" s="2419">
        <f>ROUND(IF(项目基本情况!B8="出让",SUMPRODUCT(PRODUCT(1+Q12:Q$37)),SUMPRODUCT(PRODUCT(1+Q12:Q$36))),4)</f>
        <v>1.3880999999999999</v>
      </c>
      <c r="AC12" s="2419"/>
      <c r="AD12" s="2420">
        <f>ROUND(AVERAGE(I12:I$37)/100,4)</f>
        <v>1.8599999999999998E-2</v>
      </c>
      <c r="AE12" s="2420">
        <f>ROUND(AVERAGE(J12:J$37)/100,4)</f>
        <v>1.2500000000000001E-2</v>
      </c>
      <c r="AF12" s="2420">
        <f t="shared" ref="AF12" si="47">AE12</f>
        <v>1.2500000000000001E-2</v>
      </c>
      <c r="AG12" s="2420">
        <f>ROUND(AVERAGE(K12:K$37)/100,4)</f>
        <v>2.0400000000000001E-2</v>
      </c>
      <c r="AH12" s="2420">
        <f>ROUND(AVERAGE(L12:L$37)/100,4)</f>
        <v>1.32E-2</v>
      </c>
    </row>
    <row r="13" spans="1:34" s="2421" customFormat="1">
      <c r="A13" s="2414" t="s">
        <v>2869</v>
      </c>
      <c r="B13" s="2415">
        <f t="shared" ref="B13" si="48">B14*(1+N13)</f>
        <v>479.92259063878413</v>
      </c>
      <c r="C13" s="2415">
        <f t="shared" ref="C13" si="49">C14*(1+O13)</f>
        <v>350.02082268341775</v>
      </c>
      <c r="D13" s="2415">
        <f t="shared" ref="D13" si="50">C13</f>
        <v>350.02082268341775</v>
      </c>
      <c r="E13" s="2415">
        <f t="shared" ref="E13" si="51">E14*(1+P13)</f>
        <v>687.42265944181099</v>
      </c>
      <c r="F13" s="2415">
        <f t="shared" ref="F13" si="52">F14*(1+Q13)</f>
        <v>317.63846657708956</v>
      </c>
      <c r="G13" s="2412">
        <v>2020</v>
      </c>
      <c r="H13" s="2416">
        <v>1</v>
      </c>
      <c r="I13" s="2387">
        <v>0.12</v>
      </c>
      <c r="J13" s="2387">
        <v>-0.4</v>
      </c>
      <c r="K13" s="2387">
        <v>0.21</v>
      </c>
      <c r="L13" s="2388">
        <v>0.27</v>
      </c>
      <c r="M13" s="2410"/>
      <c r="N13" s="2417">
        <f t="shared" ref="N13" si="53">I13/100</f>
        <v>1.1999999999999999E-3</v>
      </c>
      <c r="O13" s="2411">
        <f t="shared" ref="O13" si="54">J13/100</f>
        <v>-4.0000000000000001E-3</v>
      </c>
      <c r="P13" s="2411">
        <f t="shared" ref="P13" si="55">K13/100</f>
        <v>2.0999999999999999E-3</v>
      </c>
      <c r="Q13" s="2411">
        <f t="shared" ref="Q13" si="56">L13/100</f>
        <v>2.7000000000000001E-3</v>
      </c>
      <c r="R13" s="2418"/>
      <c r="S13" s="2417">
        <f>B13/B14-1</f>
        <v>1.2000000000000899E-3</v>
      </c>
      <c r="T13" s="2411">
        <f t="shared" ref="T13" si="57">C13/C14-1</f>
        <v>-4.0000000000000036E-3</v>
      </c>
      <c r="U13" s="2411">
        <f t="shared" ref="U13" si="58">D13/D14-1</f>
        <v>-4.0000000000000036E-3</v>
      </c>
      <c r="V13" s="2411">
        <f t="shared" ref="V13" si="59">E13/E14-1</f>
        <v>2.0999999999999908E-3</v>
      </c>
      <c r="W13" s="2419"/>
      <c r="X13" s="2419">
        <f>ROUND(IF(项目基本情况!B8="出让",SUMPRODUCT(PRODUCT(1+N13:N$37)),SUMPRODUCT(PRODUCT(1+N13:N$36))),4)</f>
        <v>1.5605</v>
      </c>
      <c r="Y13" s="2419">
        <f>ROUND(IF(项目基本情况!B8="出让",SUMPRODUCT(PRODUCT(1+O13:O$37)),SUMPRODUCT(PRODUCT(1+O13:O$36))),4)</f>
        <v>1.3577999999999999</v>
      </c>
      <c r="Z13" s="2419">
        <f t="shared" ref="Z13" si="60">Y13</f>
        <v>1.3577999999999999</v>
      </c>
      <c r="AA13" s="2419">
        <f>ROUND(IF(项目基本情况!B8="出让",SUMPRODUCT(PRODUCT(1+P13:P$37)),SUMPRODUCT(PRODUCT(1+P13:P$36))),4)</f>
        <v>1.6254999999999999</v>
      </c>
      <c r="AB13" s="2419">
        <f>ROUND(IF(项目基本情况!B8="出让",SUMPRODUCT(PRODUCT(1+Q13:Q$37)),SUMPRODUCT(PRODUCT(1+Q13:Q$36))),4)</f>
        <v>1.3815999999999999</v>
      </c>
      <c r="AC13" s="2419"/>
      <c r="AD13" s="2420">
        <f>ROUND(AVERAGE(I13:I$37)/100,4)</f>
        <v>1.9199999999999998E-2</v>
      </c>
      <c r="AE13" s="2420">
        <f>ROUND(AVERAGE(J13:J$37)/100,4)</f>
        <v>1.3299999999999999E-2</v>
      </c>
      <c r="AF13" s="2420">
        <f t="shared" ref="AF13" si="61">AE13</f>
        <v>1.3299999999999999E-2</v>
      </c>
      <c r="AG13" s="2420">
        <f>ROUND(AVERAGE(K13:K$37)/100,4)</f>
        <v>2.1100000000000001E-2</v>
      </c>
      <c r="AH13" s="2420">
        <f>ROUND(AVERAGE(L13:L$37)/100,4)</f>
        <v>1.3599999999999999E-2</v>
      </c>
    </row>
    <row r="14" spans="1:34" s="2421" customFormat="1">
      <c r="A14" s="2414" t="s">
        <v>2868</v>
      </c>
      <c r="B14" s="2415">
        <f t="shared" ref="B14" si="62">B15*(1+N14)</f>
        <v>479.34737379023579</v>
      </c>
      <c r="C14" s="2415">
        <f t="shared" ref="C14" si="63">C15*(1+O14)</f>
        <v>351.4265287986122</v>
      </c>
      <c r="D14" s="2415">
        <f t="shared" ref="D14" si="64">C14</f>
        <v>351.4265287986122</v>
      </c>
      <c r="E14" s="2415">
        <f t="shared" ref="E14" si="65">E15*(1+P14)</f>
        <v>685.98209703803116</v>
      </c>
      <c r="F14" s="2415">
        <f t="shared" ref="F14" si="66">F15*(1+Q14)</f>
        <v>316.78315206651001</v>
      </c>
      <c r="G14" s="2412">
        <v>2019</v>
      </c>
      <c r="H14" s="2416">
        <v>4</v>
      </c>
      <c r="I14" s="2416">
        <v>0.45</v>
      </c>
      <c r="J14" s="2416">
        <v>-0.12</v>
      </c>
      <c r="K14" s="2416">
        <v>0.54</v>
      </c>
      <c r="L14" s="2422">
        <v>0.48</v>
      </c>
      <c r="M14" s="2410"/>
      <c r="N14" s="2417">
        <f t="shared" ref="N14:N19" si="67">I14/100</f>
        <v>4.5000000000000005E-3</v>
      </c>
      <c r="O14" s="2411">
        <f t="shared" ref="O14" si="68">J14/100</f>
        <v>-1.1999999999999999E-3</v>
      </c>
      <c r="P14" s="2411">
        <f t="shared" ref="P14" si="69">K14/100</f>
        <v>5.4000000000000003E-3</v>
      </c>
      <c r="Q14" s="2411">
        <f t="shared" ref="Q14" si="70">L14/100</f>
        <v>4.7999999999999996E-3</v>
      </c>
      <c r="R14" s="2418"/>
      <c r="S14" s="2417"/>
      <c r="T14" s="2411"/>
      <c r="U14" s="2411"/>
      <c r="V14" s="2411"/>
      <c r="W14" s="2419"/>
      <c r="X14" s="2419">
        <f>ROUND(IF(项目基本情况!B8="出让",SUMPRODUCT(PRODUCT(1+N14:N$37)),SUMPRODUCT(PRODUCT(1+N14:N$36))),4)</f>
        <v>1.5586</v>
      </c>
      <c r="Y14" s="2419">
        <f>ROUND(IF(项目基本情况!B8="出让",SUMPRODUCT(PRODUCT(1+O14:O$37)),SUMPRODUCT(PRODUCT(1+O14:O$36))),4)</f>
        <v>1.3633</v>
      </c>
      <c r="Z14" s="2419">
        <f t="shared" ref="Z14" si="71">Y14</f>
        <v>1.3633</v>
      </c>
      <c r="AA14" s="2419">
        <f>ROUND(IF(项目基本情况!B8="出让",SUMPRODUCT(PRODUCT(1+P14:P$37)),SUMPRODUCT(PRODUCT(1+P14:P$36))),4)</f>
        <v>1.6221000000000001</v>
      </c>
      <c r="AB14" s="2419">
        <f>ROUND(IF(项目基本情况!B8="出让",SUMPRODUCT(PRODUCT(1+Q14:Q$37)),SUMPRODUCT(PRODUCT(1+Q14:Q$36))),4)</f>
        <v>1.3777999999999999</v>
      </c>
      <c r="AC14" s="2419"/>
      <c r="AD14" s="2420">
        <f>ROUND(AVERAGE(I14:I$37)/100,4)</f>
        <v>0.02</v>
      </c>
      <c r="AE14" s="2420">
        <f>ROUND(AVERAGE(J14:J$37)/100,4)</f>
        <v>1.4E-2</v>
      </c>
      <c r="AF14" s="2420">
        <f t="shared" ref="AF14" si="72">AE14</f>
        <v>1.4E-2</v>
      </c>
      <c r="AG14" s="2420">
        <f>ROUND(AVERAGE(K14:K$37)/100,4)</f>
        <v>2.1899999999999999E-2</v>
      </c>
      <c r="AH14" s="2420">
        <f>ROUND(AVERAGE(L14:L$37)/100,4)</f>
        <v>1.4E-2</v>
      </c>
    </row>
    <row r="15" spans="1:34" s="2421" customFormat="1" ht="13.5" thickBot="1">
      <c r="A15" s="2414" t="s">
        <v>2867</v>
      </c>
      <c r="B15" s="2415">
        <f t="shared" ref="B15" si="73">B16*(1+N15)</f>
        <v>477.19997390765138</v>
      </c>
      <c r="C15" s="2415">
        <f t="shared" ref="C15" si="74">C16*(1+O15)</f>
        <v>351.84874729536665</v>
      </c>
      <c r="D15" s="2415">
        <f t="shared" ref="D15" si="75">C15</f>
        <v>351.84874729536665</v>
      </c>
      <c r="E15" s="2415">
        <f t="shared" ref="E15" si="76">E16*(1+P15)</f>
        <v>682.29768951465201</v>
      </c>
      <c r="F15" s="2415">
        <f t="shared" ref="F15" si="77">F16*(1+Q15)</f>
        <v>315.26985675409043</v>
      </c>
      <c r="G15" s="2412">
        <v>2019</v>
      </c>
      <c r="H15" s="2416">
        <v>3</v>
      </c>
      <c r="I15" s="2416">
        <v>0.61</v>
      </c>
      <c r="J15" s="2416">
        <v>0.67</v>
      </c>
      <c r="K15" s="2416">
        <v>0.6</v>
      </c>
      <c r="L15" s="2422">
        <v>1.03</v>
      </c>
      <c r="M15" s="2410"/>
      <c r="N15" s="2417">
        <f t="shared" si="67"/>
        <v>6.0999999999999995E-3</v>
      </c>
      <c r="O15" s="2411">
        <f t="shared" ref="O15" si="78">J15/100</f>
        <v>6.7000000000000002E-3</v>
      </c>
      <c r="P15" s="2411">
        <f t="shared" ref="P15" si="79">K15/100</f>
        <v>6.0000000000000001E-3</v>
      </c>
      <c r="Q15" s="2411">
        <f t="shared" ref="Q15" si="80">L15/100</f>
        <v>1.03E-2</v>
      </c>
      <c r="R15" s="2418"/>
      <c r="S15" s="2417"/>
      <c r="T15" s="2411"/>
      <c r="U15" s="2411"/>
      <c r="V15" s="2411"/>
      <c r="W15" s="2419"/>
      <c r="X15" s="2419">
        <f>ROUND(IF(项目基本情况!B8="出让",SUMPRODUCT(PRODUCT(1+N15:N$37)),SUMPRODUCT(PRODUCT(1+N15:N$36))),4)</f>
        <v>1.5516000000000001</v>
      </c>
      <c r="Y15" s="2419">
        <f>ROUND(IF(项目基本情况!B8="出让",SUMPRODUCT(PRODUCT(1+O15:O$37)),SUMPRODUCT(PRODUCT(1+O15:O$36))),4)</f>
        <v>1.3649</v>
      </c>
      <c r="Z15" s="2419">
        <f t="shared" ref="Z15" si="81">Y15</f>
        <v>1.3649</v>
      </c>
      <c r="AA15" s="2419">
        <f>ROUND(IF(项目基本情况!B8="出让",SUMPRODUCT(PRODUCT(1+P15:P$37)),SUMPRODUCT(PRODUCT(1+P15:P$36))),4)</f>
        <v>1.6133999999999999</v>
      </c>
      <c r="AB15" s="2419">
        <f>ROUND(IF(项目基本情况!B8="出让",SUMPRODUCT(PRODUCT(1+Q15:Q$37)),SUMPRODUCT(PRODUCT(1+Q15:Q$36))),4)</f>
        <v>1.3713</v>
      </c>
      <c r="AC15" s="2419"/>
      <c r="AD15" s="2420">
        <f>ROUND(AVERAGE(I15:I$37)/100,4)</f>
        <v>2.07E-2</v>
      </c>
      <c r="AE15" s="2420">
        <f>ROUND(AVERAGE(J15:J$37)/100,4)</f>
        <v>1.47E-2</v>
      </c>
      <c r="AF15" s="2420">
        <f t="shared" ref="AF15" si="82">AE15</f>
        <v>1.47E-2</v>
      </c>
      <c r="AG15" s="2420">
        <f>ROUND(AVERAGE(K15:K$37)/100,4)</f>
        <v>2.2599999999999999E-2</v>
      </c>
      <c r="AH15" s="2420">
        <f>ROUND(AVERAGE(L15:L$37)/100,4)</f>
        <v>1.44E-2</v>
      </c>
    </row>
    <row r="16" spans="1:34" s="2421" customFormat="1">
      <c r="A16" s="2414" t="s">
        <v>2865</v>
      </c>
      <c r="B16" s="2415">
        <f t="shared" ref="B16" si="83">B17*(1+N16)</f>
        <v>474.30670301923408</v>
      </c>
      <c r="C16" s="2415">
        <f t="shared" ref="C16" si="84">C17*(1+O16)</f>
        <v>349.50705005996491</v>
      </c>
      <c r="D16" s="2415">
        <f t="shared" ref="D16" si="85">C16</f>
        <v>349.50705005996491</v>
      </c>
      <c r="E16" s="2415">
        <f t="shared" ref="E16" si="86">E17*(1+P16)</f>
        <v>678.22831959706957</v>
      </c>
      <c r="F16" s="2415">
        <f t="shared" ref="F16" si="87">F17*(1+Q16)</f>
        <v>312.0556832169558</v>
      </c>
      <c r="G16" s="2412">
        <v>2019</v>
      </c>
      <c r="H16" s="2423">
        <v>2</v>
      </c>
      <c r="I16" s="2423">
        <v>1.53</v>
      </c>
      <c r="J16" s="2423">
        <v>1.01</v>
      </c>
      <c r="K16" s="2423">
        <v>1.62</v>
      </c>
      <c r="L16" s="2424">
        <v>1.25</v>
      </c>
      <c r="M16" s="2410"/>
      <c r="N16" s="2417">
        <f t="shared" si="67"/>
        <v>1.5300000000000001E-2</v>
      </c>
      <c r="O16" s="2411">
        <f t="shared" ref="O16" si="88">J16/100</f>
        <v>1.01E-2</v>
      </c>
      <c r="P16" s="2411">
        <f t="shared" ref="P16" si="89">K16/100</f>
        <v>1.6200000000000003E-2</v>
      </c>
      <c r="Q16" s="2411">
        <f t="shared" ref="Q16" si="90">L16/100</f>
        <v>1.2500000000000001E-2</v>
      </c>
      <c r="R16" s="2418"/>
      <c r="S16" s="2417"/>
      <c r="T16" s="2411"/>
      <c r="U16" s="2411"/>
      <c r="V16" s="2411"/>
      <c r="W16" s="2419"/>
      <c r="X16" s="2419">
        <f>ROUND(IF(项目基本情况!B8="出让",SUMPRODUCT(PRODUCT(1+N16:N$37)),SUMPRODUCT(PRODUCT(1+N16:N$36))),4)</f>
        <v>1.5422</v>
      </c>
      <c r="Y16" s="2419">
        <f>ROUND(IF(项目基本情况!B8="出让",SUMPRODUCT(PRODUCT(1+O16:O$37)),SUMPRODUCT(PRODUCT(1+O16:O$36))),4)</f>
        <v>1.3557999999999999</v>
      </c>
      <c r="Z16" s="2419">
        <f t="shared" ref="Z16" si="91">Y16</f>
        <v>1.3557999999999999</v>
      </c>
      <c r="AA16" s="2419">
        <f>ROUND(IF(项目基本情况!B8="出让",SUMPRODUCT(PRODUCT(1+P16:P$37)),SUMPRODUCT(PRODUCT(1+P16:P$36))),4)</f>
        <v>1.6036999999999999</v>
      </c>
      <c r="AB16" s="2419">
        <f>ROUND(IF(项目基本情况!B8="出让",SUMPRODUCT(PRODUCT(1+Q16:Q$37)),SUMPRODUCT(PRODUCT(1+Q16:Q$36))),4)</f>
        <v>1.3573</v>
      </c>
      <c r="AC16" s="2419"/>
      <c r="AD16" s="2420">
        <f>ROUND(AVERAGE(I16:I$37)/100,4)</f>
        <v>2.1299999999999999E-2</v>
      </c>
      <c r="AE16" s="2420">
        <f>ROUND(AVERAGE(J16:J$37)/100,4)</f>
        <v>1.4999999999999999E-2</v>
      </c>
      <c r="AF16" s="2420">
        <f t="shared" ref="AF16" si="92">AE16</f>
        <v>1.4999999999999999E-2</v>
      </c>
      <c r="AG16" s="2420">
        <f>ROUND(AVERAGE(K16:K$37)/100,4)</f>
        <v>2.3300000000000001E-2</v>
      </c>
      <c r="AH16" s="2420">
        <f>ROUND(AVERAGE(L16:L$37)/100,4)</f>
        <v>1.46E-2</v>
      </c>
    </row>
    <row r="17" spans="1:34" s="2421" customFormat="1" ht="13.5" thickBot="1">
      <c r="A17" s="2414" t="s">
        <v>2863</v>
      </c>
      <c r="B17" s="2415">
        <f t="shared" ref="B17" si="93">B18*(1+N17)</f>
        <v>467.15916775261894</v>
      </c>
      <c r="C17" s="2415">
        <f t="shared" ref="C17" si="94">C18*(1+O17)</f>
        <v>346.01232557169084</v>
      </c>
      <c r="D17" s="2415">
        <f t="shared" ref="D17" si="95">C17</f>
        <v>346.01232557169084</v>
      </c>
      <c r="E17" s="2415">
        <f t="shared" ref="E17" si="96">E18*(1+P17)</f>
        <v>667.41617752122568</v>
      </c>
      <c r="F17" s="2415">
        <f t="shared" ref="F17" si="97">F18*(1+Q17)</f>
        <v>308.20314391798104</v>
      </c>
      <c r="G17" s="2412">
        <v>2019</v>
      </c>
      <c r="H17" s="2416">
        <v>1</v>
      </c>
      <c r="I17" s="2416">
        <v>0.6</v>
      </c>
      <c r="J17" s="2416">
        <v>0.37</v>
      </c>
      <c r="K17" s="2416">
        <v>0.63</v>
      </c>
      <c r="L17" s="2422">
        <v>1.1299999999999999</v>
      </c>
      <c r="M17" s="2410"/>
      <c r="N17" s="2417">
        <f t="shared" si="67"/>
        <v>6.0000000000000001E-3</v>
      </c>
      <c r="O17" s="2411">
        <f t="shared" ref="O17" si="98">J17/100</f>
        <v>3.7000000000000002E-3</v>
      </c>
      <c r="P17" s="2411">
        <f t="shared" ref="P17" si="99">K17/100</f>
        <v>6.3E-3</v>
      </c>
      <c r="Q17" s="2411">
        <f t="shared" ref="Q17" si="100">L17/100</f>
        <v>1.1299999999999999E-2</v>
      </c>
      <c r="R17" s="2418"/>
      <c r="S17" s="2417">
        <f>B17/B18-1</f>
        <v>6.0000000000000053E-3</v>
      </c>
      <c r="T17" s="2411">
        <f t="shared" ref="T17" si="101">C17/C18-1</f>
        <v>3.7000000000000366E-3</v>
      </c>
      <c r="U17" s="2411">
        <f t="shared" ref="U17" si="102">D17/D18-1</f>
        <v>3.7000000000000366E-3</v>
      </c>
      <c r="V17" s="2411">
        <f t="shared" ref="V17" si="103">E17/E18-1</f>
        <v>6.2999999999999723E-3</v>
      </c>
      <c r="W17" s="2419"/>
      <c r="X17" s="2419">
        <f>ROUND(IF(项目基本情况!B8="出让",SUMPRODUCT(PRODUCT(1+N17:N$37)),SUMPRODUCT(PRODUCT(1+N17:N$36))),4)</f>
        <v>1.5189999999999999</v>
      </c>
      <c r="Y17" s="2419">
        <f>ROUND(IF(项目基本情况!B8="出让",SUMPRODUCT(PRODUCT(1+O17:O$37)),SUMPRODUCT(PRODUCT(1+O17:O$36))),4)</f>
        <v>1.3423</v>
      </c>
      <c r="Z17" s="2419">
        <f t="shared" ref="Z17" si="104">Y17</f>
        <v>1.3423</v>
      </c>
      <c r="AA17" s="2419">
        <f>ROUND(IF(项目基本情况!B8="出让",SUMPRODUCT(PRODUCT(1+P17:P$37)),SUMPRODUCT(PRODUCT(1+P17:P$36))),4)</f>
        <v>1.5782</v>
      </c>
      <c r="AB17" s="2419">
        <f>ROUND(IF(项目基本情况!B8="出让",SUMPRODUCT(PRODUCT(1+Q17:Q$37)),SUMPRODUCT(PRODUCT(1+Q17:Q$36))),4)</f>
        <v>1.3405</v>
      </c>
      <c r="AC17" s="2419"/>
      <c r="AD17" s="2420">
        <f>ROUND(AVERAGE(I17:I$37)/100,4)</f>
        <v>2.1600000000000001E-2</v>
      </c>
      <c r="AE17" s="2420">
        <f>ROUND(AVERAGE(J17:J$37)/100,4)</f>
        <v>1.5299999999999999E-2</v>
      </c>
      <c r="AF17" s="2420">
        <f t="shared" ref="AF17" si="105">AE17</f>
        <v>1.5299999999999999E-2</v>
      </c>
      <c r="AG17" s="2420">
        <f>ROUND(AVERAGE(K17:K$37)/100,4)</f>
        <v>2.3699999999999999E-2</v>
      </c>
      <c r="AH17" s="2420">
        <f>ROUND(AVERAGE(L17:L$37)/100,4)</f>
        <v>1.47E-2</v>
      </c>
    </row>
    <row r="18" spans="1:34" s="2421" customFormat="1">
      <c r="A18" s="2414" t="s">
        <v>2866</v>
      </c>
      <c r="B18" s="2425">
        <f t="shared" ref="B18" si="106">B19*(1+N18)</f>
        <v>464.37293017158942</v>
      </c>
      <c r="C18" s="2425">
        <f t="shared" ref="C18" si="107">C19*(1+O18)</f>
        <v>344.73679941385956</v>
      </c>
      <c r="D18" s="2425">
        <f t="shared" ref="D18" si="108">C18</f>
        <v>344.73679941385956</v>
      </c>
      <c r="E18" s="2425">
        <f t="shared" ref="E18" si="109">E19*(1+P18)</f>
        <v>663.2377795103107</v>
      </c>
      <c r="F18" s="2426">
        <f t="shared" ref="F18" si="110">F19*(1+Q18)</f>
        <v>304.75936311478398</v>
      </c>
      <c r="G18" s="3414">
        <v>2018</v>
      </c>
      <c r="H18" s="2423">
        <v>4</v>
      </c>
      <c r="I18" s="2423">
        <v>0.96</v>
      </c>
      <c r="J18" s="2423">
        <v>1.03</v>
      </c>
      <c r="K18" s="2423">
        <v>0.92</v>
      </c>
      <c r="L18" s="2424">
        <v>1.29</v>
      </c>
      <c r="M18" s="2410"/>
      <c r="N18" s="2417">
        <f t="shared" si="67"/>
        <v>9.5999999999999992E-3</v>
      </c>
      <c r="O18" s="2411">
        <f t="shared" ref="O18" si="111">J18/100</f>
        <v>1.03E-2</v>
      </c>
      <c r="P18" s="2411">
        <f t="shared" ref="P18" si="112">K18/100</f>
        <v>9.1999999999999998E-3</v>
      </c>
      <c r="Q18" s="2411">
        <f t="shared" ref="Q18" si="113">L18/100</f>
        <v>1.29E-2</v>
      </c>
      <c r="R18" s="2418"/>
      <c r="S18" s="2417"/>
      <c r="T18" s="2411"/>
      <c r="U18" s="2411"/>
      <c r="V18" s="2411"/>
      <c r="W18" s="2419"/>
      <c r="X18" s="2419">
        <f>ROUND(SUMPRODUCT(PRODUCT(1+N18:N$36)),4)</f>
        <v>1.5099</v>
      </c>
      <c r="Y18" s="2419">
        <f>ROUND(SUMPRODUCT(PRODUCT(1+O18:O$36)),4)</f>
        <v>1.3372999999999999</v>
      </c>
      <c r="Z18" s="2419">
        <f t="shared" ref="Z18" si="114">Y18</f>
        <v>1.3372999999999999</v>
      </c>
      <c r="AA18" s="2419">
        <f>ROUND(SUMPRODUCT(PRODUCT(1+P18:P$36)),4)</f>
        <v>1.5683</v>
      </c>
      <c r="AB18" s="2419">
        <f>ROUND(SUMPRODUCT(PRODUCT(1+Q18:Q$36)),4)</f>
        <v>1.3255999999999999</v>
      </c>
      <c r="AC18" s="2419"/>
      <c r="AD18" s="2420">
        <f>ROUND(AVERAGE(I18:I$37)/100,4)</f>
        <v>2.24E-2</v>
      </c>
      <c r="AE18" s="2420">
        <f>ROUND(AVERAGE(J18:J$37)/100,4)</f>
        <v>1.5800000000000002E-2</v>
      </c>
      <c r="AF18" s="2420">
        <f t="shared" ref="AF18" si="115">AE18</f>
        <v>1.5800000000000002E-2</v>
      </c>
      <c r="AG18" s="2420">
        <f>ROUND(AVERAGE(K18:K$37)/100,4)</f>
        <v>2.4500000000000001E-2</v>
      </c>
      <c r="AH18" s="2420">
        <f>ROUND(AVERAGE(L18:L$37)/100,4)</f>
        <v>1.49E-2</v>
      </c>
    </row>
    <row r="19" spans="1:34" s="2421" customFormat="1" ht="14.45" customHeight="1">
      <c r="A19" s="2414" t="s">
        <v>2861</v>
      </c>
      <c r="B19" s="2415">
        <f t="shared" ref="B19" si="116">B20*(1+N19)</f>
        <v>459.95733971036987</v>
      </c>
      <c r="C19" s="2415">
        <f t="shared" ref="C19" si="117">C20*(1+O19)</f>
        <v>341.22221064422405</v>
      </c>
      <c r="D19" s="2415">
        <f t="shared" ref="D19" si="118">C19</f>
        <v>341.22221064422405</v>
      </c>
      <c r="E19" s="2415">
        <f t="shared" ref="E19" si="119">E20*(1+P19)</f>
        <v>657.19161663724799</v>
      </c>
      <c r="F19" s="2415">
        <f t="shared" ref="F19" si="120">F20*(1+Q19)</f>
        <v>300.87803644464805</v>
      </c>
      <c r="G19" s="3414"/>
      <c r="H19" s="2416">
        <v>3</v>
      </c>
      <c r="I19" s="2416">
        <v>1.51</v>
      </c>
      <c r="J19" s="2416">
        <v>1.41</v>
      </c>
      <c r="K19" s="2416">
        <v>1.52</v>
      </c>
      <c r="L19" s="2422">
        <v>1.74</v>
      </c>
      <c r="M19" s="2410"/>
      <c r="N19" s="2417">
        <f t="shared" si="67"/>
        <v>1.5100000000000001E-2</v>
      </c>
      <c r="O19" s="2411">
        <f t="shared" ref="O19" si="121">J19/100</f>
        <v>1.41E-2</v>
      </c>
      <c r="P19" s="2411">
        <f t="shared" ref="P19" si="122">K19/100</f>
        <v>1.52E-2</v>
      </c>
      <c r="Q19" s="2411">
        <f t="shared" ref="Q19" si="123">L19/100</f>
        <v>1.7399999999999999E-2</v>
      </c>
      <c r="R19" s="2418"/>
      <c r="S19" s="2417"/>
      <c r="T19" s="2411"/>
      <c r="U19" s="2411"/>
      <c r="V19" s="2411"/>
      <c r="W19" s="2419"/>
      <c r="X19" s="2419">
        <f>ROUND(SUMPRODUCT(PRODUCT(1+N19:N$36)),4)</f>
        <v>1.4956</v>
      </c>
      <c r="Y19" s="2419">
        <f>ROUND(SUMPRODUCT(PRODUCT(1+O19:O$36)),4)</f>
        <v>1.3237000000000001</v>
      </c>
      <c r="Z19" s="2419">
        <f t="shared" ref="Z19" si="124">Y19</f>
        <v>1.3237000000000001</v>
      </c>
      <c r="AA19" s="2419">
        <f>ROUND(SUMPRODUCT(PRODUCT(1+P19:P$36)),4)</f>
        <v>1.554</v>
      </c>
      <c r="AB19" s="2419">
        <f>ROUND(SUMPRODUCT(PRODUCT(1+Q19:Q$36)),4)</f>
        <v>1.3087</v>
      </c>
      <c r="AC19" s="2419"/>
      <c r="AD19" s="2420">
        <f>ROUND(AVERAGE(I19:I$37)/100,4)</f>
        <v>2.3099999999999999E-2</v>
      </c>
      <c r="AE19" s="2420">
        <f>ROUND(AVERAGE(J19:J$37)/100,4)</f>
        <v>1.61E-2</v>
      </c>
      <c r="AF19" s="2420">
        <f t="shared" ref="AF19" si="125">AE19</f>
        <v>1.61E-2</v>
      </c>
      <c r="AG19" s="2420">
        <f>ROUND(AVERAGE(K19:K$37)/100,4)</f>
        <v>2.53E-2</v>
      </c>
      <c r="AH19" s="2420">
        <f>ROUND(AVERAGE(L19:L$37)/100,4)</f>
        <v>1.4999999999999999E-2</v>
      </c>
    </row>
    <row r="20" spans="1:34" s="2421" customFormat="1" ht="14.45" customHeight="1">
      <c r="A20" s="2414" t="s">
        <v>2860</v>
      </c>
      <c r="B20" s="2415">
        <f t="shared" ref="B20" si="126">B21*(1+N20)</f>
        <v>453.11529869999993</v>
      </c>
      <c r="C20" s="2415">
        <f t="shared" ref="C20" si="127">C21*(1+O20)</f>
        <v>336.47787264000004</v>
      </c>
      <c r="D20" s="2415">
        <f t="shared" ref="D20" si="128">C20</f>
        <v>336.47787264000004</v>
      </c>
      <c r="E20" s="2415">
        <f t="shared" ref="E20" si="129">E21*(1+P20)</f>
        <v>647.35186823999993</v>
      </c>
      <c r="F20" s="2415">
        <f t="shared" ref="F20" si="130">F21*(1+Q20)</f>
        <v>295.73229452000004</v>
      </c>
      <c r="G20" s="3414"/>
      <c r="H20" s="2427">
        <v>2</v>
      </c>
      <c r="I20" s="2427">
        <v>1.49</v>
      </c>
      <c r="J20" s="2427">
        <v>0.96</v>
      </c>
      <c r="K20" s="2427">
        <v>1.58</v>
      </c>
      <c r="L20" s="2428">
        <v>2.44</v>
      </c>
      <c r="M20" s="2410"/>
      <c r="N20" s="2417">
        <f t="shared" ref="N20" si="131">I20/100</f>
        <v>1.49E-2</v>
      </c>
      <c r="O20" s="2411">
        <f t="shared" ref="O20" si="132">J20/100</f>
        <v>9.5999999999999992E-3</v>
      </c>
      <c r="P20" s="2411">
        <f t="shared" ref="P20" si="133">K20/100</f>
        <v>1.5800000000000002E-2</v>
      </c>
      <c r="Q20" s="2411">
        <f t="shared" ref="Q20" si="134">L20/100</f>
        <v>2.4399999999999998E-2</v>
      </c>
      <c r="R20" s="2418"/>
      <c r="S20" s="2417"/>
      <c r="T20" s="2411"/>
      <c r="U20" s="2411"/>
      <c r="V20" s="2411"/>
      <c r="W20" s="2419"/>
      <c r="X20" s="2419">
        <f>ROUND(SUMPRODUCT(PRODUCT(1+N20:N$36)),4)</f>
        <v>1.4733000000000001</v>
      </c>
      <c r="Y20" s="2419">
        <f>ROUND(SUMPRODUCT(PRODUCT(1+O20:O$36)),4)</f>
        <v>1.3052999999999999</v>
      </c>
      <c r="Z20" s="2419">
        <f t="shared" ref="Z20" si="135">Y20</f>
        <v>1.3052999999999999</v>
      </c>
      <c r="AA20" s="2419">
        <f>ROUND(SUMPRODUCT(PRODUCT(1+P20:P$36)),4)</f>
        <v>1.5306999999999999</v>
      </c>
      <c r="AB20" s="2419">
        <f>ROUND(SUMPRODUCT(PRODUCT(1+Q20:Q$36)),4)</f>
        <v>1.2863</v>
      </c>
      <c r="AC20" s="2419"/>
      <c r="AD20" s="2420">
        <f>ROUND(AVERAGE(I20:I$37)/100,4)</f>
        <v>2.35E-2</v>
      </c>
      <c r="AE20" s="2420">
        <f>ROUND(AVERAGE(J20:J$37)/100,4)</f>
        <v>1.6199999999999999E-2</v>
      </c>
      <c r="AF20" s="2420">
        <f t="shared" ref="AF20" si="136">AE20</f>
        <v>1.6199999999999999E-2</v>
      </c>
      <c r="AG20" s="2420">
        <f>ROUND(AVERAGE(K20:K$37)/100,4)</f>
        <v>2.5899999999999999E-2</v>
      </c>
      <c r="AH20" s="2420">
        <f>ROUND(AVERAGE(L20:L$37)/100,4)</f>
        <v>1.49E-2</v>
      </c>
    </row>
    <row r="21" spans="1:34" s="2421" customFormat="1" ht="15" customHeight="1" thickBot="1">
      <c r="A21" s="2414" t="s">
        <v>2854</v>
      </c>
      <c r="B21" s="2415">
        <f t="shared" ref="B21" si="137">B22*(1+N21)</f>
        <v>446.46299999999997</v>
      </c>
      <c r="C21" s="2415">
        <f t="shared" ref="C21" si="138">C22*(1+O21)</f>
        <v>333.27840000000003</v>
      </c>
      <c r="D21" s="2415">
        <f t="shared" ref="D21" si="139">C21</f>
        <v>333.27840000000003</v>
      </c>
      <c r="E21" s="2415">
        <f t="shared" ref="E21" si="140">E22*(1+P21)</f>
        <v>637.28279999999995</v>
      </c>
      <c r="F21" s="2415">
        <f t="shared" ref="F21" si="141">F22*(1+Q21)</f>
        <v>288.68830000000003</v>
      </c>
      <c r="G21" s="3421"/>
      <c r="H21" s="2416">
        <v>1</v>
      </c>
      <c r="I21" s="2416">
        <v>1.7</v>
      </c>
      <c r="J21" s="2416">
        <v>1.92</v>
      </c>
      <c r="K21" s="2416">
        <v>1.64</v>
      </c>
      <c r="L21" s="2422">
        <v>2.0099999999999998</v>
      </c>
      <c r="M21" s="2410"/>
      <c r="N21" s="2417">
        <f t="shared" ref="N21:N26" si="142">I21/100</f>
        <v>1.7000000000000001E-2</v>
      </c>
      <c r="O21" s="2411">
        <f t="shared" ref="O21" si="143">J21/100</f>
        <v>1.9199999999999998E-2</v>
      </c>
      <c r="P21" s="2411">
        <f t="shared" ref="P21" si="144">K21/100</f>
        <v>1.6399999999999998E-2</v>
      </c>
      <c r="Q21" s="2411">
        <f t="shared" ref="Q21" si="145">L21/100</f>
        <v>2.0099999999999996E-2</v>
      </c>
      <c r="R21" s="2418"/>
      <c r="S21" s="2417">
        <f>B21/B22-1</f>
        <v>1.6999999999999904E-2</v>
      </c>
      <c r="T21" s="2411">
        <f t="shared" ref="T21" si="146">C21/C22-1</f>
        <v>1.9200000000000106E-2</v>
      </c>
      <c r="U21" s="2411">
        <f t="shared" ref="U21" si="147">D21/D22-1</f>
        <v>1.9200000000000106E-2</v>
      </c>
      <c r="V21" s="2411">
        <f t="shared" ref="V21" si="148">E21/E22-1</f>
        <v>1.639999999999997E-2</v>
      </c>
      <c r="W21" s="2419"/>
      <c r="X21" s="2419">
        <f>ROUND(SUMPRODUCT(PRODUCT(1+N21:N$36)),4)</f>
        <v>1.4517</v>
      </c>
      <c r="Y21" s="2419">
        <f>ROUND(SUMPRODUCT(PRODUCT(1+O21:O$36)),4)</f>
        <v>1.2928999999999999</v>
      </c>
      <c r="Z21" s="2419">
        <f t="shared" ref="Z21" si="149">Y21</f>
        <v>1.2928999999999999</v>
      </c>
      <c r="AA21" s="2419">
        <f>ROUND(SUMPRODUCT(PRODUCT(1+P21:P$36)),4)</f>
        <v>1.5068999999999999</v>
      </c>
      <c r="AB21" s="2419">
        <f>ROUND(SUMPRODUCT(PRODUCT(1+Q21:Q$36)),4)</f>
        <v>1.2557</v>
      </c>
      <c r="AC21" s="2419"/>
      <c r="AD21" s="2420">
        <f>ROUND(AVERAGE(I21:I$37)/100,4)</f>
        <v>2.4E-2</v>
      </c>
      <c r="AE21" s="2420">
        <f>ROUND(AVERAGE(J21:J$37)/100,4)</f>
        <v>1.66E-2</v>
      </c>
      <c r="AF21" s="2420">
        <f t="shared" ref="AF21" si="150">AE21</f>
        <v>1.66E-2</v>
      </c>
      <c r="AG21" s="2420">
        <f>ROUND(AVERAGE(K21:K$37)/100,4)</f>
        <v>2.6499999999999999E-2</v>
      </c>
      <c r="AH21" s="2420">
        <f>ROUND(AVERAGE(L21:L$37)/100,4)</f>
        <v>1.43E-2</v>
      </c>
    </row>
    <row r="22" spans="1:34">
      <c r="A22" s="2414" t="s">
        <v>2852</v>
      </c>
      <c r="B22" s="2429">
        <v>439</v>
      </c>
      <c r="C22" s="2429">
        <v>327</v>
      </c>
      <c r="D22" s="2429">
        <f>C22</f>
        <v>327</v>
      </c>
      <c r="E22" s="2429">
        <v>627</v>
      </c>
      <c r="F22" s="2430">
        <v>283</v>
      </c>
      <c r="G22" s="3417">
        <v>2017</v>
      </c>
      <c r="H22" s="2423">
        <v>4</v>
      </c>
      <c r="I22" s="2423">
        <v>1.71</v>
      </c>
      <c r="J22" s="2423">
        <v>1.78</v>
      </c>
      <c r="K22" s="2423">
        <v>1.71</v>
      </c>
      <c r="L22" s="2424">
        <v>1.43</v>
      </c>
      <c r="N22" s="2417">
        <f t="shared" si="142"/>
        <v>1.7100000000000001E-2</v>
      </c>
      <c r="O22" s="2411">
        <f t="shared" ref="O22" si="151">J22/100</f>
        <v>1.78E-2</v>
      </c>
      <c r="P22" s="2411">
        <f t="shared" ref="P22" si="152">K22/100</f>
        <v>1.7100000000000001E-2</v>
      </c>
      <c r="Q22" s="2411">
        <f t="shared" ref="Q22" si="153">L22/100</f>
        <v>1.43E-2</v>
      </c>
      <c r="R22" s="2418"/>
      <c r="S22" s="2431"/>
      <c r="T22" s="2432"/>
      <c r="U22" s="2432"/>
      <c r="V22" s="2432"/>
      <c r="X22" s="2410">
        <f>ROUND(SUMPRODUCT(PRODUCT(1+N22:N$36)),4)</f>
        <v>1.4274</v>
      </c>
      <c r="Y22" s="2410">
        <f>ROUND(SUMPRODUCT(PRODUCT(1+O22:O$36)),4)</f>
        <v>1.2685</v>
      </c>
      <c r="Z22" s="2410">
        <f t="shared" si="0"/>
        <v>1.2685</v>
      </c>
      <c r="AA22" s="2410">
        <f>ROUND(SUMPRODUCT(PRODUCT(1+P22:P$36)),4)</f>
        <v>1.4825999999999999</v>
      </c>
      <c r="AB22" s="2410">
        <f>ROUND(SUMPRODUCT(PRODUCT(1+Q22:Q$36)),4)</f>
        <v>1.2309000000000001</v>
      </c>
      <c r="AD22" s="2411">
        <f>ROUND(AVERAGE(I22:I$37)/100,4)</f>
        <v>2.4500000000000001E-2</v>
      </c>
      <c r="AE22" s="2411">
        <f>ROUND(AVERAGE(J22:J$37)/100,4)</f>
        <v>1.6500000000000001E-2</v>
      </c>
      <c r="AF22" s="2411">
        <f t="shared" si="1"/>
        <v>1.6500000000000001E-2</v>
      </c>
      <c r="AG22" s="2411">
        <f>ROUND(AVERAGE(K22:K$37)/100,4)</f>
        <v>2.7099999999999999E-2</v>
      </c>
      <c r="AH22" s="2411">
        <f>ROUND(AVERAGE(L22:L$37)/100,4)</f>
        <v>1.3899999999999999E-2</v>
      </c>
    </row>
    <row r="23" spans="1:34" s="2421" customFormat="1" ht="14.45" customHeight="1">
      <c r="A23" s="2414" t="s">
        <v>2853</v>
      </c>
      <c r="B23" s="2415">
        <f t="shared" ref="B23:B24" si="154">B24*(1+N23)</f>
        <v>431.80730811680002</v>
      </c>
      <c r="C23" s="2415">
        <f t="shared" ref="C23:C24" si="155">C24*(1+O23)</f>
        <v>320.57880516480003</v>
      </c>
      <c r="D23" s="2415">
        <f t="shared" ref="D23:D24" si="156">C23</f>
        <v>320.57880516480003</v>
      </c>
      <c r="E23" s="2415">
        <f t="shared" ref="E23:E24" si="157">E24*(1+P23)</f>
        <v>615.96110553196797</v>
      </c>
      <c r="F23" s="2415">
        <f t="shared" ref="F23:F24" si="158">F24*(1+Q23)</f>
        <v>279.46777300108801</v>
      </c>
      <c r="G23" s="3414"/>
      <c r="H23" s="2416">
        <v>3</v>
      </c>
      <c r="I23" s="2416">
        <v>2.98</v>
      </c>
      <c r="J23" s="2416">
        <v>2.11</v>
      </c>
      <c r="K23" s="2416">
        <v>3.24</v>
      </c>
      <c r="L23" s="2422">
        <v>1.72</v>
      </c>
      <c r="M23" s="2410"/>
      <c r="N23" s="2417">
        <f t="shared" si="142"/>
        <v>2.98E-2</v>
      </c>
      <c r="O23" s="2411">
        <f t="shared" ref="O23" si="159">J23/100</f>
        <v>2.1099999999999997E-2</v>
      </c>
      <c r="P23" s="2411">
        <f t="shared" ref="P23" si="160">K23/100</f>
        <v>3.2400000000000005E-2</v>
      </c>
      <c r="Q23" s="2411">
        <f t="shared" ref="Q23" si="161">L23/100</f>
        <v>1.72E-2</v>
      </c>
      <c r="R23" s="2418"/>
      <c r="S23" s="2417"/>
      <c r="T23" s="2411"/>
      <c r="U23" s="2411"/>
      <c r="V23" s="2411"/>
      <c r="W23" s="2419"/>
      <c r="X23" s="2419">
        <f>ROUND(SUMPRODUCT(PRODUCT(1+N23:N$36)),4)</f>
        <v>1.4034</v>
      </c>
      <c r="Y23" s="2419">
        <f>ROUND(SUMPRODUCT(PRODUCT(1+O23:O$36)),4)</f>
        <v>1.2463</v>
      </c>
      <c r="Z23" s="2419">
        <f t="shared" si="0"/>
        <v>1.2463</v>
      </c>
      <c r="AA23" s="2419">
        <f>ROUND(SUMPRODUCT(PRODUCT(1+P23:P$36)),4)</f>
        <v>1.4577</v>
      </c>
      <c r="AB23" s="2419">
        <f>ROUND(SUMPRODUCT(PRODUCT(1+Q23:Q$36)),4)</f>
        <v>1.2136</v>
      </c>
      <c r="AC23" s="2419"/>
      <c r="AD23" s="2420">
        <f>ROUND(AVERAGE(I23:I$37)/100,4)</f>
        <v>2.4899999999999999E-2</v>
      </c>
      <c r="AE23" s="2420">
        <f>ROUND(AVERAGE(J23:J$37)/100,4)</f>
        <v>1.6400000000000001E-2</v>
      </c>
      <c r="AF23" s="2420">
        <f t="shared" si="1"/>
        <v>1.6400000000000001E-2</v>
      </c>
      <c r="AG23" s="2420">
        <f>ROUND(AVERAGE(K23:K$37)/100,4)</f>
        <v>2.7799999999999998E-2</v>
      </c>
      <c r="AH23" s="2420">
        <f>ROUND(AVERAGE(L23:L$37)/100,4)</f>
        <v>1.3899999999999999E-2</v>
      </c>
    </row>
    <row r="24" spans="1:34" s="2413" customFormat="1" ht="14.45" customHeight="1">
      <c r="A24" s="2414" t="s">
        <v>1351</v>
      </c>
      <c r="B24" s="2415">
        <f t="shared" si="154"/>
        <v>419.31181600000002</v>
      </c>
      <c r="C24" s="2415">
        <f t="shared" si="155"/>
        <v>313.95436800000004</v>
      </c>
      <c r="D24" s="2415">
        <f t="shared" si="156"/>
        <v>313.95436800000004</v>
      </c>
      <c r="E24" s="2415">
        <f t="shared" si="157"/>
        <v>596.63028431999999</v>
      </c>
      <c r="F24" s="2415">
        <f t="shared" si="158"/>
        <v>274.74220703999998</v>
      </c>
      <c r="G24" s="3414"/>
      <c r="H24" s="2427">
        <v>2</v>
      </c>
      <c r="I24" s="2427">
        <v>3.4</v>
      </c>
      <c r="J24" s="2427">
        <v>2</v>
      </c>
      <c r="K24" s="2427">
        <v>3.82</v>
      </c>
      <c r="L24" s="2428">
        <v>1.68</v>
      </c>
      <c r="M24" s="2410"/>
      <c r="N24" s="2417">
        <f t="shared" si="142"/>
        <v>3.4000000000000002E-2</v>
      </c>
      <c r="O24" s="2411">
        <f t="shared" ref="O24" si="162">J24/100</f>
        <v>0.02</v>
      </c>
      <c r="P24" s="2411">
        <f t="shared" ref="P24" si="163">K24/100</f>
        <v>3.8199999999999998E-2</v>
      </c>
      <c r="Q24" s="2411">
        <f t="shared" ref="Q24" si="164">L24/100</f>
        <v>1.6799999999999999E-2</v>
      </c>
      <c r="R24" s="2418"/>
      <c r="S24" s="2431"/>
      <c r="T24" s="2432"/>
      <c r="U24" s="2432"/>
      <c r="V24" s="2432"/>
      <c r="W24" s="2404"/>
      <c r="X24" s="2419">
        <f>ROUND(SUMPRODUCT(PRODUCT(1+N24:N$36)),4)</f>
        <v>1.3628</v>
      </c>
      <c r="Y24" s="2419">
        <f>ROUND(SUMPRODUCT(PRODUCT(1+O24:O$36)),4)</f>
        <v>1.2205999999999999</v>
      </c>
      <c r="Z24" s="2419">
        <f t="shared" si="0"/>
        <v>1.2205999999999999</v>
      </c>
      <c r="AA24" s="2419">
        <f>ROUND(SUMPRODUCT(PRODUCT(1+P24:P$36)),4)</f>
        <v>1.4118999999999999</v>
      </c>
      <c r="AB24" s="2419">
        <f>ROUND(SUMPRODUCT(PRODUCT(1+Q24:Q$36)),4)</f>
        <v>1.1930000000000001</v>
      </c>
      <c r="AC24" s="2404"/>
      <c r="AD24" s="2420">
        <f>ROUND(AVERAGE(I24:I$37)/100,4)</f>
        <v>2.46E-2</v>
      </c>
      <c r="AE24" s="2420">
        <f>ROUND(AVERAGE(J24:J$37)/100,4)</f>
        <v>1.6E-2</v>
      </c>
      <c r="AF24" s="2420">
        <f t="shared" si="1"/>
        <v>1.6E-2</v>
      </c>
      <c r="AG24" s="2420">
        <f>ROUND(AVERAGE(K24:K$37)/100,4)</f>
        <v>2.75E-2</v>
      </c>
      <c r="AH24" s="2420">
        <f>ROUND(AVERAGE(L24:L$37)/100,4)</f>
        <v>1.37E-2</v>
      </c>
    </row>
    <row r="25" spans="1:34" s="2421" customFormat="1" ht="15" customHeight="1" thickBot="1">
      <c r="A25" s="2414" t="s">
        <v>1128</v>
      </c>
      <c r="B25" s="2415">
        <f>B26*(1+N25)</f>
        <v>405.524</v>
      </c>
      <c r="C25" s="2415">
        <f>C26*(1+O25)</f>
        <v>307.79840000000002</v>
      </c>
      <c r="D25" s="2415">
        <f>C25</f>
        <v>307.79840000000002</v>
      </c>
      <c r="E25" s="2415">
        <f>E26*(1+P25)</f>
        <v>574.67759999999998</v>
      </c>
      <c r="F25" s="2415">
        <f>F26*(1+Q25)</f>
        <v>270.20280000000002</v>
      </c>
      <c r="G25" s="3421"/>
      <c r="H25" s="2416">
        <v>1</v>
      </c>
      <c r="I25" s="2416">
        <v>3.45</v>
      </c>
      <c r="J25" s="2416">
        <v>1.92</v>
      </c>
      <c r="K25" s="2416">
        <v>3.92</v>
      </c>
      <c r="L25" s="2422">
        <v>1.58</v>
      </c>
      <c r="M25" s="2410"/>
      <c r="N25" s="2417">
        <f t="shared" si="142"/>
        <v>3.4500000000000003E-2</v>
      </c>
      <c r="O25" s="2411">
        <f t="shared" ref="O25:Q40" si="165">J25/100</f>
        <v>1.9199999999999998E-2</v>
      </c>
      <c r="P25" s="2411">
        <f t="shared" si="165"/>
        <v>3.9199999999999999E-2</v>
      </c>
      <c r="Q25" s="2411">
        <f t="shared" si="165"/>
        <v>1.5800000000000002E-2</v>
      </c>
      <c r="R25" s="2418"/>
      <c r="S25" s="2417">
        <f>B25/B26-1</f>
        <v>3.4499999999999975E-2</v>
      </c>
      <c r="T25" s="2411">
        <f t="shared" ref="T25:V25" si="166">C25/C26-1</f>
        <v>1.9200000000000106E-2</v>
      </c>
      <c r="U25" s="2411">
        <f t="shared" si="166"/>
        <v>1.9200000000000106E-2</v>
      </c>
      <c r="V25" s="2411">
        <f t="shared" si="166"/>
        <v>3.9199999999999902E-2</v>
      </c>
      <c r="W25" s="2419"/>
      <c r="X25" s="2419">
        <f>ROUND(SUMPRODUCT(PRODUCT(1+N25:N$36)),4)</f>
        <v>1.3180000000000001</v>
      </c>
      <c r="Y25" s="2419">
        <f>ROUND(SUMPRODUCT(PRODUCT(1+O25:O$36)),4)</f>
        <v>1.1966000000000001</v>
      </c>
      <c r="Z25" s="2419">
        <f t="shared" si="0"/>
        <v>1.1966000000000001</v>
      </c>
      <c r="AA25" s="2419">
        <f>ROUND(SUMPRODUCT(PRODUCT(1+P25:P$36)),4)</f>
        <v>1.36</v>
      </c>
      <c r="AB25" s="2419">
        <f>ROUND(SUMPRODUCT(PRODUCT(1+Q25:Q$36)),4)</f>
        <v>1.1733</v>
      </c>
      <c r="AC25" s="2419"/>
      <c r="AD25" s="2420">
        <f>ROUND(AVERAGE(I25:I$37)/100,4)</f>
        <v>2.3900000000000001E-2</v>
      </c>
      <c r="AE25" s="2420">
        <f>ROUND(AVERAGE(J25:J$37)/100,4)</f>
        <v>1.5699999999999999E-2</v>
      </c>
      <c r="AF25" s="2420">
        <f t="shared" si="1"/>
        <v>1.5699999999999999E-2</v>
      </c>
      <c r="AG25" s="2420">
        <f>ROUND(AVERAGE(K25:K$37)/100,4)</f>
        <v>2.6599999999999999E-2</v>
      </c>
      <c r="AH25" s="2420">
        <f>ROUND(AVERAGE(L25:L$37)/100,4)</f>
        <v>1.34E-2</v>
      </c>
    </row>
    <row r="26" spans="1:34">
      <c r="A26" s="2414" t="s">
        <v>154</v>
      </c>
      <c r="B26" s="2429">
        <v>392</v>
      </c>
      <c r="C26" s="2429">
        <v>302</v>
      </c>
      <c r="D26" s="2429">
        <f>C26</f>
        <v>302</v>
      </c>
      <c r="E26" s="2429">
        <v>553</v>
      </c>
      <c r="F26" s="2430">
        <v>266</v>
      </c>
      <c r="G26" s="3417">
        <v>2016</v>
      </c>
      <c r="H26" s="2423">
        <v>4</v>
      </c>
      <c r="I26" s="2423">
        <v>4.5599999999999996</v>
      </c>
      <c r="J26" s="2423">
        <v>2.15</v>
      </c>
      <c r="K26" s="2423">
        <v>5.32</v>
      </c>
      <c r="L26" s="2424">
        <v>1.57</v>
      </c>
      <c r="N26" s="2417">
        <f t="shared" si="142"/>
        <v>4.5599999999999995E-2</v>
      </c>
      <c r="O26" s="2411">
        <f t="shared" si="165"/>
        <v>2.1499999999999998E-2</v>
      </c>
      <c r="P26" s="2411">
        <f t="shared" si="165"/>
        <v>5.3200000000000004E-2</v>
      </c>
      <c r="Q26" s="2411">
        <f t="shared" si="165"/>
        <v>1.5700000000000002E-2</v>
      </c>
      <c r="R26" s="2418"/>
      <c r="S26" s="2431"/>
      <c r="T26" s="2432"/>
      <c r="U26" s="2432"/>
      <c r="V26" s="2432"/>
      <c r="X26" s="2410">
        <f>ROUND(SUMPRODUCT(PRODUCT(1+N26:N$36)),4)</f>
        <v>1.274</v>
      </c>
      <c r="Y26" s="2410">
        <f>ROUND(SUMPRODUCT(PRODUCT(1+O26:O$36)),4)</f>
        <v>1.1740999999999999</v>
      </c>
      <c r="Z26" s="2410">
        <f t="shared" si="0"/>
        <v>1.1740999999999999</v>
      </c>
      <c r="AA26" s="2410">
        <f>ROUND(SUMPRODUCT(PRODUCT(1+P26:P$36)),4)</f>
        <v>1.3087</v>
      </c>
      <c r="AB26" s="2410">
        <f>ROUND(SUMPRODUCT(PRODUCT(1+Q26:Q$36)),4)</f>
        <v>1.1551</v>
      </c>
      <c r="AD26" s="2411">
        <f>ROUND(AVERAGE(I26:I$37)/100,4)</f>
        <v>2.3E-2</v>
      </c>
      <c r="AE26" s="2411">
        <f>ROUND(AVERAGE(J26:J$37)/100,4)</f>
        <v>1.55E-2</v>
      </c>
      <c r="AF26" s="2411">
        <f t="shared" si="1"/>
        <v>1.55E-2</v>
      </c>
      <c r="AG26" s="2411">
        <f>ROUND(AVERAGE(K26:K$37)/100,4)</f>
        <v>2.5600000000000001E-2</v>
      </c>
      <c r="AH26" s="2411">
        <f>ROUND(AVERAGE(L26:L$37)/100,4)</f>
        <v>1.32E-2</v>
      </c>
    </row>
    <row r="27" spans="1:34">
      <c r="A27" s="2414" t="s">
        <v>153</v>
      </c>
      <c r="B27" s="2415">
        <f t="shared" ref="B27:C29" si="167">B26/(1+N26)</f>
        <v>374.90436113236416</v>
      </c>
      <c r="C27" s="2415">
        <f t="shared" si="167"/>
        <v>295.64366128242779</v>
      </c>
      <c r="D27" s="2415">
        <f t="shared" ref="D27:D86" si="168">C27</f>
        <v>295.64366128242779</v>
      </c>
      <c r="E27" s="2415">
        <f t="shared" ref="E27:F29" si="169">E26/(1+P26)</f>
        <v>525.06646410938095</v>
      </c>
      <c r="F27" s="2415">
        <f t="shared" si="169"/>
        <v>261.88835286009646</v>
      </c>
      <c r="G27" s="3414"/>
      <c r="H27" s="2416">
        <v>3</v>
      </c>
      <c r="I27" s="2416">
        <v>4.12</v>
      </c>
      <c r="J27" s="2416">
        <v>2</v>
      </c>
      <c r="K27" s="2416">
        <v>4.79</v>
      </c>
      <c r="L27" s="2422">
        <v>1.97</v>
      </c>
      <c r="N27" s="2417">
        <f t="shared" ref="N27:Q61" si="170">I27/100</f>
        <v>4.1200000000000001E-2</v>
      </c>
      <c r="O27" s="2411">
        <f t="shared" si="165"/>
        <v>0.02</v>
      </c>
      <c r="P27" s="2411">
        <f t="shared" si="165"/>
        <v>4.7899999999999998E-2</v>
      </c>
      <c r="Q27" s="2411">
        <f t="shared" si="165"/>
        <v>1.9699999999999999E-2</v>
      </c>
      <c r="R27" s="2418"/>
      <c r="S27" s="2417"/>
      <c r="T27" s="2411"/>
      <c r="U27" s="2411"/>
      <c r="V27" s="2411"/>
      <c r="X27" s="2410">
        <f>ROUND(SUMPRODUCT(PRODUCT(1+N27:N$36)),4)</f>
        <v>1.2184999999999999</v>
      </c>
      <c r="Y27" s="2410">
        <f>ROUND(SUMPRODUCT(PRODUCT(1+O27:O$36)),4)</f>
        <v>1.1494</v>
      </c>
      <c r="Z27" s="2410">
        <f t="shared" si="0"/>
        <v>1.1494</v>
      </c>
      <c r="AA27" s="2410">
        <f>ROUND(SUMPRODUCT(PRODUCT(1+P27:P$36)),4)</f>
        <v>1.2425999999999999</v>
      </c>
      <c r="AB27" s="2410">
        <f>ROUND(SUMPRODUCT(PRODUCT(1+Q27:Q$36)),4)</f>
        <v>1.1372</v>
      </c>
      <c r="AD27" s="2411">
        <f>ROUND(AVERAGE(I27:I$37)/100,4)</f>
        <v>2.0899999999999998E-2</v>
      </c>
      <c r="AE27" s="2411">
        <f>ROUND(AVERAGE(J27:J$37)/100,4)</f>
        <v>1.49E-2</v>
      </c>
      <c r="AF27" s="2411">
        <f t="shared" si="1"/>
        <v>1.49E-2</v>
      </c>
      <c r="AG27" s="2411">
        <f>ROUND(AVERAGE(K27:K$37)/100,4)</f>
        <v>2.3099999999999999E-2</v>
      </c>
      <c r="AH27" s="2411">
        <f>ROUND(AVERAGE(L27:L$37)/100,4)</f>
        <v>1.2999999999999999E-2</v>
      </c>
    </row>
    <row r="28" spans="1:34">
      <c r="A28" s="2414" t="s">
        <v>143</v>
      </c>
      <c r="B28" s="2415">
        <f t="shared" si="167"/>
        <v>360.06949782209392</v>
      </c>
      <c r="C28" s="2415">
        <f t="shared" si="167"/>
        <v>289.84672674747821</v>
      </c>
      <c r="D28" s="2415">
        <f t="shared" si="168"/>
        <v>289.84672674747821</v>
      </c>
      <c r="E28" s="2415">
        <f t="shared" si="169"/>
        <v>501.06543001181495</v>
      </c>
      <c r="F28" s="2415">
        <f t="shared" si="169"/>
        <v>256.82882500744967</v>
      </c>
      <c r="G28" s="3414"/>
      <c r="H28" s="2427">
        <v>2</v>
      </c>
      <c r="I28" s="2427">
        <v>3.85</v>
      </c>
      <c r="J28" s="2427">
        <v>1.95</v>
      </c>
      <c r="K28" s="2427">
        <v>4.4800000000000004</v>
      </c>
      <c r="L28" s="2428">
        <v>1.41</v>
      </c>
      <c r="N28" s="2417">
        <f t="shared" si="170"/>
        <v>3.85E-2</v>
      </c>
      <c r="O28" s="2411">
        <f t="shared" si="165"/>
        <v>1.95E-2</v>
      </c>
      <c r="P28" s="2411">
        <f t="shared" si="165"/>
        <v>4.4800000000000006E-2</v>
      </c>
      <c r="Q28" s="2411">
        <f t="shared" si="165"/>
        <v>1.41E-2</v>
      </c>
      <c r="R28" s="2418"/>
      <c r="S28" s="2417"/>
      <c r="T28" s="2411"/>
      <c r="U28" s="2411"/>
      <c r="V28" s="2411"/>
      <c r="X28" s="2410">
        <f>ROUND(SUMPRODUCT(PRODUCT(1+N28:N$36)),4)</f>
        <v>1.1702999999999999</v>
      </c>
      <c r="Y28" s="2410">
        <f>ROUND(SUMPRODUCT(PRODUCT(1+O28:O$36)),4)</f>
        <v>1.1269</v>
      </c>
      <c r="Z28" s="2410">
        <f t="shared" si="0"/>
        <v>1.1269</v>
      </c>
      <c r="AA28" s="2410">
        <f>ROUND(SUMPRODUCT(PRODUCT(1+P28:P$36)),4)</f>
        <v>1.1858</v>
      </c>
      <c r="AB28" s="2410">
        <f>ROUND(SUMPRODUCT(PRODUCT(1+Q28:Q$36)),4)</f>
        <v>1.1152</v>
      </c>
      <c r="AD28" s="2411">
        <f>ROUND(AVERAGE(I28:I$37)/100,4)</f>
        <v>1.89E-2</v>
      </c>
      <c r="AE28" s="2411">
        <f>ROUND(AVERAGE(J28:J$37)/100,4)</f>
        <v>1.44E-2</v>
      </c>
      <c r="AF28" s="2411">
        <f t="shared" si="1"/>
        <v>1.44E-2</v>
      </c>
      <c r="AG28" s="2411">
        <f>ROUND(AVERAGE(K28:K$37)/100,4)</f>
        <v>2.06E-2</v>
      </c>
      <c r="AH28" s="2411">
        <f>ROUND(AVERAGE(L28:L$37)/100,4)</f>
        <v>1.23E-2</v>
      </c>
    </row>
    <row r="29" spans="1:34" ht="13.5" thickBot="1">
      <c r="A29" s="2414" t="s">
        <v>152</v>
      </c>
      <c r="B29" s="2415">
        <f t="shared" si="167"/>
        <v>346.720748986128</v>
      </c>
      <c r="C29" s="2415">
        <f t="shared" si="167"/>
        <v>284.30282172386285</v>
      </c>
      <c r="D29" s="2415">
        <f t="shared" si="168"/>
        <v>284.30282172386285</v>
      </c>
      <c r="E29" s="2415">
        <f t="shared" si="169"/>
        <v>479.58023546306947</v>
      </c>
      <c r="F29" s="2415">
        <f t="shared" si="169"/>
        <v>253.25788877571213</v>
      </c>
      <c r="G29" s="3415"/>
      <c r="H29" s="2416">
        <v>1</v>
      </c>
      <c r="I29" s="2416">
        <v>4.09</v>
      </c>
      <c r="J29" s="2416">
        <v>2.93</v>
      </c>
      <c r="K29" s="2416">
        <v>4.54</v>
      </c>
      <c r="L29" s="2422">
        <v>1.48</v>
      </c>
      <c r="N29" s="2417">
        <f t="shared" si="170"/>
        <v>4.0899999999999999E-2</v>
      </c>
      <c r="O29" s="2411">
        <f t="shared" si="165"/>
        <v>2.9300000000000003E-2</v>
      </c>
      <c r="P29" s="2411">
        <f t="shared" si="165"/>
        <v>4.5400000000000003E-2</v>
      </c>
      <c r="Q29" s="2411">
        <f t="shared" si="165"/>
        <v>1.4800000000000001E-2</v>
      </c>
      <c r="R29" s="2418"/>
      <c r="S29" s="2433">
        <f>B29/B30-1</f>
        <v>4.1203450408792808E-2</v>
      </c>
      <c r="T29" s="2434">
        <f>C29/C30-1</f>
        <v>2.6363977342465095E-2</v>
      </c>
      <c r="U29" s="2434">
        <f>E29/E30-1</f>
        <v>4.4837114298626357E-2</v>
      </c>
      <c r="V29" s="2434">
        <f>F29/F30-1</f>
        <v>1.7099954922538574E-2</v>
      </c>
      <c r="X29" s="2410">
        <f>ROUND(SUMPRODUCT(PRODUCT(1+N29:N$36)),4)</f>
        <v>1.1269</v>
      </c>
      <c r="Y29" s="2410">
        <f>ROUND(SUMPRODUCT(PRODUCT(1+O29:O$36)),4)</f>
        <v>1.1052999999999999</v>
      </c>
      <c r="Z29" s="2410">
        <f t="shared" si="0"/>
        <v>1.1052999999999999</v>
      </c>
      <c r="AA29" s="2410">
        <f>ROUND(SUMPRODUCT(PRODUCT(1+P29:P$36)),4)</f>
        <v>1.1349</v>
      </c>
      <c r="AB29" s="2410">
        <f>ROUND(SUMPRODUCT(PRODUCT(1+Q29:Q$36)),4)</f>
        <v>1.0996999999999999</v>
      </c>
      <c r="AD29" s="2411">
        <f>ROUND(AVERAGE(I29:I$37)/100,4)</f>
        <v>1.67E-2</v>
      </c>
      <c r="AE29" s="2411">
        <f>ROUND(AVERAGE(J29:J$37)/100,4)</f>
        <v>1.38E-2</v>
      </c>
      <c r="AF29" s="2411">
        <f t="shared" si="1"/>
        <v>1.38E-2</v>
      </c>
      <c r="AG29" s="2411">
        <f>ROUND(AVERAGE(K29:K$37)/100,4)</f>
        <v>1.7899999999999999E-2</v>
      </c>
      <c r="AH29" s="2411">
        <f>ROUND(AVERAGE(L29:L$37)/100,4)</f>
        <v>1.21E-2</v>
      </c>
    </row>
    <row r="30" spans="1:34" ht="13.5" thickBot="1">
      <c r="A30" s="2414" t="s">
        <v>151</v>
      </c>
      <c r="B30" s="2429">
        <v>333</v>
      </c>
      <c r="C30" s="2429">
        <v>277</v>
      </c>
      <c r="D30" s="2429">
        <f t="shared" si="168"/>
        <v>277</v>
      </c>
      <c r="E30" s="2429">
        <v>459</v>
      </c>
      <c r="F30" s="2430">
        <v>249</v>
      </c>
      <c r="G30" s="3413">
        <v>2015</v>
      </c>
      <c r="H30" s="2435">
        <v>4</v>
      </c>
      <c r="I30" s="2435">
        <v>1.63</v>
      </c>
      <c r="J30" s="2435">
        <v>1.1100000000000001</v>
      </c>
      <c r="K30" s="2435">
        <v>1.77</v>
      </c>
      <c r="L30" s="2436">
        <v>1.89</v>
      </c>
      <c r="N30" s="2437">
        <f t="shared" si="170"/>
        <v>1.6299999999999999E-2</v>
      </c>
      <c r="O30" s="2438">
        <f t="shared" si="165"/>
        <v>1.11E-2</v>
      </c>
      <c r="P30" s="2438">
        <f t="shared" si="165"/>
        <v>1.77E-2</v>
      </c>
      <c r="Q30" s="2438">
        <f t="shared" si="165"/>
        <v>1.89E-2</v>
      </c>
      <c r="R30" s="2418"/>
      <c r="X30" s="2410">
        <f>ROUND(SUMPRODUCT(PRODUCT(1+N30:N$36)),4)</f>
        <v>1.0826</v>
      </c>
      <c r="Y30" s="2410">
        <f>ROUND(SUMPRODUCT(PRODUCT(1+O30:O$36)),4)</f>
        <v>1.0738000000000001</v>
      </c>
      <c r="Z30" s="2410">
        <f t="shared" si="0"/>
        <v>1.0738000000000001</v>
      </c>
      <c r="AA30" s="2410">
        <f>ROUND(SUMPRODUCT(PRODUCT(1+P30:P$36)),4)</f>
        <v>1.0855999999999999</v>
      </c>
      <c r="AB30" s="2410">
        <f>ROUND(SUMPRODUCT(PRODUCT(1+Q30:Q$36)),4)</f>
        <v>1.0837000000000001</v>
      </c>
      <c r="AD30" s="2411">
        <f>ROUND(AVERAGE(I30:I$37)/100,4)</f>
        <v>1.37E-2</v>
      </c>
      <c r="AE30" s="2411">
        <f>ROUND(AVERAGE(J30:J$37)/100,4)</f>
        <v>1.1900000000000001E-2</v>
      </c>
      <c r="AF30" s="2411">
        <f t="shared" si="1"/>
        <v>1.1900000000000001E-2</v>
      </c>
      <c r="AG30" s="2411">
        <f>ROUND(AVERAGE(K30:K$37)/100,4)</f>
        <v>1.4500000000000001E-2</v>
      </c>
      <c r="AH30" s="2411">
        <f>ROUND(AVERAGE(L30:L$37)/100,4)</f>
        <v>1.18E-2</v>
      </c>
    </row>
    <row r="31" spans="1:34">
      <c r="A31" s="2414" t="s">
        <v>150</v>
      </c>
      <c r="B31" s="2415">
        <f t="shared" ref="B31:C33" si="171">B30/(1+N30)</f>
        <v>327.65915576109415</v>
      </c>
      <c r="C31" s="2415">
        <f t="shared" si="171"/>
        <v>273.95905449510434</v>
      </c>
      <c r="D31" s="2415">
        <f t="shared" si="168"/>
        <v>273.95905449510434</v>
      </c>
      <c r="E31" s="2415">
        <f t="shared" ref="E31:F33" si="172">E30/(1+P30)</f>
        <v>451.01699911565294</v>
      </c>
      <c r="F31" s="2415">
        <f t="shared" si="172"/>
        <v>244.38119540681129</v>
      </c>
      <c r="G31" s="3414"/>
      <c r="H31" s="2440">
        <v>3</v>
      </c>
      <c r="I31" s="2440">
        <v>1.65</v>
      </c>
      <c r="J31" s="2440">
        <v>0.92</v>
      </c>
      <c r="K31" s="2440">
        <v>1.88</v>
      </c>
      <c r="L31" s="2441">
        <v>1.26</v>
      </c>
      <c r="N31" s="2417">
        <f t="shared" si="170"/>
        <v>1.6500000000000001E-2</v>
      </c>
      <c r="O31" s="2442">
        <f t="shared" si="165"/>
        <v>9.1999999999999998E-3</v>
      </c>
      <c r="P31" s="2442">
        <f t="shared" si="165"/>
        <v>1.8799999999999997E-2</v>
      </c>
      <c r="Q31" s="2442">
        <f t="shared" si="165"/>
        <v>1.26E-2</v>
      </c>
      <c r="R31" s="2418"/>
      <c r="S31" s="2417"/>
      <c r="T31" s="2411"/>
      <c r="U31" s="2411"/>
      <c r="V31" s="2411"/>
      <c r="X31" s="2410">
        <f>ROUND(SUMPRODUCT(PRODUCT(1+N31:N$36)),4)</f>
        <v>1.0651999999999999</v>
      </c>
      <c r="Y31" s="2410">
        <f>ROUND(SUMPRODUCT(PRODUCT(1+O31:O$36)),4)</f>
        <v>1.0621</v>
      </c>
      <c r="Z31" s="2410">
        <f t="shared" si="0"/>
        <v>1.0621</v>
      </c>
      <c r="AA31" s="2410">
        <f>ROUND(SUMPRODUCT(PRODUCT(1+P31:P$36)),4)</f>
        <v>1.0668</v>
      </c>
      <c r="AB31" s="2410">
        <f>ROUND(SUMPRODUCT(PRODUCT(1+Q31:Q$36)),4)</f>
        <v>1.0636000000000001</v>
      </c>
      <c r="AD31" s="2411">
        <f>ROUND(AVERAGE(I31:I$37)/100,4)</f>
        <v>1.3299999999999999E-2</v>
      </c>
      <c r="AE31" s="2411">
        <f>ROUND(AVERAGE(J31:J$37)/100,4)</f>
        <v>1.2E-2</v>
      </c>
      <c r="AF31" s="2411">
        <f t="shared" si="1"/>
        <v>1.2E-2</v>
      </c>
      <c r="AG31" s="2411">
        <f>ROUND(AVERAGE(K31:K$37)/100,4)</f>
        <v>1.4E-2</v>
      </c>
      <c r="AH31" s="2411">
        <f>ROUND(AVERAGE(L31:L$37)/100,4)</f>
        <v>1.0800000000000001E-2</v>
      </c>
    </row>
    <row r="32" spans="1:34">
      <c r="A32" s="2414" t="s">
        <v>149</v>
      </c>
      <c r="B32" s="2415">
        <f t="shared" si="171"/>
        <v>322.34053690220776</v>
      </c>
      <c r="C32" s="2415">
        <f t="shared" si="171"/>
        <v>271.46160770422546</v>
      </c>
      <c r="D32" s="2415">
        <f t="shared" si="168"/>
        <v>271.46160770422546</v>
      </c>
      <c r="E32" s="2415">
        <f t="shared" si="172"/>
        <v>442.69434542172456</v>
      </c>
      <c r="F32" s="2415">
        <f t="shared" si="172"/>
        <v>241.34030753190925</v>
      </c>
      <c r="G32" s="3414"/>
      <c r="H32" s="2427">
        <v>2</v>
      </c>
      <c r="I32" s="2427">
        <v>0.77</v>
      </c>
      <c r="J32" s="2427">
        <v>0.69</v>
      </c>
      <c r="K32" s="2427">
        <v>0.8</v>
      </c>
      <c r="L32" s="2428">
        <v>0.88</v>
      </c>
      <c r="N32" s="2417">
        <f t="shared" si="170"/>
        <v>7.7000000000000002E-3</v>
      </c>
      <c r="O32" s="2442">
        <f t="shared" si="165"/>
        <v>6.8999999999999999E-3</v>
      </c>
      <c r="P32" s="2442">
        <f t="shared" si="165"/>
        <v>8.0000000000000002E-3</v>
      </c>
      <c r="Q32" s="2442">
        <f t="shared" si="165"/>
        <v>8.8000000000000005E-3</v>
      </c>
      <c r="R32" s="2418"/>
      <c r="S32" s="2417"/>
      <c r="T32" s="2411"/>
      <c r="U32" s="2411"/>
      <c r="V32" s="2411"/>
      <c r="X32" s="2410">
        <f>ROUND(SUMPRODUCT(PRODUCT(1+N32:N$36)),4)</f>
        <v>1.048</v>
      </c>
      <c r="Y32" s="2410">
        <f>ROUND(SUMPRODUCT(PRODUCT(1+O32:O$36)),4)</f>
        <v>1.0524</v>
      </c>
      <c r="Z32" s="2410">
        <f t="shared" si="0"/>
        <v>1.0524</v>
      </c>
      <c r="AA32" s="2410">
        <f>ROUND(SUMPRODUCT(PRODUCT(1+P32:P$36)),4)</f>
        <v>1.0470999999999999</v>
      </c>
      <c r="AB32" s="2410">
        <f>ROUND(SUMPRODUCT(PRODUCT(1+Q32:Q$36)),4)</f>
        <v>1.0504</v>
      </c>
      <c r="AD32" s="2411">
        <f>ROUND(AVERAGE(I32:I$37)/100,4)</f>
        <v>1.2800000000000001E-2</v>
      </c>
      <c r="AE32" s="2411">
        <f>ROUND(AVERAGE(J32:J$37)/100,4)</f>
        <v>1.2500000000000001E-2</v>
      </c>
      <c r="AF32" s="2411">
        <f t="shared" si="1"/>
        <v>1.2500000000000001E-2</v>
      </c>
      <c r="AG32" s="2411">
        <f>ROUND(AVERAGE(K32:K$37)/100,4)</f>
        <v>1.32E-2</v>
      </c>
      <c r="AH32" s="2411">
        <f>ROUND(AVERAGE(L32:L$37)/100,4)</f>
        <v>1.0500000000000001E-2</v>
      </c>
    </row>
    <row r="33" spans="1:34">
      <c r="A33" s="2414" t="s">
        <v>148</v>
      </c>
      <c r="B33" s="2415">
        <f t="shared" si="171"/>
        <v>319.87748030386797</v>
      </c>
      <c r="C33" s="2415">
        <f t="shared" si="171"/>
        <v>269.60135833173649</v>
      </c>
      <c r="D33" s="2415">
        <f t="shared" si="168"/>
        <v>269.60135833173649</v>
      </c>
      <c r="E33" s="2415">
        <f t="shared" si="172"/>
        <v>439.18089823583784</v>
      </c>
      <c r="F33" s="2415">
        <f t="shared" si="172"/>
        <v>239.23503918706311</v>
      </c>
      <c r="G33" s="3415"/>
      <c r="H33" s="2416">
        <v>1</v>
      </c>
      <c r="I33" s="2416">
        <v>0.51</v>
      </c>
      <c r="J33" s="2416">
        <v>0.54</v>
      </c>
      <c r="K33" s="2416">
        <v>0.48</v>
      </c>
      <c r="L33" s="2422">
        <v>0.93</v>
      </c>
      <c r="N33" s="2433">
        <f t="shared" si="170"/>
        <v>5.1000000000000004E-3</v>
      </c>
      <c r="O33" s="2434">
        <f t="shared" si="165"/>
        <v>5.4000000000000003E-3</v>
      </c>
      <c r="P33" s="2434">
        <f t="shared" si="165"/>
        <v>4.7999999999999996E-3</v>
      </c>
      <c r="Q33" s="2434">
        <f t="shared" si="165"/>
        <v>9.300000000000001E-3</v>
      </c>
      <c r="R33" s="2418"/>
      <c r="S33" s="2433">
        <f>B33/B34-1</f>
        <v>5.9040261127922822E-3</v>
      </c>
      <c r="T33" s="2434">
        <f>C33/C34-1</f>
        <v>5.9752176557332781E-3</v>
      </c>
      <c r="U33" s="2434">
        <f>E33/E34-1</f>
        <v>4.9906138119859556E-3</v>
      </c>
      <c r="V33" s="2434">
        <f>F33/F34-1</f>
        <v>9.4305450930933787E-3</v>
      </c>
      <c r="X33" s="2410">
        <f>ROUND(SUMPRODUCT(PRODUCT(1+N33:N$36)),4)</f>
        <v>1.0399</v>
      </c>
      <c r="Y33" s="2410">
        <f>ROUND(SUMPRODUCT(PRODUCT(1+O33:O$36)),4)</f>
        <v>1.0451999999999999</v>
      </c>
      <c r="Z33" s="2410">
        <f t="shared" si="0"/>
        <v>1.0451999999999999</v>
      </c>
      <c r="AA33" s="2410">
        <f>ROUND(SUMPRODUCT(PRODUCT(1+P33:P$36)),4)</f>
        <v>1.0387999999999999</v>
      </c>
      <c r="AB33" s="2410">
        <f>ROUND(SUMPRODUCT(PRODUCT(1+Q33:Q$36)),4)</f>
        <v>1.0411999999999999</v>
      </c>
      <c r="AD33" s="2411">
        <f>ROUND(AVERAGE(I33:I$37)/100,4)</f>
        <v>1.38E-2</v>
      </c>
      <c r="AE33" s="2411">
        <f>ROUND(AVERAGE(J33:J$37)/100,4)</f>
        <v>1.3599999999999999E-2</v>
      </c>
      <c r="AF33" s="2411">
        <f t="shared" si="1"/>
        <v>1.3599999999999999E-2</v>
      </c>
      <c r="AG33" s="2411">
        <f>ROUND(AVERAGE(K33:K$37)/100,4)</f>
        <v>1.4200000000000001E-2</v>
      </c>
      <c r="AH33" s="2411">
        <f>ROUND(AVERAGE(L33:L$37)/100,4)</f>
        <v>1.0800000000000001E-2</v>
      </c>
    </row>
    <row r="34" spans="1:34" ht="13.5" thickBot="1">
      <c r="A34" s="2414" t="s">
        <v>147</v>
      </c>
      <c r="B34" s="2443">
        <v>318</v>
      </c>
      <c r="C34" s="2443">
        <v>268</v>
      </c>
      <c r="D34" s="2443">
        <f t="shared" si="168"/>
        <v>268</v>
      </c>
      <c r="E34" s="2443">
        <v>437</v>
      </c>
      <c r="F34" s="2444">
        <v>237</v>
      </c>
      <c r="G34" s="3413">
        <v>2014</v>
      </c>
      <c r="H34" s="2435">
        <v>4</v>
      </c>
      <c r="I34" s="2435">
        <v>0.21</v>
      </c>
      <c r="J34" s="2435">
        <v>0.41</v>
      </c>
      <c r="K34" s="2435">
        <v>0.12</v>
      </c>
      <c r="L34" s="2436">
        <v>0.89</v>
      </c>
      <c r="N34" s="2417">
        <f t="shared" si="170"/>
        <v>2.0999999999999999E-3</v>
      </c>
      <c r="O34" s="2411">
        <f t="shared" si="165"/>
        <v>4.0999999999999995E-3</v>
      </c>
      <c r="P34" s="2411">
        <f t="shared" si="165"/>
        <v>1.1999999999999999E-3</v>
      </c>
      <c r="Q34" s="2411">
        <f t="shared" si="165"/>
        <v>8.8999999999999999E-3</v>
      </c>
      <c r="R34" s="2418"/>
      <c r="S34" s="2431"/>
      <c r="T34" s="2432"/>
      <c r="U34" s="2432"/>
      <c r="V34" s="2432"/>
      <c r="X34" s="2410">
        <f>ROUND(SUMPRODUCT(PRODUCT(1+N34:N$36)),4)</f>
        <v>1.0347</v>
      </c>
      <c r="Y34" s="2410">
        <f>ROUND(SUMPRODUCT(PRODUCT(1+O34:O$36)),4)</f>
        <v>1.0395000000000001</v>
      </c>
      <c r="Z34" s="2410">
        <f t="shared" si="0"/>
        <v>1.0395000000000001</v>
      </c>
      <c r="AA34" s="2410">
        <f>ROUND(SUMPRODUCT(PRODUCT(1+P34:P$36)),4)</f>
        <v>1.0338000000000001</v>
      </c>
      <c r="AB34" s="2410">
        <f>ROUND(SUMPRODUCT(PRODUCT(1+Q34:Q$36)),4)</f>
        <v>1.0316000000000001</v>
      </c>
      <c r="AD34" s="2411">
        <f>ROUND(AVERAGE(I34:I$37)/100,4)</f>
        <v>1.6E-2</v>
      </c>
      <c r="AE34" s="2411">
        <f>ROUND(AVERAGE(J34:J$37)/100,4)</f>
        <v>1.5599999999999999E-2</v>
      </c>
      <c r="AF34" s="2411">
        <f t="shared" si="1"/>
        <v>1.5599999999999999E-2</v>
      </c>
      <c r="AG34" s="2411">
        <f>ROUND(AVERAGE(K34:K$37)/100,4)</f>
        <v>1.66E-2</v>
      </c>
      <c r="AH34" s="2411">
        <f>ROUND(AVERAGE(L34:L$37)/100,4)</f>
        <v>1.12E-2</v>
      </c>
    </row>
    <row r="35" spans="1:34">
      <c r="A35" s="2414" t="s">
        <v>146</v>
      </c>
      <c r="B35" s="2415">
        <f t="shared" ref="B35:C37" si="173">B34/(1+N34)</f>
        <v>317.33359944117353</v>
      </c>
      <c r="C35" s="2415">
        <f t="shared" si="173"/>
        <v>266.90568668459315</v>
      </c>
      <c r="D35" s="2415">
        <f t="shared" si="168"/>
        <v>266.90568668459315</v>
      </c>
      <c r="E35" s="2415">
        <f t="shared" ref="E35:F37" si="174">E34/(1+P34)</f>
        <v>436.47622852576905</v>
      </c>
      <c r="F35" s="2415">
        <f t="shared" si="174"/>
        <v>234.90930716622066</v>
      </c>
      <c r="G35" s="3414"/>
      <c r="H35" s="2445">
        <v>3</v>
      </c>
      <c r="I35" s="2445">
        <v>0.83</v>
      </c>
      <c r="J35" s="2445">
        <v>1.47</v>
      </c>
      <c r="K35" s="2445">
        <v>0.65</v>
      </c>
      <c r="L35" s="2446">
        <v>0.72</v>
      </c>
      <c r="N35" s="2417">
        <f t="shared" si="170"/>
        <v>8.3000000000000001E-3</v>
      </c>
      <c r="O35" s="2411">
        <f t="shared" si="165"/>
        <v>1.47E-2</v>
      </c>
      <c r="P35" s="2411">
        <f t="shared" si="165"/>
        <v>6.5000000000000006E-3</v>
      </c>
      <c r="Q35" s="2411">
        <f t="shared" si="165"/>
        <v>7.1999999999999998E-3</v>
      </c>
      <c r="R35" s="2418"/>
      <c r="S35" s="2417"/>
      <c r="T35" s="2411"/>
      <c r="U35" s="2411"/>
      <c r="V35" s="2411"/>
      <c r="X35" s="2410">
        <f>ROUND(SUMPRODUCT(PRODUCT(1+N35:N$36)),4)</f>
        <v>1.0325</v>
      </c>
      <c r="Y35" s="2410">
        <f>ROUND(SUMPRODUCT(PRODUCT(1+O35:O$36)),4)</f>
        <v>1.0353000000000001</v>
      </c>
      <c r="Z35" s="2410">
        <f t="shared" ref="Z35:Z36" si="175">Y35</f>
        <v>1.0353000000000001</v>
      </c>
      <c r="AA35" s="2410">
        <f>ROUND(SUMPRODUCT(PRODUCT(1+P35:P$36)),4)</f>
        <v>1.0326</v>
      </c>
      <c r="AB35" s="2410">
        <f>ROUND(SUMPRODUCT(PRODUCT(1+Q35:Q$36)),4)</f>
        <v>1.0225</v>
      </c>
      <c r="AD35" s="2411">
        <f>ROUND(AVERAGE(I35:I$37)/100,4)</f>
        <v>2.07E-2</v>
      </c>
      <c r="AE35" s="2411">
        <f>ROUND(AVERAGE(J35:J$37)/100,4)</f>
        <v>1.95E-2</v>
      </c>
      <c r="AF35" s="2411">
        <f t="shared" si="1"/>
        <v>1.95E-2</v>
      </c>
      <c r="AG35" s="2411">
        <f>ROUND(AVERAGE(K35:K$37)/100,4)</f>
        <v>2.1700000000000001E-2</v>
      </c>
      <c r="AH35" s="2411">
        <f>ROUND(AVERAGE(L35:L$37)/100,4)</f>
        <v>1.2E-2</v>
      </c>
    </row>
    <row r="36" spans="1:34" ht="13.5" thickBot="1">
      <c r="A36" s="2414" t="s">
        <v>145</v>
      </c>
      <c r="B36" s="2415">
        <f t="shared" si="173"/>
        <v>314.72141172386546</v>
      </c>
      <c r="C36" s="2415">
        <f t="shared" si="173"/>
        <v>263.03901319069001</v>
      </c>
      <c r="D36" s="2415">
        <f t="shared" si="168"/>
        <v>263.03901319069001</v>
      </c>
      <c r="E36" s="2415">
        <f t="shared" si="174"/>
        <v>433.65745506782821</v>
      </c>
      <c r="F36" s="2415">
        <f t="shared" si="174"/>
        <v>233.23005080045735</v>
      </c>
      <c r="G36" s="3414"/>
      <c r="H36" s="2435">
        <v>2</v>
      </c>
      <c r="I36" s="2435">
        <v>2.4</v>
      </c>
      <c r="J36" s="2435">
        <v>2.0299999999999998</v>
      </c>
      <c r="K36" s="2435">
        <v>2.59</v>
      </c>
      <c r="L36" s="2436">
        <v>1.52</v>
      </c>
      <c r="N36" s="2417">
        <f t="shared" si="170"/>
        <v>2.4E-2</v>
      </c>
      <c r="O36" s="2411">
        <f t="shared" si="165"/>
        <v>2.0299999999999999E-2</v>
      </c>
      <c r="P36" s="2411">
        <f t="shared" si="165"/>
        <v>2.5899999999999999E-2</v>
      </c>
      <c r="Q36" s="2411">
        <f t="shared" si="165"/>
        <v>1.52E-2</v>
      </c>
      <c r="R36" s="2418"/>
      <c r="S36" s="2417"/>
      <c r="T36" s="2411"/>
      <c r="U36" s="2411"/>
      <c r="V36" s="2411"/>
      <c r="X36" s="2410">
        <f>1+N36</f>
        <v>1.024</v>
      </c>
      <c r="Y36" s="2410">
        <f>1+O36</f>
        <v>1.0203</v>
      </c>
      <c r="Z36" s="2410">
        <f t="shared" si="175"/>
        <v>1.0203</v>
      </c>
      <c r="AA36" s="2410">
        <f>1+P36</f>
        <v>1.0259</v>
      </c>
      <c r="AB36" s="2410">
        <f>1+Q36</f>
        <v>1.0152000000000001</v>
      </c>
      <c r="AD36" s="2411">
        <f>ROUND(AVERAGE(I36:I$37)/100,4)</f>
        <v>2.69E-2</v>
      </c>
      <c r="AE36" s="2411">
        <f>ROUND(AVERAGE(J36:J$37)/100,4)</f>
        <v>2.1899999999999999E-2</v>
      </c>
      <c r="AF36" s="2411">
        <f t="shared" ref="AF36" si="176">AE36</f>
        <v>2.1899999999999999E-2</v>
      </c>
      <c r="AG36" s="2411">
        <f>ROUND(AVERAGE(K36:K$37)/100,4)</f>
        <v>2.9399999999999999E-2</v>
      </c>
      <c r="AH36" s="2411">
        <f>ROUND(AVERAGE(L36:L$37)/100,4)</f>
        <v>1.44E-2</v>
      </c>
    </row>
    <row r="37" spans="1:34" s="2451" customFormat="1" ht="13.5" thickBot="1">
      <c r="A37" s="2447" t="s">
        <v>144</v>
      </c>
      <c r="B37" s="2448">
        <f t="shared" si="173"/>
        <v>307.34512863658733</v>
      </c>
      <c r="C37" s="2448">
        <f t="shared" si="173"/>
        <v>257.80556031626975</v>
      </c>
      <c r="D37" s="2448">
        <f t="shared" si="168"/>
        <v>257.80556031626975</v>
      </c>
      <c r="E37" s="2448">
        <f t="shared" si="174"/>
        <v>422.70928459677179</v>
      </c>
      <c r="F37" s="2448">
        <f t="shared" si="174"/>
        <v>229.73803270336617</v>
      </c>
      <c r="G37" s="3415"/>
      <c r="H37" s="2449">
        <v>1</v>
      </c>
      <c r="I37" s="2449">
        <v>2.97</v>
      </c>
      <c r="J37" s="2449">
        <v>2.34</v>
      </c>
      <c r="K37" s="2449">
        <v>3.28</v>
      </c>
      <c r="L37" s="2450">
        <v>1.36</v>
      </c>
      <c r="N37" s="2452">
        <f t="shared" si="170"/>
        <v>2.9700000000000001E-2</v>
      </c>
      <c r="O37" s="2453">
        <f t="shared" si="165"/>
        <v>2.3399999999999997E-2</v>
      </c>
      <c r="P37" s="2453">
        <f t="shared" si="165"/>
        <v>3.2799999999999996E-2</v>
      </c>
      <c r="Q37" s="2453">
        <f t="shared" si="165"/>
        <v>1.3600000000000001E-2</v>
      </c>
      <c r="R37" s="2454"/>
      <c r="S37" s="2455">
        <f>B37/B38-1</f>
        <v>2.7910129219355539E-2</v>
      </c>
      <c r="T37" s="2456">
        <f>C37/C38-1</f>
        <v>2.3037937762975247E-2</v>
      </c>
      <c r="U37" s="2456">
        <f>E37/E38-1</f>
        <v>3.3519033243940788E-2</v>
      </c>
      <c r="V37" s="2456">
        <f>F37/F38-1</f>
        <v>1.2061818076502862E-2</v>
      </c>
      <c r="W37" s="2457" t="s">
        <v>1129</v>
      </c>
      <c r="X37" s="2458">
        <v>1</v>
      </c>
      <c r="Y37" s="2458">
        <v>1</v>
      </c>
      <c r="Z37" s="2458">
        <v>1</v>
      </c>
      <c r="AA37" s="2458">
        <v>1</v>
      </c>
      <c r="AB37" s="2458">
        <v>1</v>
      </c>
      <c r="AD37" s="2453">
        <f>I37/100</f>
        <v>2.9700000000000001E-2</v>
      </c>
      <c r="AE37" s="2453">
        <f>J37/100</f>
        <v>2.3399999999999997E-2</v>
      </c>
      <c r="AF37" s="2453">
        <f>AE37</f>
        <v>2.3399999999999997E-2</v>
      </c>
      <c r="AG37" s="2453">
        <f>K37/100</f>
        <v>3.2799999999999996E-2</v>
      </c>
      <c r="AH37" s="2453">
        <f>L37/100</f>
        <v>1.3600000000000001E-2</v>
      </c>
    </row>
    <row r="38" spans="1:34" ht="13.5" thickBot="1">
      <c r="A38" s="2414" t="s">
        <v>1130</v>
      </c>
      <c r="B38" s="2429">
        <v>299</v>
      </c>
      <c r="C38" s="2429">
        <v>252</v>
      </c>
      <c r="D38" s="2429">
        <f t="shared" si="168"/>
        <v>252</v>
      </c>
      <c r="E38" s="2429">
        <v>409</v>
      </c>
      <c r="F38" s="2430">
        <v>227</v>
      </c>
      <c r="G38" s="3418">
        <v>2013</v>
      </c>
      <c r="H38" s="2459">
        <v>4</v>
      </c>
      <c r="I38" s="2459">
        <v>1.83</v>
      </c>
      <c r="J38" s="2459">
        <v>1.68</v>
      </c>
      <c r="K38" s="2459">
        <v>1.97</v>
      </c>
      <c r="L38" s="2460">
        <v>0.87</v>
      </c>
      <c r="N38" s="2437">
        <f t="shared" si="170"/>
        <v>1.83E-2</v>
      </c>
      <c r="O38" s="2438">
        <f t="shared" si="165"/>
        <v>1.6799999999999999E-2</v>
      </c>
      <c r="P38" s="2438">
        <f t="shared" si="165"/>
        <v>1.9699999999999999E-2</v>
      </c>
      <c r="Q38" s="2438">
        <f t="shared" si="165"/>
        <v>8.6999999999999994E-3</v>
      </c>
      <c r="R38" s="2418"/>
      <c r="S38" s="2431"/>
      <c r="T38" s="2432"/>
      <c r="U38" s="2432"/>
      <c r="V38" s="2432"/>
      <c r="X38" s="2432"/>
      <c r="Y38" s="2432"/>
      <c r="Z38" s="2432"/>
    </row>
    <row r="39" spans="1:34">
      <c r="A39" s="2414" t="s">
        <v>1131</v>
      </c>
      <c r="B39" s="2415">
        <f t="shared" ref="B39:C41" si="177">B38/(1+N38)</f>
        <v>293.62663262299913</v>
      </c>
      <c r="C39" s="2415">
        <f t="shared" si="177"/>
        <v>247.83634933123525</v>
      </c>
      <c r="D39" s="2415">
        <f t="shared" si="168"/>
        <v>247.83634933123525</v>
      </c>
      <c r="E39" s="2415">
        <f t="shared" ref="E39:F41" si="178">E38/(1+P38)</f>
        <v>401.09836226341076</v>
      </c>
      <c r="F39" s="2415">
        <f t="shared" si="178"/>
        <v>225.04213343908003</v>
      </c>
      <c r="G39" s="3419"/>
      <c r="H39" s="2440">
        <v>3</v>
      </c>
      <c r="I39" s="2440">
        <v>1.86</v>
      </c>
      <c r="J39" s="2440">
        <v>1.72</v>
      </c>
      <c r="K39" s="2440">
        <v>1.98</v>
      </c>
      <c r="L39" s="2441">
        <v>0.88</v>
      </c>
      <c r="N39" s="2417">
        <f t="shared" si="170"/>
        <v>1.8600000000000002E-2</v>
      </c>
      <c r="O39" s="2442">
        <f t="shared" si="165"/>
        <v>1.72E-2</v>
      </c>
      <c r="P39" s="2442">
        <f t="shared" si="165"/>
        <v>1.9799999999999998E-2</v>
      </c>
      <c r="Q39" s="2442">
        <f t="shared" si="165"/>
        <v>8.8000000000000005E-3</v>
      </c>
      <c r="R39" s="2418"/>
      <c r="S39" s="2417"/>
      <c r="T39" s="2411"/>
      <c r="U39" s="2411"/>
      <c r="V39" s="2411"/>
    </row>
    <row r="40" spans="1:34">
      <c r="A40" s="2414" t="s">
        <v>1132</v>
      </c>
      <c r="B40" s="2415">
        <f t="shared" si="177"/>
        <v>288.2649053828776</v>
      </c>
      <c r="C40" s="2415">
        <f t="shared" si="177"/>
        <v>243.64564425013293</v>
      </c>
      <c r="D40" s="2415">
        <f t="shared" si="168"/>
        <v>243.64564425013293</v>
      </c>
      <c r="E40" s="2415">
        <f t="shared" si="178"/>
        <v>393.31080825986544</v>
      </c>
      <c r="F40" s="2415">
        <f t="shared" si="178"/>
        <v>223.07903790551154</v>
      </c>
      <c r="G40" s="3419"/>
      <c r="H40" s="2427">
        <v>2</v>
      </c>
      <c r="I40" s="2427">
        <v>2.04</v>
      </c>
      <c r="J40" s="2427">
        <v>2.33</v>
      </c>
      <c r="K40" s="2427">
        <v>2.0699999999999998</v>
      </c>
      <c r="L40" s="2428">
        <v>0.69</v>
      </c>
      <c r="N40" s="2417">
        <f t="shared" si="170"/>
        <v>2.0400000000000001E-2</v>
      </c>
      <c r="O40" s="2442">
        <f t="shared" si="165"/>
        <v>2.3300000000000001E-2</v>
      </c>
      <c r="P40" s="2442">
        <f t="shared" si="165"/>
        <v>2.07E-2</v>
      </c>
      <c r="Q40" s="2442">
        <f t="shared" si="165"/>
        <v>6.8999999999999999E-3</v>
      </c>
      <c r="R40" s="2418"/>
      <c r="S40" s="2417"/>
      <c r="T40" s="2411"/>
      <c r="U40" s="2411"/>
      <c r="V40" s="2411"/>
      <c r="X40" s="2461"/>
      <c r="Y40" s="2462"/>
    </row>
    <row r="41" spans="1:34">
      <c r="A41" s="2414" t="s">
        <v>1133</v>
      </c>
      <c r="B41" s="2415">
        <f t="shared" si="177"/>
        <v>282.50186729015837</v>
      </c>
      <c r="C41" s="2415">
        <f t="shared" si="177"/>
        <v>238.09796174155468</v>
      </c>
      <c r="D41" s="2415">
        <f t="shared" si="168"/>
        <v>238.09796174155468</v>
      </c>
      <c r="E41" s="2415">
        <f t="shared" si="178"/>
        <v>385.33438646014054</v>
      </c>
      <c r="F41" s="2415">
        <f t="shared" si="178"/>
        <v>221.55034055567739</v>
      </c>
      <c r="G41" s="3420"/>
      <c r="H41" s="2416">
        <v>1</v>
      </c>
      <c r="I41" s="2416">
        <v>1.67</v>
      </c>
      <c r="J41" s="2416">
        <v>1.31</v>
      </c>
      <c r="K41" s="2416">
        <v>1.85</v>
      </c>
      <c r="L41" s="2422">
        <v>0.96</v>
      </c>
      <c r="N41" s="2433">
        <f t="shared" si="170"/>
        <v>1.67E-2</v>
      </c>
      <c r="O41" s="2434">
        <f t="shared" si="170"/>
        <v>1.3100000000000001E-2</v>
      </c>
      <c r="P41" s="2434">
        <f t="shared" si="170"/>
        <v>1.8500000000000003E-2</v>
      </c>
      <c r="Q41" s="2434">
        <f t="shared" si="170"/>
        <v>9.5999999999999992E-3</v>
      </c>
      <c r="R41" s="2418"/>
      <c r="S41" s="2433">
        <f>B41/B42-1</f>
        <v>1.6193767230785472E-2</v>
      </c>
      <c r="T41" s="2434">
        <f>C41/C42-1</f>
        <v>1.7512657015190891E-2</v>
      </c>
      <c r="U41" s="2434">
        <f>E41/E42-1</f>
        <v>1.6713420739157048E-2</v>
      </c>
      <c r="V41" s="2434">
        <f>F41/F42-1</f>
        <v>7.0470025258062563E-3</v>
      </c>
      <c r="X41" s="2463"/>
      <c r="Y41" s="2411"/>
      <c r="Z41" s="2411"/>
    </row>
    <row r="42" spans="1:34" ht="13.5" thickBot="1">
      <c r="A42" s="2414" t="s">
        <v>1134</v>
      </c>
      <c r="B42" s="2464">
        <v>278</v>
      </c>
      <c r="C42" s="2464">
        <v>234</v>
      </c>
      <c r="D42" s="2464">
        <f t="shared" si="168"/>
        <v>234</v>
      </c>
      <c r="E42" s="2464">
        <v>379</v>
      </c>
      <c r="F42" s="2465">
        <v>220</v>
      </c>
      <c r="G42" s="3413">
        <v>2012</v>
      </c>
      <c r="H42" s="2435">
        <v>4</v>
      </c>
      <c r="I42" s="2435">
        <v>0.91</v>
      </c>
      <c r="J42" s="2435">
        <v>0.68</v>
      </c>
      <c r="K42" s="2435">
        <v>0.98</v>
      </c>
      <c r="L42" s="2436">
        <v>0.9</v>
      </c>
      <c r="N42" s="2417">
        <f t="shared" si="170"/>
        <v>9.1000000000000004E-3</v>
      </c>
      <c r="O42" s="2411">
        <f t="shared" si="170"/>
        <v>6.8000000000000005E-3</v>
      </c>
      <c r="P42" s="2411">
        <f t="shared" si="170"/>
        <v>9.7999999999999997E-3</v>
      </c>
      <c r="Q42" s="2411">
        <f t="shared" si="170"/>
        <v>9.0000000000000011E-3</v>
      </c>
      <c r="R42" s="2418"/>
      <c r="S42" s="2431"/>
      <c r="T42" s="2432"/>
      <c r="U42" s="2432"/>
      <c r="V42" s="2432"/>
      <c r="X42" s="2432"/>
      <c r="Y42" s="2432"/>
      <c r="Z42" s="2432"/>
    </row>
    <row r="43" spans="1:34">
      <c r="A43" s="2414" t="s">
        <v>1135</v>
      </c>
      <c r="B43" s="2415">
        <f>B42/(1+N42)</f>
        <v>275.49301357645425</v>
      </c>
      <c r="C43" s="2415">
        <f>C42/(1+O42)</f>
        <v>232.41954707985698</v>
      </c>
      <c r="D43" s="2415">
        <f t="shared" si="168"/>
        <v>232.41954707985698</v>
      </c>
      <c r="E43" s="2415">
        <f t="shared" ref="E43:F45" si="179">E42/(1+P42)</f>
        <v>375.32184591008121</v>
      </c>
      <c r="F43" s="2415">
        <f t="shared" si="179"/>
        <v>218.03766105054513</v>
      </c>
      <c r="G43" s="3414"/>
      <c r="H43" s="2440">
        <v>3</v>
      </c>
      <c r="I43" s="2440">
        <v>0.09</v>
      </c>
      <c r="J43" s="2440">
        <v>0.28999999999999998</v>
      </c>
      <c r="K43" s="2440">
        <v>-0.01</v>
      </c>
      <c r="L43" s="2441">
        <v>0.57999999999999996</v>
      </c>
      <c r="N43" s="2417">
        <f t="shared" si="170"/>
        <v>8.9999999999999998E-4</v>
      </c>
      <c r="O43" s="2411">
        <f t="shared" si="170"/>
        <v>2.8999999999999998E-3</v>
      </c>
      <c r="P43" s="2411">
        <f t="shared" si="170"/>
        <v>-1E-4</v>
      </c>
      <c r="Q43" s="2411">
        <f t="shared" si="170"/>
        <v>5.7999999999999996E-3</v>
      </c>
      <c r="R43" s="2418"/>
      <c r="S43" s="2417"/>
      <c r="T43" s="2411"/>
      <c r="U43" s="2411"/>
      <c r="V43" s="2411"/>
    </row>
    <row r="44" spans="1:34">
      <c r="A44" s="2414" t="s">
        <v>1136</v>
      </c>
      <c r="B44" s="2415">
        <f>B43/(1+N43)</f>
        <v>275.24529281292263</v>
      </c>
      <c r="C44" s="2415">
        <f>C43/(1+O43)</f>
        <v>231.74747938962707</v>
      </c>
      <c r="D44" s="2415">
        <f t="shared" si="168"/>
        <v>231.74747938962707</v>
      </c>
      <c r="E44" s="2415">
        <f t="shared" si="179"/>
        <v>375.35938184826603</v>
      </c>
      <c r="F44" s="2415">
        <f t="shared" si="179"/>
        <v>216.78033510692495</v>
      </c>
      <c r="G44" s="3414"/>
      <c r="H44" s="2427">
        <v>2</v>
      </c>
      <c r="I44" s="2427">
        <v>0.02</v>
      </c>
      <c r="J44" s="2427">
        <v>0.12</v>
      </c>
      <c r="K44" s="2427">
        <v>-0.08</v>
      </c>
      <c r="L44" s="2428">
        <v>1.24</v>
      </c>
      <c r="N44" s="2417">
        <f t="shared" si="170"/>
        <v>2.0000000000000001E-4</v>
      </c>
      <c r="O44" s="2411">
        <f t="shared" si="170"/>
        <v>1.1999999999999999E-3</v>
      </c>
      <c r="P44" s="2411">
        <f t="shared" si="170"/>
        <v>-8.0000000000000004E-4</v>
      </c>
      <c r="Q44" s="2411">
        <f t="shared" si="170"/>
        <v>1.24E-2</v>
      </c>
      <c r="R44" s="2418"/>
      <c r="S44" s="2417"/>
      <c r="T44" s="2411"/>
      <c r="U44" s="2411"/>
      <c r="V44" s="2411"/>
    </row>
    <row r="45" spans="1:34" ht="13.5" thickBot="1">
      <c r="A45" s="2414" t="s">
        <v>1137</v>
      </c>
      <c r="B45" s="2415">
        <f>B44/(1+N44)</f>
        <v>275.19025476197027</v>
      </c>
      <c r="C45" s="2466">
        <v>232</v>
      </c>
      <c r="D45" s="2466">
        <f t="shared" si="168"/>
        <v>232</v>
      </c>
      <c r="E45" s="2415">
        <f t="shared" si="179"/>
        <v>375.65990977608692</v>
      </c>
      <c r="F45" s="2415">
        <f t="shared" si="179"/>
        <v>214.12518283971252</v>
      </c>
      <c r="G45" s="3415"/>
      <c r="H45" s="2416">
        <v>1</v>
      </c>
      <c r="I45" s="2416">
        <v>0.02</v>
      </c>
      <c r="J45" s="2416">
        <v>0.13</v>
      </c>
      <c r="K45" s="2416">
        <v>-0.04</v>
      </c>
      <c r="L45" s="2422">
        <v>0.46</v>
      </c>
      <c r="N45" s="2417">
        <f t="shared" si="170"/>
        <v>2.0000000000000001E-4</v>
      </c>
      <c r="O45" s="2411">
        <f t="shared" si="170"/>
        <v>1.2999999999999999E-3</v>
      </c>
      <c r="P45" s="2411">
        <f t="shared" si="170"/>
        <v>-4.0000000000000002E-4</v>
      </c>
      <c r="Q45" s="2411">
        <f t="shared" si="170"/>
        <v>4.5999999999999999E-3</v>
      </c>
      <c r="R45" s="2418"/>
      <c r="S45" s="2433">
        <f>B45/B46-1</f>
        <v>6.9183549807361189E-4</v>
      </c>
      <c r="T45" s="2434">
        <f>C45/C46-1</f>
        <v>0</v>
      </c>
      <c r="U45" s="2434">
        <f>E45/E46-1</f>
        <v>-9.0449527636460303E-4</v>
      </c>
      <c r="V45" s="2434">
        <f>F45/F46-1</f>
        <v>5.2825485432512753E-3</v>
      </c>
      <c r="X45" s="2411"/>
      <c r="Y45" s="2411"/>
      <c r="Z45" s="2411"/>
    </row>
    <row r="46" spans="1:34" ht="13.5" thickBot="1">
      <c r="A46" s="2414" t="s">
        <v>1138</v>
      </c>
      <c r="B46" s="2429">
        <v>275</v>
      </c>
      <c r="C46" s="2429">
        <v>232</v>
      </c>
      <c r="D46" s="2429">
        <f t="shared" si="168"/>
        <v>232</v>
      </c>
      <c r="E46" s="2429">
        <v>376</v>
      </c>
      <c r="F46" s="2430">
        <v>213</v>
      </c>
      <c r="G46" s="3413">
        <v>2011</v>
      </c>
      <c r="H46" s="2435">
        <v>4</v>
      </c>
      <c r="I46" s="2435">
        <v>-0.2</v>
      </c>
      <c r="J46" s="2435">
        <v>0.04</v>
      </c>
      <c r="K46" s="2435">
        <v>-0.34</v>
      </c>
      <c r="L46" s="2436">
        <v>0.46</v>
      </c>
      <c r="N46" s="2437">
        <f t="shared" si="170"/>
        <v>-2E-3</v>
      </c>
      <c r="O46" s="2438">
        <f t="shared" si="170"/>
        <v>4.0000000000000002E-4</v>
      </c>
      <c r="P46" s="2438">
        <f t="shared" si="170"/>
        <v>-3.4000000000000002E-3</v>
      </c>
      <c r="Q46" s="2438">
        <f t="shared" si="170"/>
        <v>4.5999999999999999E-3</v>
      </c>
      <c r="R46" s="2418"/>
      <c r="S46" s="2431"/>
      <c r="T46" s="2432"/>
      <c r="U46" s="2432"/>
      <c r="V46" s="2432"/>
      <c r="X46" s="2432"/>
      <c r="Y46" s="2432"/>
      <c r="Z46" s="2432"/>
    </row>
    <row r="47" spans="1:34" ht="409.6">
      <c r="A47" s="2414" t="s">
        <v>1139</v>
      </c>
      <c r="B47" s="2415">
        <f t="shared" ref="B47:C49" si="180">B46/(1+N46)</f>
        <v>275.55110220440883</v>
      </c>
      <c r="C47" s="2415">
        <f t="shared" si="180"/>
        <v>231.90723710515795</v>
      </c>
      <c r="D47" s="2415">
        <f t="shared" si="168"/>
        <v>231.90723710515795</v>
      </c>
      <c r="E47" s="2415">
        <f t="shared" ref="E47:F49" si="181">E46/(1+P46)</f>
        <v>377.28276138872161</v>
      </c>
      <c r="F47" s="2415">
        <f t="shared" si="181"/>
        <v>212.02468644236512</v>
      </c>
      <c r="G47" s="3414">
        <v>2011</v>
      </c>
      <c r="H47" s="2440">
        <v>3</v>
      </c>
      <c r="I47" s="2440">
        <v>0.13</v>
      </c>
      <c r="J47" s="2440">
        <v>0.75</v>
      </c>
      <c r="K47" s="2440">
        <v>-0.08</v>
      </c>
      <c r="L47" s="2441">
        <v>0.53</v>
      </c>
      <c r="N47" s="2417">
        <f t="shared" si="170"/>
        <v>1.2999999999999999E-3</v>
      </c>
      <c r="O47" s="2442">
        <f t="shared" si="170"/>
        <v>7.4999999999999997E-3</v>
      </c>
      <c r="P47" s="2442">
        <f t="shared" si="170"/>
        <v>-8.0000000000000004E-4</v>
      </c>
      <c r="Q47" s="2442">
        <f t="shared" si="170"/>
        <v>5.3E-3</v>
      </c>
      <c r="R47" s="2418"/>
      <c r="S47" s="2417"/>
      <c r="T47" s="2411"/>
      <c r="U47" s="2411"/>
      <c r="V47" s="2411"/>
    </row>
    <row r="48" spans="1:34">
      <c r="A48" s="2414" t="s">
        <v>1140</v>
      </c>
      <c r="B48" s="2415">
        <f t="shared" si="180"/>
        <v>275.19335084830601</v>
      </c>
      <c r="C48" s="2415">
        <f t="shared" si="180"/>
        <v>230.18088050139744</v>
      </c>
      <c r="D48" s="2415">
        <f t="shared" si="168"/>
        <v>230.18088050139744</v>
      </c>
      <c r="E48" s="2415">
        <f t="shared" si="181"/>
        <v>377.58482925212331</v>
      </c>
      <c r="F48" s="2415">
        <f t="shared" si="181"/>
        <v>210.90687997847917</v>
      </c>
      <c r="G48" s="3414">
        <v>2011</v>
      </c>
      <c r="H48" s="2427">
        <v>2</v>
      </c>
      <c r="I48" s="2427">
        <v>-0.4</v>
      </c>
      <c r="J48" s="2427">
        <v>0.17</v>
      </c>
      <c r="K48" s="2427">
        <v>-0.57999999999999996</v>
      </c>
      <c r="L48" s="2428">
        <v>-0.2</v>
      </c>
      <c r="N48" s="2417">
        <f t="shared" si="170"/>
        <v>-4.0000000000000001E-3</v>
      </c>
      <c r="O48" s="2442">
        <f t="shared" si="170"/>
        <v>1.7000000000000001E-3</v>
      </c>
      <c r="P48" s="2442">
        <f t="shared" si="170"/>
        <v>-5.7999999999999996E-3</v>
      </c>
      <c r="Q48" s="2442">
        <f t="shared" si="170"/>
        <v>-2E-3</v>
      </c>
      <c r="R48" s="2418"/>
      <c r="S48" s="2417"/>
      <c r="T48" s="2411"/>
      <c r="U48" s="2411"/>
      <c r="V48" s="2411"/>
    </row>
    <row r="49" spans="1:26" ht="13.5" thickBot="1">
      <c r="A49" s="2414" t="s">
        <v>1141</v>
      </c>
      <c r="B49" s="2415">
        <f t="shared" si="180"/>
        <v>276.29854502841971</v>
      </c>
      <c r="C49" s="2415">
        <f t="shared" si="180"/>
        <v>229.79023709833027</v>
      </c>
      <c r="D49" s="2415">
        <f t="shared" si="168"/>
        <v>229.79023709833027</v>
      </c>
      <c r="E49" s="2415">
        <f t="shared" si="181"/>
        <v>379.78759731655936</v>
      </c>
      <c r="F49" s="2415">
        <f t="shared" si="181"/>
        <v>211.32953905659235</v>
      </c>
      <c r="G49" s="3415">
        <v>2011</v>
      </c>
      <c r="H49" s="2416">
        <v>1</v>
      </c>
      <c r="I49" s="2416">
        <v>2.65</v>
      </c>
      <c r="J49" s="2416">
        <v>3.76</v>
      </c>
      <c r="K49" s="2416">
        <v>1.89</v>
      </c>
      <c r="L49" s="2422">
        <v>7.95</v>
      </c>
      <c r="N49" s="2433">
        <f t="shared" si="170"/>
        <v>2.6499999999999999E-2</v>
      </c>
      <c r="O49" s="2434">
        <f t="shared" si="170"/>
        <v>3.7599999999999995E-2</v>
      </c>
      <c r="P49" s="2434">
        <f t="shared" si="170"/>
        <v>1.89E-2</v>
      </c>
      <c r="Q49" s="2434">
        <f t="shared" si="170"/>
        <v>7.9500000000000001E-2</v>
      </c>
      <c r="R49" s="2418"/>
      <c r="S49" s="2433">
        <f>B49/B50-1</f>
        <v>2.713213765211786E-2</v>
      </c>
      <c r="T49" s="2434">
        <f>C49/C50-1</f>
        <v>3.9774828499231862E-2</v>
      </c>
      <c r="U49" s="2434">
        <f>E49/E50-1</f>
        <v>1.8197311840641772E-2</v>
      </c>
      <c r="V49" s="2434">
        <f>F49/F50-1</f>
        <v>7.8211933962205826E-2</v>
      </c>
      <c r="X49" s="2411"/>
      <c r="Y49" s="2411"/>
      <c r="Z49" s="2411"/>
    </row>
    <row r="50" spans="1:26" ht="13.5" thickBot="1">
      <c r="A50" s="2414" t="s">
        <v>1142</v>
      </c>
      <c r="B50" s="2429">
        <v>269</v>
      </c>
      <c r="C50" s="2429">
        <v>221</v>
      </c>
      <c r="D50" s="2429">
        <f t="shared" si="168"/>
        <v>221</v>
      </c>
      <c r="E50" s="2429">
        <v>373</v>
      </c>
      <c r="F50" s="2430">
        <v>196</v>
      </c>
      <c r="G50" s="3413">
        <v>2010</v>
      </c>
      <c r="H50" s="2435">
        <v>4</v>
      </c>
      <c r="I50" s="2435">
        <v>5.72</v>
      </c>
      <c r="J50" s="2435">
        <v>6.57</v>
      </c>
      <c r="K50" s="2435">
        <v>5.72</v>
      </c>
      <c r="L50" s="2436">
        <v>2.72</v>
      </c>
      <c r="N50" s="2417">
        <f t="shared" si="170"/>
        <v>5.7200000000000001E-2</v>
      </c>
      <c r="O50" s="2411">
        <f t="shared" si="170"/>
        <v>6.5700000000000008E-2</v>
      </c>
      <c r="P50" s="2411">
        <f t="shared" si="170"/>
        <v>5.7200000000000001E-2</v>
      </c>
      <c r="Q50" s="2411">
        <f t="shared" si="170"/>
        <v>2.7200000000000002E-2</v>
      </c>
      <c r="R50" s="2418"/>
      <c r="S50" s="2431"/>
      <c r="T50" s="2432"/>
      <c r="U50" s="2432"/>
      <c r="V50" s="2432"/>
      <c r="X50" s="2432"/>
      <c r="Y50" s="2432"/>
      <c r="Z50" s="2432"/>
    </row>
    <row r="51" spans="1:26">
      <c r="A51" s="2414" t="s">
        <v>1143</v>
      </c>
      <c r="B51" s="2415">
        <f t="shared" ref="B51:C53" si="182">B50/(1+N50)</f>
        <v>254.44570563753314</v>
      </c>
      <c r="C51" s="2415">
        <f t="shared" si="182"/>
        <v>207.37543398705074</v>
      </c>
      <c r="D51" s="2415">
        <f t="shared" si="168"/>
        <v>207.37543398705074</v>
      </c>
      <c r="E51" s="2415">
        <f t="shared" ref="E51:F53" si="183">E50/(1+P50)</f>
        <v>352.81876655315932</v>
      </c>
      <c r="F51" s="2415">
        <f t="shared" si="183"/>
        <v>190.809968847352</v>
      </c>
      <c r="G51" s="3414">
        <v>2010</v>
      </c>
      <c r="H51" s="2440">
        <v>3</v>
      </c>
      <c r="I51" s="2440">
        <v>4.7300000000000004</v>
      </c>
      <c r="J51" s="2440">
        <v>3.9</v>
      </c>
      <c r="K51" s="2440">
        <v>5.03</v>
      </c>
      <c r="L51" s="2441">
        <v>4.21</v>
      </c>
      <c r="N51" s="2417">
        <f t="shared" si="170"/>
        <v>4.7300000000000002E-2</v>
      </c>
      <c r="O51" s="2411">
        <f t="shared" si="170"/>
        <v>3.9E-2</v>
      </c>
      <c r="P51" s="2411">
        <f t="shared" si="170"/>
        <v>5.0300000000000004E-2</v>
      </c>
      <c r="Q51" s="2411">
        <f t="shared" si="170"/>
        <v>4.2099999999999999E-2</v>
      </c>
      <c r="R51" s="2418"/>
      <c r="S51" s="2417"/>
      <c r="T51" s="2411"/>
      <c r="U51" s="2411"/>
      <c r="V51" s="2411"/>
    </row>
    <row r="52" spans="1:26">
      <c r="A52" s="2414" t="s">
        <v>1144</v>
      </c>
      <c r="B52" s="2415">
        <f t="shared" si="182"/>
        <v>242.95398227588385</v>
      </c>
      <c r="C52" s="2415">
        <f t="shared" si="182"/>
        <v>199.59137053614126</v>
      </c>
      <c r="D52" s="2415">
        <f t="shared" si="168"/>
        <v>199.59137053614126</v>
      </c>
      <c r="E52" s="2415">
        <f t="shared" si="183"/>
        <v>335.92189522342125</v>
      </c>
      <c r="F52" s="2415">
        <f t="shared" si="183"/>
        <v>183.10139991109489</v>
      </c>
      <c r="G52" s="3414">
        <v>2010</v>
      </c>
      <c r="H52" s="2427">
        <v>2</v>
      </c>
      <c r="I52" s="2427">
        <v>4.6900000000000004</v>
      </c>
      <c r="J52" s="2427">
        <v>3.55</v>
      </c>
      <c r="K52" s="2427">
        <v>5.07</v>
      </c>
      <c r="L52" s="2428">
        <v>4.2300000000000004</v>
      </c>
      <c r="N52" s="2417">
        <f t="shared" si="170"/>
        <v>4.6900000000000004E-2</v>
      </c>
      <c r="O52" s="2411">
        <f t="shared" si="170"/>
        <v>3.5499999999999997E-2</v>
      </c>
      <c r="P52" s="2411">
        <f t="shared" si="170"/>
        <v>5.0700000000000002E-2</v>
      </c>
      <c r="Q52" s="2411">
        <f t="shared" si="170"/>
        <v>4.2300000000000004E-2</v>
      </c>
      <c r="R52" s="2418"/>
      <c r="S52" s="2417"/>
      <c r="T52" s="2411"/>
      <c r="U52" s="2411"/>
      <c r="V52" s="2411"/>
    </row>
    <row r="53" spans="1:26" ht="13.5" thickBot="1">
      <c r="A53" s="2414" t="s">
        <v>1145</v>
      </c>
      <c r="B53" s="2415">
        <f t="shared" si="182"/>
        <v>232.06990378821649</v>
      </c>
      <c r="C53" s="2415">
        <f t="shared" si="182"/>
        <v>192.74878854286936</v>
      </c>
      <c r="D53" s="2415">
        <f t="shared" si="168"/>
        <v>192.74878854286936</v>
      </c>
      <c r="E53" s="2415">
        <f t="shared" si="183"/>
        <v>319.71247284992984</v>
      </c>
      <c r="F53" s="2415">
        <f t="shared" si="183"/>
        <v>175.67053622862409</v>
      </c>
      <c r="G53" s="3415">
        <v>2010</v>
      </c>
      <c r="H53" s="2416">
        <v>1</v>
      </c>
      <c r="I53" s="2416">
        <v>5.4</v>
      </c>
      <c r="J53" s="2416">
        <v>3.2</v>
      </c>
      <c r="K53" s="2416">
        <v>6.16</v>
      </c>
      <c r="L53" s="2422">
        <v>4.51</v>
      </c>
      <c r="N53" s="2417">
        <f t="shared" si="170"/>
        <v>5.4000000000000006E-2</v>
      </c>
      <c r="O53" s="2411">
        <f t="shared" si="170"/>
        <v>3.2000000000000001E-2</v>
      </c>
      <c r="P53" s="2411">
        <f t="shared" si="170"/>
        <v>6.1600000000000002E-2</v>
      </c>
      <c r="Q53" s="2411">
        <f t="shared" si="170"/>
        <v>4.5100000000000001E-2</v>
      </c>
      <c r="R53" s="2418"/>
      <c r="S53" s="2433">
        <f>B53/B54-1</f>
        <v>5.4863199037347599E-2</v>
      </c>
      <c r="T53" s="2434">
        <f>C53/C54-1</f>
        <v>3.0742184721226584E-2</v>
      </c>
      <c r="U53" s="2434">
        <f>E53/E54-1</f>
        <v>6.2167683886810154E-2</v>
      </c>
      <c r="V53" s="2434">
        <f>F53/F54-1</f>
        <v>4.5657953741810031E-2</v>
      </c>
      <c r="X53" s="2411"/>
      <c r="Y53" s="2411"/>
      <c r="Z53" s="2411"/>
    </row>
    <row r="54" spans="1:26" ht="13.5" thickBot="1">
      <c r="A54" s="2414" t="s">
        <v>1146</v>
      </c>
      <c r="B54" s="2429">
        <v>220</v>
      </c>
      <c r="C54" s="2429">
        <v>187</v>
      </c>
      <c r="D54" s="2429">
        <f t="shared" si="168"/>
        <v>187</v>
      </c>
      <c r="E54" s="2429">
        <v>301</v>
      </c>
      <c r="F54" s="2430">
        <v>168</v>
      </c>
      <c r="G54" s="3413">
        <v>2009</v>
      </c>
      <c r="H54" s="2435">
        <v>4</v>
      </c>
      <c r="I54" s="2435">
        <v>2.2999999999999998</v>
      </c>
      <c r="J54" s="2435">
        <v>1.04</v>
      </c>
      <c r="K54" s="2435">
        <v>2.84</v>
      </c>
      <c r="L54" s="2436">
        <v>0.67</v>
      </c>
      <c r="N54" s="2437">
        <f t="shared" si="170"/>
        <v>2.3E-2</v>
      </c>
      <c r="O54" s="2438">
        <f t="shared" si="170"/>
        <v>1.04E-2</v>
      </c>
      <c r="P54" s="2438">
        <f t="shared" si="170"/>
        <v>2.8399999999999998E-2</v>
      </c>
      <c r="Q54" s="2438">
        <f t="shared" si="170"/>
        <v>6.7000000000000002E-3</v>
      </c>
      <c r="R54" s="2418"/>
      <c r="S54" s="2431"/>
      <c r="T54" s="2432"/>
      <c r="U54" s="2432"/>
      <c r="V54" s="2432"/>
      <c r="X54" s="2432"/>
      <c r="Y54" s="2432"/>
      <c r="Z54" s="2432"/>
    </row>
    <row r="55" spans="1:26">
      <c r="A55" s="2414" t="s">
        <v>1147</v>
      </c>
      <c r="B55" s="2415">
        <f t="shared" ref="B55:C57" si="184">B54/(1+N54)</f>
        <v>215.05376344086022</v>
      </c>
      <c r="C55" s="2415">
        <f t="shared" si="184"/>
        <v>185.0752177355503</v>
      </c>
      <c r="D55" s="2415">
        <f t="shared" si="168"/>
        <v>185.0752177355503</v>
      </c>
      <c r="E55" s="2415">
        <f t="shared" ref="E55:F57" si="185">E54/(1+P54)</f>
        <v>292.68767016725008</v>
      </c>
      <c r="F55" s="2415">
        <f t="shared" si="185"/>
        <v>166.88189132810174</v>
      </c>
      <c r="G55" s="3414">
        <v>2009</v>
      </c>
      <c r="H55" s="2440">
        <v>3</v>
      </c>
      <c r="I55" s="2440">
        <v>2.1</v>
      </c>
      <c r="J55" s="2440">
        <v>1.86</v>
      </c>
      <c r="K55" s="2440">
        <v>2.29</v>
      </c>
      <c r="L55" s="2441">
        <v>0.85</v>
      </c>
      <c r="N55" s="2417">
        <f t="shared" si="170"/>
        <v>2.1000000000000001E-2</v>
      </c>
      <c r="O55" s="2442">
        <f t="shared" si="170"/>
        <v>1.8600000000000002E-2</v>
      </c>
      <c r="P55" s="2442">
        <f t="shared" si="170"/>
        <v>2.29E-2</v>
      </c>
      <c r="Q55" s="2442">
        <f t="shared" si="170"/>
        <v>8.5000000000000006E-3</v>
      </c>
      <c r="R55" s="2418"/>
      <c r="S55" s="2417"/>
      <c r="T55" s="2411"/>
      <c r="U55" s="2411"/>
      <c r="V55" s="2411"/>
    </row>
    <row r="56" spans="1:26">
      <c r="A56" s="2414" t="s">
        <v>1148</v>
      </c>
      <c r="B56" s="2415">
        <f t="shared" si="184"/>
        <v>210.630522469011</v>
      </c>
      <c r="C56" s="2415">
        <f t="shared" si="184"/>
        <v>181.69567812247232</v>
      </c>
      <c r="D56" s="2415">
        <f t="shared" si="168"/>
        <v>181.69567812247232</v>
      </c>
      <c r="E56" s="2415">
        <f t="shared" si="185"/>
        <v>286.13517466736738</v>
      </c>
      <c r="F56" s="2415">
        <f t="shared" si="185"/>
        <v>165.47535084591149</v>
      </c>
      <c r="G56" s="3414">
        <v>2009</v>
      </c>
      <c r="H56" s="2427">
        <v>2</v>
      </c>
      <c r="I56" s="2427">
        <v>0.86</v>
      </c>
      <c r="J56" s="2427">
        <v>-1.1299999999999999</v>
      </c>
      <c r="K56" s="2427">
        <v>1.79</v>
      </c>
      <c r="L56" s="2428">
        <v>-2.0699999999999998</v>
      </c>
      <c r="N56" s="2417">
        <f t="shared" si="170"/>
        <v>8.6E-3</v>
      </c>
      <c r="O56" s="2442">
        <f t="shared" si="170"/>
        <v>-1.1299999999999999E-2</v>
      </c>
      <c r="P56" s="2442">
        <f t="shared" si="170"/>
        <v>1.7899999999999999E-2</v>
      </c>
      <c r="Q56" s="2442">
        <f t="shared" si="170"/>
        <v>-2.07E-2</v>
      </c>
      <c r="R56" s="2418"/>
      <c r="S56" s="2417"/>
      <c r="T56" s="2411"/>
      <c r="U56" s="2411"/>
      <c r="V56" s="2411"/>
    </row>
    <row r="57" spans="1:26">
      <c r="A57" s="2414" t="s">
        <v>1149</v>
      </c>
      <c r="B57" s="2415">
        <f t="shared" si="184"/>
        <v>208.83454537875372</v>
      </c>
      <c r="C57" s="2415">
        <f t="shared" si="184"/>
        <v>183.77230517090351</v>
      </c>
      <c r="D57" s="2415">
        <f t="shared" si="168"/>
        <v>183.77230517090351</v>
      </c>
      <c r="E57" s="2415">
        <f t="shared" si="185"/>
        <v>281.10342338870947</v>
      </c>
      <c r="F57" s="2415">
        <f t="shared" si="185"/>
        <v>168.97309388942256</v>
      </c>
      <c r="G57" s="3415">
        <v>2009</v>
      </c>
      <c r="H57" s="2416">
        <v>1</v>
      </c>
      <c r="I57" s="2416">
        <v>-2.64</v>
      </c>
      <c r="J57" s="2416">
        <v>-2.5299999999999998</v>
      </c>
      <c r="K57" s="2416">
        <v>-3.02</v>
      </c>
      <c r="L57" s="2422">
        <v>1.52</v>
      </c>
      <c r="N57" s="2433">
        <f t="shared" si="170"/>
        <v>-2.64E-2</v>
      </c>
      <c r="O57" s="2434">
        <f t="shared" si="170"/>
        <v>-2.53E-2</v>
      </c>
      <c r="P57" s="2434">
        <f t="shared" si="170"/>
        <v>-3.0200000000000001E-2</v>
      </c>
      <c r="Q57" s="2434">
        <f t="shared" si="170"/>
        <v>1.52E-2</v>
      </c>
      <c r="R57" s="2418"/>
      <c r="S57" s="2433">
        <f>B57/B58-1</f>
        <v>-2.4137638417038754E-2</v>
      </c>
      <c r="T57" s="2434">
        <f>C57/C58-1</f>
        <v>-2.248773845264096E-2</v>
      </c>
      <c r="U57" s="2434">
        <f>E57/E58-1</f>
        <v>-2.7323794502735366E-2</v>
      </c>
      <c r="V57" s="2434">
        <f>F57/F58-1</f>
        <v>1.7910204153148035E-2</v>
      </c>
      <c r="X57" s="2411"/>
      <c r="Y57" s="2411"/>
      <c r="Z57" s="2411"/>
    </row>
    <row r="58" spans="1:26" ht="13.5" thickBot="1">
      <c r="A58" s="2414" t="s">
        <v>1150</v>
      </c>
      <c r="B58" s="2464">
        <v>214</v>
      </c>
      <c r="C58" s="2464">
        <v>188</v>
      </c>
      <c r="D58" s="2464">
        <f t="shared" si="168"/>
        <v>188</v>
      </c>
      <c r="E58" s="2464">
        <v>289</v>
      </c>
      <c r="F58" s="2465">
        <v>166</v>
      </c>
      <c r="G58" s="3413">
        <v>2008</v>
      </c>
      <c r="H58" s="2435">
        <v>4</v>
      </c>
      <c r="I58" s="2435">
        <v>1.73</v>
      </c>
      <c r="J58" s="2435">
        <v>0.03</v>
      </c>
      <c r="K58" s="2435">
        <v>2.59</v>
      </c>
      <c r="L58" s="2436">
        <v>-1.66</v>
      </c>
      <c r="N58" s="2417">
        <f t="shared" si="170"/>
        <v>1.7299999999999999E-2</v>
      </c>
      <c r="O58" s="2411">
        <f t="shared" si="170"/>
        <v>2.9999999999999997E-4</v>
      </c>
      <c r="P58" s="2411">
        <f t="shared" si="170"/>
        <v>2.5899999999999999E-2</v>
      </c>
      <c r="Q58" s="2411">
        <f t="shared" si="170"/>
        <v>-1.66E-2</v>
      </c>
      <c r="R58" s="2418"/>
      <c r="S58" s="2431"/>
      <c r="T58" s="2432"/>
      <c r="U58" s="2432"/>
      <c r="V58" s="2432"/>
      <c r="X58" s="2432"/>
      <c r="Y58" s="2432"/>
      <c r="Z58" s="2432"/>
    </row>
    <row r="59" spans="1:26">
      <c r="A59" s="2414" t="s">
        <v>1151</v>
      </c>
      <c r="B59" s="2415">
        <f t="shared" ref="B59:C61" si="186">B58/(1+N58)</f>
        <v>210.36075887152265</v>
      </c>
      <c r="C59" s="2415">
        <f t="shared" si="186"/>
        <v>187.94361691492554</v>
      </c>
      <c r="D59" s="2415">
        <f t="shared" si="168"/>
        <v>187.94361691492554</v>
      </c>
      <c r="E59" s="2415">
        <f t="shared" ref="E59:F61" si="187">E58/(1+P58)</f>
        <v>281.70386977288234</v>
      </c>
      <c r="F59" s="2415">
        <f t="shared" si="187"/>
        <v>168.80211511083994</v>
      </c>
      <c r="G59" s="3414">
        <v>2008</v>
      </c>
      <c r="H59" s="2440">
        <v>3</v>
      </c>
      <c r="I59" s="2440">
        <v>1.96</v>
      </c>
      <c r="J59" s="2440">
        <v>2.36</v>
      </c>
      <c r="K59" s="2440">
        <v>1.82</v>
      </c>
      <c r="L59" s="2441">
        <v>2.2200000000000002</v>
      </c>
      <c r="N59" s="2417">
        <f t="shared" si="170"/>
        <v>1.9599999999999999E-2</v>
      </c>
      <c r="O59" s="2411">
        <f t="shared" si="170"/>
        <v>2.3599999999999999E-2</v>
      </c>
      <c r="P59" s="2411">
        <f t="shared" si="170"/>
        <v>1.8200000000000001E-2</v>
      </c>
      <c r="Q59" s="2411">
        <f t="shared" si="170"/>
        <v>2.2200000000000001E-2</v>
      </c>
      <c r="R59" s="2418"/>
      <c r="S59" s="2417"/>
      <c r="T59" s="2411"/>
      <c r="U59" s="2411"/>
      <c r="V59" s="2411"/>
    </row>
    <row r="60" spans="1:26">
      <c r="A60" s="2414" t="s">
        <v>1152</v>
      </c>
      <c r="B60" s="2415">
        <f t="shared" si="186"/>
        <v>206.31694671589116</v>
      </c>
      <c r="C60" s="2415">
        <f t="shared" si="186"/>
        <v>183.61041121036101</v>
      </c>
      <c r="D60" s="2415">
        <f t="shared" si="168"/>
        <v>183.61041121036101</v>
      </c>
      <c r="E60" s="2415">
        <f t="shared" si="187"/>
        <v>276.66850301795557</v>
      </c>
      <c r="F60" s="2415">
        <f t="shared" si="187"/>
        <v>165.1360938278614</v>
      </c>
      <c r="G60" s="3414">
        <v>2008</v>
      </c>
      <c r="H60" s="2427">
        <v>2</v>
      </c>
      <c r="I60" s="2427">
        <v>4.93</v>
      </c>
      <c r="J60" s="2427">
        <v>7.38</v>
      </c>
      <c r="K60" s="2427">
        <v>3.98</v>
      </c>
      <c r="L60" s="2428">
        <v>6.86</v>
      </c>
      <c r="N60" s="2417">
        <f t="shared" si="170"/>
        <v>4.9299999999999997E-2</v>
      </c>
      <c r="O60" s="2411">
        <f t="shared" si="170"/>
        <v>7.3800000000000004E-2</v>
      </c>
      <c r="P60" s="2411">
        <f t="shared" si="170"/>
        <v>3.9800000000000002E-2</v>
      </c>
      <c r="Q60" s="2411">
        <f t="shared" si="170"/>
        <v>6.8600000000000008E-2</v>
      </c>
      <c r="R60" s="2418"/>
      <c r="S60" s="2417"/>
      <c r="T60" s="2411"/>
      <c r="U60" s="2411"/>
      <c r="V60" s="2411"/>
    </row>
    <row r="61" spans="1:26" s="2470" customFormat="1" ht="13.5" thickBot="1">
      <c r="A61" s="2414" t="s">
        <v>1153</v>
      </c>
      <c r="B61" s="2467">
        <f t="shared" si="186"/>
        <v>196.62341248059772</v>
      </c>
      <c r="C61" s="2467">
        <f t="shared" si="186"/>
        <v>170.99125648199012</v>
      </c>
      <c r="D61" s="2467">
        <f t="shared" si="168"/>
        <v>170.99125648199012</v>
      </c>
      <c r="E61" s="2467">
        <f t="shared" si="187"/>
        <v>266.07857570490052</v>
      </c>
      <c r="F61" s="2467">
        <f t="shared" si="187"/>
        <v>154.53499328828505</v>
      </c>
      <c r="G61" s="3415">
        <v>2008</v>
      </c>
      <c r="H61" s="2468">
        <v>1</v>
      </c>
      <c r="I61" s="2468">
        <v>4.1399999999999997</v>
      </c>
      <c r="J61" s="2468">
        <v>3.45</v>
      </c>
      <c r="K61" s="2468">
        <v>4.95</v>
      </c>
      <c r="L61" s="2469">
        <v>4.82</v>
      </c>
      <c r="N61" s="2471">
        <f t="shared" si="170"/>
        <v>4.1399999999999999E-2</v>
      </c>
      <c r="O61" s="2472">
        <f t="shared" si="170"/>
        <v>3.4500000000000003E-2</v>
      </c>
      <c r="P61" s="2472">
        <f t="shared" si="170"/>
        <v>4.9500000000000002E-2</v>
      </c>
      <c r="Q61" s="2472">
        <f t="shared" si="170"/>
        <v>4.82E-2</v>
      </c>
      <c r="R61" s="2473"/>
      <c r="S61" s="2471">
        <f>B61/B62-1</f>
        <v>4.5869215322328349E-2</v>
      </c>
      <c r="T61" s="2472">
        <f>C61/C62-1</f>
        <v>3.6310645345394743E-2</v>
      </c>
      <c r="U61" s="2472">
        <f>E61/E62-1</f>
        <v>4.7553447657088688E-2</v>
      </c>
      <c r="V61" s="2472">
        <f>F61/F62-1</f>
        <v>4.4155360055980086E-2</v>
      </c>
      <c r="X61" s="2472"/>
      <c r="Y61" s="2472"/>
      <c r="Z61" s="2472"/>
    </row>
    <row r="62" spans="1:26" ht="13.5" thickBot="1">
      <c r="A62" s="2414" t="s">
        <v>1154</v>
      </c>
      <c r="B62" s="2429">
        <v>188</v>
      </c>
      <c r="C62" s="2429">
        <v>165</v>
      </c>
      <c r="D62" s="2429">
        <f t="shared" si="168"/>
        <v>165</v>
      </c>
      <c r="E62" s="2429">
        <v>254</v>
      </c>
      <c r="F62" s="2430">
        <v>148</v>
      </c>
      <c r="G62" s="3413">
        <v>2007</v>
      </c>
      <c r="H62" s="2474">
        <v>4</v>
      </c>
      <c r="I62" s="2474">
        <v>5.51</v>
      </c>
      <c r="J62" s="2474">
        <v>4.8899999999999997</v>
      </c>
      <c r="K62" s="2474">
        <v>6.43</v>
      </c>
      <c r="L62" s="2475">
        <v>5.36</v>
      </c>
      <c r="N62" s="2476">
        <f t="shared" ref="N62:O65" si="188">B62/B63-1</f>
        <v>4.1339718365245526E-2</v>
      </c>
      <c r="O62" s="2477">
        <f t="shared" si="188"/>
        <v>4.0324492593776018E-2</v>
      </c>
      <c r="P62" s="2477">
        <f t="shared" ref="P62:Q65" si="189">E62/E63-1</f>
        <v>6.1625555347990968E-2</v>
      </c>
      <c r="Q62" s="2477">
        <f t="shared" si="189"/>
        <v>4.6757569250590603E-2</v>
      </c>
      <c r="R62" s="2418"/>
      <c r="S62" s="2431"/>
      <c r="T62" s="2432"/>
      <c r="U62" s="2432"/>
      <c r="V62" s="2432"/>
      <c r="X62" s="2432"/>
      <c r="Y62" s="2432"/>
      <c r="Z62" s="2432"/>
    </row>
    <row r="63" spans="1:26">
      <c r="A63" s="2414" t="s">
        <v>1155</v>
      </c>
      <c r="B63" s="2415">
        <f t="shared" ref="B63:C65" si="190">B64+(B$62-B$66)*I63/SUM(I$62:I$65)</f>
        <v>180.5366651097618</v>
      </c>
      <c r="C63" s="2415">
        <f t="shared" si="190"/>
        <v>158.60435967302453</v>
      </c>
      <c r="D63" s="2415">
        <f t="shared" si="168"/>
        <v>158.60435967302453</v>
      </c>
      <c r="E63" s="2415">
        <f t="shared" ref="E63:F65" si="191">E64+(E$62-E$66)*K63/SUM(K$62:K$65)</f>
        <v>239.25573260785075</v>
      </c>
      <c r="F63" s="2415">
        <f t="shared" si="191"/>
        <v>141.38899430740037</v>
      </c>
      <c r="G63" s="3414">
        <v>2007</v>
      </c>
      <c r="H63" s="2440">
        <v>3</v>
      </c>
      <c r="I63" s="2440">
        <v>8.65</v>
      </c>
      <c r="J63" s="2440">
        <v>8.06</v>
      </c>
      <c r="K63" s="2440">
        <v>9.94</v>
      </c>
      <c r="L63" s="2441">
        <v>5.8</v>
      </c>
      <c r="N63" s="2476">
        <f t="shared" si="188"/>
        <v>6.940217571740015E-2</v>
      </c>
      <c r="O63" s="2477">
        <f t="shared" si="188"/>
        <v>7.1197482471153428E-2</v>
      </c>
      <c r="P63" s="2477">
        <f t="shared" si="189"/>
        <v>0.10529679922579582</v>
      </c>
      <c r="Q63" s="2477">
        <f t="shared" si="189"/>
        <v>5.3292245059512133E-2</v>
      </c>
      <c r="R63" s="2418"/>
      <c r="S63" s="2417"/>
      <c r="T63" s="2411"/>
      <c r="U63" s="2411"/>
      <c r="V63" s="2411"/>
      <c r="X63" s="2478"/>
      <c r="Y63" s="2478"/>
      <c r="Z63" s="2478"/>
    </row>
    <row r="64" spans="1:26">
      <c r="A64" s="2414" t="s">
        <v>1156</v>
      </c>
      <c r="B64" s="2415">
        <f t="shared" si="190"/>
        <v>168.82017748715555</v>
      </c>
      <c r="C64" s="2415">
        <f t="shared" si="190"/>
        <v>148.06267029972753</v>
      </c>
      <c r="D64" s="2415">
        <f t="shared" si="168"/>
        <v>148.06267029972753</v>
      </c>
      <c r="E64" s="2415">
        <f t="shared" si="191"/>
        <v>216.46288379323747</v>
      </c>
      <c r="F64" s="2415">
        <f t="shared" si="191"/>
        <v>134.23529411764704</v>
      </c>
      <c r="G64" s="3414">
        <v>2007</v>
      </c>
      <c r="H64" s="2427">
        <v>2</v>
      </c>
      <c r="I64" s="2427">
        <v>3.67</v>
      </c>
      <c r="J64" s="2427">
        <v>2.3199999999999998</v>
      </c>
      <c r="K64" s="2427">
        <v>5.0199999999999996</v>
      </c>
      <c r="L64" s="2428">
        <v>6.71</v>
      </c>
      <c r="N64" s="2476">
        <f t="shared" si="188"/>
        <v>3.0339138143848032E-2</v>
      </c>
      <c r="O64" s="2477">
        <f t="shared" si="188"/>
        <v>2.0922341588790472E-2</v>
      </c>
      <c r="P64" s="2477">
        <f t="shared" si="189"/>
        <v>5.6164796592717003E-2</v>
      </c>
      <c r="Q64" s="2477">
        <f t="shared" si="189"/>
        <v>6.5704536723887319E-2</v>
      </c>
      <c r="R64" s="2418"/>
      <c r="S64" s="2417"/>
      <c r="T64" s="2411"/>
      <c r="U64" s="2411"/>
      <c r="V64" s="2411"/>
      <c r="X64" s="2478"/>
      <c r="Y64" s="2478"/>
      <c r="Z64" s="2478"/>
    </row>
    <row r="65" spans="1:26">
      <c r="A65" s="2414" t="s">
        <v>1157</v>
      </c>
      <c r="B65" s="2415">
        <f t="shared" si="190"/>
        <v>163.84913591779542</v>
      </c>
      <c r="C65" s="2415">
        <f t="shared" si="190"/>
        <v>145.0283378746594</v>
      </c>
      <c r="D65" s="2415">
        <f t="shared" si="168"/>
        <v>145.0283378746594</v>
      </c>
      <c r="E65" s="2415">
        <f t="shared" si="191"/>
        <v>204.95180722891567</v>
      </c>
      <c r="F65" s="2415">
        <f t="shared" si="191"/>
        <v>125.95920303605313</v>
      </c>
      <c r="G65" s="3415">
        <v>2007</v>
      </c>
      <c r="H65" s="2416">
        <v>1</v>
      </c>
      <c r="I65" s="2416">
        <v>3.58</v>
      </c>
      <c r="J65" s="2416">
        <v>3.08</v>
      </c>
      <c r="K65" s="2416">
        <v>4.34</v>
      </c>
      <c r="L65" s="2422">
        <v>3.21</v>
      </c>
      <c r="N65" s="2479">
        <f t="shared" si="188"/>
        <v>3.0497710174814063E-2</v>
      </c>
      <c r="O65" s="2480">
        <f t="shared" si="188"/>
        <v>2.8569772160704998E-2</v>
      </c>
      <c r="P65" s="2480">
        <f t="shared" si="189"/>
        <v>5.1034908866234296E-2</v>
      </c>
      <c r="Q65" s="2480">
        <f t="shared" si="189"/>
        <v>3.245248390207478E-2</v>
      </c>
      <c r="R65" s="2418"/>
      <c r="S65" s="2433">
        <f>B65/B66-1</f>
        <v>3.0497710174814063E-2</v>
      </c>
      <c r="T65" s="2434">
        <f>C65/C66-1</f>
        <v>2.8569772160704998E-2</v>
      </c>
      <c r="U65" s="2434">
        <f>E65/E66-1</f>
        <v>5.1034908866234296E-2</v>
      </c>
      <c r="V65" s="2434">
        <f>F65/F66-1</f>
        <v>3.245248390207478E-2</v>
      </c>
      <c r="X65" s="2478"/>
      <c r="Y65" s="2478"/>
      <c r="Z65" s="2478"/>
    </row>
    <row r="66" spans="1:26" ht="13.5" thickBot="1">
      <c r="A66" s="2414" t="s">
        <v>1158</v>
      </c>
      <c r="B66" s="2443">
        <v>159</v>
      </c>
      <c r="C66" s="2443">
        <v>141</v>
      </c>
      <c r="D66" s="2443">
        <f t="shared" si="168"/>
        <v>141</v>
      </c>
      <c r="E66" s="2443">
        <v>195</v>
      </c>
      <c r="F66" s="2444">
        <v>122</v>
      </c>
      <c r="G66" s="3413">
        <v>2006</v>
      </c>
      <c r="H66" s="2435">
        <v>4</v>
      </c>
      <c r="I66" s="2435">
        <v>3.79</v>
      </c>
      <c r="J66" s="2435">
        <v>2.21</v>
      </c>
      <c r="K66" s="2435">
        <v>5.65</v>
      </c>
      <c r="L66" s="2436">
        <v>5.41</v>
      </c>
      <c r="N66" s="2476">
        <f t="shared" ref="N66:O69" si="192">I66/SUM(I$66:I$69)*(B$66/B$70-1)</f>
        <v>7.245466462748526E-2</v>
      </c>
      <c r="O66" s="2477">
        <f t="shared" si="192"/>
        <v>2.3237230038062766E-2</v>
      </c>
      <c r="P66" s="2477">
        <f t="shared" ref="P66:Q69" si="193">K66/SUM(K$66:K$69)*(E$66/E$70-1)</f>
        <v>0.16146893866323722</v>
      </c>
      <c r="Q66" s="2477">
        <f t="shared" si="193"/>
        <v>5.0755230321793784E-2</v>
      </c>
      <c r="R66" s="2418"/>
      <c r="S66" s="2431"/>
      <c r="T66" s="2432"/>
      <c r="U66" s="2432"/>
      <c r="V66" s="2432"/>
      <c r="X66" s="2478"/>
      <c r="Y66" s="2478"/>
      <c r="Z66" s="2478"/>
    </row>
    <row r="67" spans="1:26">
      <c r="A67" s="2414" t="s">
        <v>1159</v>
      </c>
      <c r="B67" s="2415">
        <f t="shared" ref="B67:C69" si="194">B68+(B$66-B$70)*I67/SUM(I$66:I$69)</f>
        <v>149.00125628140702</v>
      </c>
      <c r="C67" s="2415">
        <f t="shared" si="194"/>
        <v>137.95592286501378</v>
      </c>
      <c r="D67" s="2415">
        <f t="shared" si="168"/>
        <v>137.95592286501378</v>
      </c>
      <c r="E67" s="2415">
        <f t="shared" ref="E67:F69" si="195">E68+(E$66-E$70)*K67/SUM(K$66:K$69)</f>
        <v>169.97231450719823</v>
      </c>
      <c r="F67" s="2415">
        <f t="shared" si="195"/>
        <v>116.21390374331551</v>
      </c>
      <c r="G67" s="3414">
        <v>2006</v>
      </c>
      <c r="H67" s="2440">
        <v>3</v>
      </c>
      <c r="I67" s="2440">
        <v>0.92</v>
      </c>
      <c r="J67" s="2440">
        <v>1.08</v>
      </c>
      <c r="K67" s="2440">
        <v>0.73</v>
      </c>
      <c r="L67" s="2441">
        <v>1.08</v>
      </c>
      <c r="N67" s="2476">
        <f t="shared" si="192"/>
        <v>1.7587939698492462E-2</v>
      </c>
      <c r="O67" s="2477">
        <f t="shared" si="192"/>
        <v>1.1355750425840628E-2</v>
      </c>
      <c r="P67" s="2477">
        <f t="shared" si="193"/>
        <v>2.0862358446754544E-2</v>
      </c>
      <c r="Q67" s="2477">
        <f t="shared" si="193"/>
        <v>1.0132282578103011E-2</v>
      </c>
      <c r="R67" s="2418"/>
      <c r="S67" s="2417"/>
      <c r="T67" s="2411"/>
      <c r="U67" s="2411"/>
      <c r="V67" s="2411"/>
      <c r="X67" s="2478"/>
      <c r="Y67" s="2478"/>
      <c r="Z67" s="2478"/>
    </row>
    <row r="68" spans="1:26">
      <c r="A68" s="2414" t="s">
        <v>1160</v>
      </c>
      <c r="B68" s="2415">
        <f t="shared" si="194"/>
        <v>146.57412060301507</v>
      </c>
      <c r="C68" s="2415">
        <f t="shared" si="194"/>
        <v>136.46831955922866</v>
      </c>
      <c r="D68" s="2415">
        <f t="shared" si="168"/>
        <v>136.46831955922866</v>
      </c>
      <c r="E68" s="2415">
        <f t="shared" si="195"/>
        <v>166.73864894795128</v>
      </c>
      <c r="F68" s="2415">
        <f t="shared" si="195"/>
        <v>115.05882352941177</v>
      </c>
      <c r="G68" s="3414">
        <v>2006</v>
      </c>
      <c r="H68" s="2427">
        <v>2</v>
      </c>
      <c r="I68" s="2427">
        <v>0.96</v>
      </c>
      <c r="J68" s="2427">
        <v>0.25</v>
      </c>
      <c r="K68" s="2427">
        <v>1.9</v>
      </c>
      <c r="L68" s="2428">
        <v>0.95</v>
      </c>
      <c r="N68" s="2476">
        <f t="shared" si="192"/>
        <v>1.8352632728861701E-2</v>
      </c>
      <c r="O68" s="2477">
        <f t="shared" si="192"/>
        <v>2.6286459319075526E-3</v>
      </c>
      <c r="P68" s="2477">
        <f t="shared" si="193"/>
        <v>5.4299289107991269E-2</v>
      </c>
      <c r="Q68" s="2477">
        <f t="shared" si="193"/>
        <v>8.9126559714794995E-3</v>
      </c>
      <c r="R68" s="2418"/>
      <c r="S68" s="2417"/>
      <c r="T68" s="2411"/>
      <c r="U68" s="2411"/>
      <c r="V68" s="2411"/>
      <c r="X68" s="2478"/>
      <c r="Y68" s="2478"/>
      <c r="Z68" s="2478"/>
    </row>
    <row r="69" spans="1:26">
      <c r="A69" s="2414" t="s">
        <v>1161</v>
      </c>
      <c r="B69" s="2415">
        <f t="shared" si="194"/>
        <v>144.04145728643215</v>
      </c>
      <c r="C69" s="2415">
        <f t="shared" si="194"/>
        <v>136.12396694214877</v>
      </c>
      <c r="D69" s="2415">
        <f t="shared" si="168"/>
        <v>136.12396694214877</v>
      </c>
      <c r="E69" s="2415">
        <f t="shared" si="195"/>
        <v>158.32225913621264</v>
      </c>
      <c r="F69" s="2415">
        <f t="shared" si="195"/>
        <v>114.04278074866311</v>
      </c>
      <c r="G69" s="3415">
        <v>2006</v>
      </c>
      <c r="H69" s="2416">
        <v>1</v>
      </c>
      <c r="I69" s="2416">
        <v>2.29</v>
      </c>
      <c r="J69" s="2416">
        <v>3.72</v>
      </c>
      <c r="K69" s="2416">
        <v>0.75</v>
      </c>
      <c r="L69" s="2422">
        <v>0.04</v>
      </c>
      <c r="N69" s="2479">
        <f t="shared" si="192"/>
        <v>4.3778675988638847E-2</v>
      </c>
      <c r="O69" s="2480">
        <f t="shared" si="192"/>
        <v>3.9114251466784385E-2</v>
      </c>
      <c r="P69" s="2480">
        <f t="shared" si="193"/>
        <v>2.1433929911049188E-2</v>
      </c>
      <c r="Q69" s="2480">
        <f t="shared" si="193"/>
        <v>3.7526972511492629E-4</v>
      </c>
      <c r="R69" s="2418"/>
      <c r="S69" s="2433">
        <f>B69/B70-1</f>
        <v>4.3778675988638716E-2</v>
      </c>
      <c r="T69" s="2434">
        <f>C69/C70-1</f>
        <v>3.91142514667846E-2</v>
      </c>
      <c r="U69" s="2434">
        <f>E69/E70-1</f>
        <v>2.143392991104931E-2</v>
      </c>
      <c r="V69" s="2434">
        <f>F69/F70-1</f>
        <v>3.7526972511492396E-4</v>
      </c>
      <c r="X69" s="2478"/>
      <c r="Y69" s="2478"/>
      <c r="Z69" s="2478"/>
    </row>
    <row r="70" spans="1:26" ht="13.5" thickBot="1">
      <c r="A70" s="2414" t="s">
        <v>1162</v>
      </c>
      <c r="B70" s="2443">
        <v>138</v>
      </c>
      <c r="C70" s="2443">
        <v>131</v>
      </c>
      <c r="D70" s="2443">
        <f t="shared" si="168"/>
        <v>131</v>
      </c>
      <c r="E70" s="2443">
        <v>155</v>
      </c>
      <c r="F70" s="2444">
        <v>114</v>
      </c>
      <c r="G70" s="3413">
        <v>2005</v>
      </c>
      <c r="H70" s="2435">
        <v>4</v>
      </c>
      <c r="I70" s="2435">
        <v>3.29</v>
      </c>
      <c r="J70" s="2435">
        <v>1.44</v>
      </c>
      <c r="K70" s="2435">
        <v>0.66</v>
      </c>
      <c r="L70" s="2436">
        <v>7.78</v>
      </c>
      <c r="N70" s="2476">
        <f t="shared" ref="N70:O73" si="196">I70/SUM(I$70:I$73)*(B$70/B$74-1)</f>
        <v>9.9404603216919935E-2</v>
      </c>
      <c r="O70" s="2477">
        <f t="shared" si="196"/>
        <v>4.7636550760861554E-2</v>
      </c>
      <c r="P70" s="2477">
        <f t="shared" ref="P70:Q73" si="197">K70/SUM(K$70:K$73)*(E$70/E$74-1)</f>
        <v>8.3756345177664976E-2</v>
      </c>
      <c r="Q70" s="2477">
        <f t="shared" si="197"/>
        <v>5.2148766661559584E-2</v>
      </c>
      <c r="R70" s="2418"/>
      <c r="S70" s="2431"/>
      <c r="T70" s="2432"/>
      <c r="U70" s="2432"/>
      <c r="V70" s="2432"/>
      <c r="X70" s="2478"/>
      <c r="Y70" s="2478"/>
      <c r="Z70" s="2478"/>
    </row>
    <row r="71" spans="1:26">
      <c r="A71" s="2414" t="s">
        <v>1163</v>
      </c>
      <c r="B71" s="2415">
        <f t="shared" ref="B71:C73" si="198">B72+(B$70-B$74)*I71/SUM(I$70:I$73)</f>
        <v>125.9720430107527</v>
      </c>
      <c r="C71" s="2415">
        <f t="shared" si="198"/>
        <v>125.1883408071749</v>
      </c>
      <c r="D71" s="2415">
        <f t="shared" si="168"/>
        <v>125.1883408071749</v>
      </c>
      <c r="E71" s="2415">
        <f t="shared" ref="E71:F73" si="199">E72+(E$70-E$74)*K71/SUM(K$70:K$73)</f>
        <v>144.61421319796952</v>
      </c>
      <c r="F71" s="2415">
        <f t="shared" si="199"/>
        <v>108.42008196721311</v>
      </c>
      <c r="G71" s="3414">
        <v>2005</v>
      </c>
      <c r="H71" s="2440">
        <v>3</v>
      </c>
      <c r="I71" s="2440">
        <v>0.46</v>
      </c>
      <c r="J71" s="2440">
        <v>0.32</v>
      </c>
      <c r="K71" s="2440">
        <v>0.42</v>
      </c>
      <c r="L71" s="2441">
        <v>0.64</v>
      </c>
      <c r="N71" s="2476">
        <f t="shared" si="196"/>
        <v>1.3898515951301874E-2</v>
      </c>
      <c r="O71" s="2477">
        <f t="shared" si="196"/>
        <v>1.0585900169080346E-2</v>
      </c>
      <c r="P71" s="2477">
        <f t="shared" si="197"/>
        <v>5.3299492385786795E-2</v>
      </c>
      <c r="Q71" s="2477">
        <f t="shared" si="197"/>
        <v>4.2898728359123568E-3</v>
      </c>
      <c r="R71" s="2418"/>
      <c r="S71" s="2417"/>
      <c r="T71" s="2411"/>
      <c r="U71" s="2411"/>
      <c r="V71" s="2411"/>
      <c r="X71" s="2478"/>
      <c r="Y71" s="2478"/>
      <c r="Z71" s="2478"/>
    </row>
    <row r="72" spans="1:26">
      <c r="A72" s="2414" t="s">
        <v>1164</v>
      </c>
      <c r="B72" s="2415">
        <f t="shared" si="198"/>
        <v>124.29032258064517</v>
      </c>
      <c r="C72" s="2415">
        <f t="shared" si="198"/>
        <v>123.8968609865471</v>
      </c>
      <c r="D72" s="2415">
        <f t="shared" si="168"/>
        <v>123.8968609865471</v>
      </c>
      <c r="E72" s="2415">
        <f t="shared" si="199"/>
        <v>138.00507614213197</v>
      </c>
      <c r="F72" s="2415">
        <f t="shared" si="199"/>
        <v>107.96106557377048</v>
      </c>
      <c r="G72" s="3414">
        <v>2005</v>
      </c>
      <c r="H72" s="2427">
        <v>2</v>
      </c>
      <c r="I72" s="2427">
        <v>0.47</v>
      </c>
      <c r="J72" s="2427">
        <v>0.1</v>
      </c>
      <c r="K72" s="2427">
        <v>0.52</v>
      </c>
      <c r="L72" s="2428">
        <v>0.79</v>
      </c>
      <c r="N72" s="2476">
        <f t="shared" si="196"/>
        <v>1.420065760241713E-2</v>
      </c>
      <c r="O72" s="2477">
        <f t="shared" si="196"/>
        <v>3.3080938028376083E-3</v>
      </c>
      <c r="P72" s="2477">
        <f t="shared" si="197"/>
        <v>6.598984771573603E-2</v>
      </c>
      <c r="Q72" s="2477">
        <f t="shared" si="197"/>
        <v>5.2953117818293153E-3</v>
      </c>
      <c r="R72" s="2418"/>
      <c r="S72" s="2417"/>
      <c r="T72" s="2411"/>
      <c r="U72" s="2411"/>
      <c r="V72" s="2411"/>
      <c r="X72" s="2478"/>
      <c r="Y72" s="2478"/>
      <c r="Z72" s="2478"/>
    </row>
    <row r="73" spans="1:26">
      <c r="A73" s="2414" t="s">
        <v>1165</v>
      </c>
      <c r="B73" s="2415">
        <f t="shared" si="198"/>
        <v>122.57204301075269</v>
      </c>
      <c r="C73" s="2415">
        <f t="shared" si="198"/>
        <v>123.4932735426009</v>
      </c>
      <c r="D73" s="2415">
        <f t="shared" si="168"/>
        <v>123.4932735426009</v>
      </c>
      <c r="E73" s="2415">
        <f t="shared" si="199"/>
        <v>129.82233502538071</v>
      </c>
      <c r="F73" s="2415">
        <f t="shared" si="199"/>
        <v>107.39446721311475</v>
      </c>
      <c r="G73" s="3415">
        <v>2005</v>
      </c>
      <c r="H73" s="2416">
        <v>1</v>
      </c>
      <c r="I73" s="2416">
        <v>0.43</v>
      </c>
      <c r="J73" s="2416">
        <v>0.37</v>
      </c>
      <c r="K73" s="2416">
        <v>0.37</v>
      </c>
      <c r="L73" s="2422">
        <v>0.55000000000000004</v>
      </c>
      <c r="N73" s="2479">
        <f t="shared" si="196"/>
        <v>1.2992090997956099E-2</v>
      </c>
      <c r="O73" s="2480">
        <f t="shared" si="196"/>
        <v>1.2239947070499151E-2</v>
      </c>
      <c r="P73" s="2480">
        <f t="shared" si="197"/>
        <v>4.6954314720812178E-2</v>
      </c>
      <c r="Q73" s="2480">
        <f t="shared" si="197"/>
        <v>3.6866094683621815E-3</v>
      </c>
      <c r="R73" s="2418"/>
      <c r="S73" s="2433">
        <f>B73/B74-1</f>
        <v>1.2992090997956174E-2</v>
      </c>
      <c r="T73" s="2434">
        <f>C73/C74-1</f>
        <v>1.2239947070499246E-2</v>
      </c>
      <c r="U73" s="2434">
        <f>E73/E74-1</f>
        <v>4.695431472081224E-2</v>
      </c>
      <c r="V73" s="2434">
        <f>F73/F74-1</f>
        <v>3.6866094683620787E-3</v>
      </c>
      <c r="X73" s="2478"/>
      <c r="Y73" s="2478"/>
      <c r="Z73" s="2478"/>
    </row>
    <row r="74" spans="1:26" ht="13.5" thickBot="1">
      <c r="A74" s="2414" t="s">
        <v>1166</v>
      </c>
      <c r="B74" s="2464">
        <v>121</v>
      </c>
      <c r="C74" s="2464">
        <v>122</v>
      </c>
      <c r="D74" s="2464">
        <f t="shared" si="168"/>
        <v>122</v>
      </c>
      <c r="E74" s="2464">
        <v>124</v>
      </c>
      <c r="F74" s="2465">
        <v>107</v>
      </c>
      <c r="G74" s="3413">
        <v>2004</v>
      </c>
      <c r="H74" s="2435">
        <v>4</v>
      </c>
      <c r="I74" s="2435">
        <v>0.33</v>
      </c>
      <c r="J74" s="2435">
        <v>0.5</v>
      </c>
      <c r="K74" s="2435">
        <v>0.5</v>
      </c>
      <c r="L74" s="2436">
        <v>0</v>
      </c>
      <c r="N74" s="2476">
        <f t="shared" ref="N74:O77" si="200">I74/SUM(I$74:I$77)*(B$74/B$78-1)</f>
        <v>1.3391770148526898E-2</v>
      </c>
      <c r="O74" s="2477">
        <f t="shared" si="200"/>
        <v>1.063264221158958E-2</v>
      </c>
      <c r="P74" s="2477">
        <f t="shared" ref="P74:Q77" si="201">K74/SUM(K$74:K$77)*(E$74/E$78-1)</f>
        <v>2.2244466688911134E-2</v>
      </c>
      <c r="Q74" s="2477">
        <f t="shared" si="201"/>
        <v>0</v>
      </c>
      <c r="R74" s="2418"/>
      <c r="S74" s="2431"/>
      <c r="T74" s="2432"/>
      <c r="U74" s="2432"/>
      <c r="V74" s="2432"/>
      <c r="X74" s="2478"/>
      <c r="Y74" s="2478"/>
      <c r="Z74" s="2478"/>
    </row>
    <row r="75" spans="1:26">
      <c r="A75" s="2414" t="s">
        <v>1167</v>
      </c>
      <c r="B75" s="2415">
        <f t="shared" ref="B75:C77" si="202">B76+(B$74-B$78)*I75/SUM(I$74:I$77)</f>
        <v>119.51351351351352</v>
      </c>
      <c r="C75" s="2415">
        <f t="shared" si="202"/>
        <v>120.7878787878788</v>
      </c>
      <c r="D75" s="2415">
        <f t="shared" si="168"/>
        <v>120.7878787878788</v>
      </c>
      <c r="E75" s="2415">
        <f t="shared" ref="E75:F77" si="203">E76+(E$74-E$78)*K75/SUM(K$74:K$77)</f>
        <v>121.5975975975976</v>
      </c>
      <c r="F75" s="2415">
        <f t="shared" si="203"/>
        <v>107</v>
      </c>
      <c r="G75" s="3414">
        <v>2004</v>
      </c>
      <c r="H75" s="2440">
        <v>3</v>
      </c>
      <c r="I75" s="2440">
        <v>0.56000000000000005</v>
      </c>
      <c r="J75" s="2440">
        <v>0.8</v>
      </c>
      <c r="K75" s="2440">
        <v>0.83</v>
      </c>
      <c r="L75" s="2441">
        <v>0.06</v>
      </c>
      <c r="N75" s="2476">
        <f t="shared" si="200"/>
        <v>2.2725428130833527E-2</v>
      </c>
      <c r="O75" s="2477">
        <f t="shared" si="200"/>
        <v>1.7012227538543329E-2</v>
      </c>
      <c r="P75" s="2477">
        <f t="shared" si="201"/>
        <v>3.6925814703592477E-2</v>
      </c>
      <c r="Q75" s="2477">
        <f t="shared" si="201"/>
        <v>2.8846153846153744E-2</v>
      </c>
      <c r="R75" s="2418"/>
      <c r="S75" s="2417"/>
      <c r="T75" s="2411"/>
      <c r="U75" s="2411"/>
      <c r="V75" s="2411"/>
      <c r="X75" s="2478"/>
      <c r="Y75" s="2478"/>
      <c r="Z75" s="2478"/>
    </row>
    <row r="76" spans="1:26">
      <c r="A76" s="2414" t="s">
        <v>1168</v>
      </c>
      <c r="B76" s="2415">
        <f t="shared" si="202"/>
        <v>116.99099099099099</v>
      </c>
      <c r="C76" s="2415">
        <f t="shared" si="202"/>
        <v>118.84848484848486</v>
      </c>
      <c r="D76" s="2415">
        <f t="shared" si="168"/>
        <v>118.84848484848486</v>
      </c>
      <c r="E76" s="2415">
        <f t="shared" si="203"/>
        <v>117.60960960960961</v>
      </c>
      <c r="F76" s="2415">
        <f t="shared" si="203"/>
        <v>104</v>
      </c>
      <c r="G76" s="3414">
        <v>2004</v>
      </c>
      <c r="H76" s="2427">
        <v>2</v>
      </c>
      <c r="I76" s="2427">
        <v>1</v>
      </c>
      <c r="J76" s="2427">
        <v>1.5</v>
      </c>
      <c r="K76" s="2427">
        <v>1.5</v>
      </c>
      <c r="L76" s="2428">
        <v>0</v>
      </c>
      <c r="N76" s="2476">
        <f t="shared" si="200"/>
        <v>4.0581121662202721E-2</v>
      </c>
      <c r="O76" s="2477">
        <f t="shared" si="200"/>
        <v>3.1897926634768738E-2</v>
      </c>
      <c r="P76" s="2477">
        <f t="shared" si="201"/>
        <v>6.6733400066733395E-2</v>
      </c>
      <c r="Q76" s="2477">
        <f t="shared" si="201"/>
        <v>0</v>
      </c>
      <c r="R76" s="2418"/>
      <c r="S76" s="2417"/>
      <c r="T76" s="2411"/>
      <c r="U76" s="2411"/>
      <c r="V76" s="2411"/>
      <c r="X76" s="2478"/>
      <c r="Y76" s="2478"/>
      <c r="Z76" s="2478"/>
    </row>
    <row r="77" spans="1:26" s="2470" customFormat="1" ht="13.5" thickBot="1">
      <c r="A77" s="2414" t="s">
        <v>1169</v>
      </c>
      <c r="B77" s="2467">
        <f t="shared" si="202"/>
        <v>112.48648648648648</v>
      </c>
      <c r="C77" s="2467">
        <f t="shared" si="202"/>
        <v>115.21212121212122</v>
      </c>
      <c r="D77" s="2467">
        <f t="shared" si="168"/>
        <v>115.21212121212122</v>
      </c>
      <c r="E77" s="2467">
        <f t="shared" si="203"/>
        <v>110.4024024024024</v>
      </c>
      <c r="F77" s="2467">
        <f t="shared" si="203"/>
        <v>104</v>
      </c>
      <c r="G77" s="3415">
        <v>2004</v>
      </c>
      <c r="H77" s="2468">
        <v>1</v>
      </c>
      <c r="I77" s="2468">
        <v>0.33</v>
      </c>
      <c r="J77" s="2468">
        <v>0.5</v>
      </c>
      <c r="K77" s="2468">
        <v>0.5</v>
      </c>
      <c r="L77" s="2469">
        <v>0</v>
      </c>
      <c r="N77" s="2481">
        <f t="shared" si="200"/>
        <v>1.3391770148526898E-2</v>
      </c>
      <c r="O77" s="2482">
        <f t="shared" si="200"/>
        <v>1.063264221158958E-2</v>
      </c>
      <c r="P77" s="2482">
        <f t="shared" si="201"/>
        <v>2.2244466688911134E-2</v>
      </c>
      <c r="Q77" s="2482">
        <f t="shared" si="201"/>
        <v>0</v>
      </c>
      <c r="R77" s="2473"/>
      <c r="S77" s="2471">
        <f>B77/B78-1</f>
        <v>1.3391770148526883E-2</v>
      </c>
      <c r="T77" s="2472">
        <f>C77/C78-1</f>
        <v>1.063264221158966E-2</v>
      </c>
      <c r="U77" s="2472">
        <f>E77/E78-1</f>
        <v>2.2244466688911224E-2</v>
      </c>
      <c r="V77" s="2472">
        <f>F77/F78-1</f>
        <v>0</v>
      </c>
      <c r="X77" s="2483"/>
      <c r="Y77" s="2483"/>
      <c r="Z77" s="2483"/>
    </row>
    <row r="78" spans="1:26" ht="13.5" thickBot="1">
      <c r="A78" s="2414" t="s">
        <v>1170</v>
      </c>
      <c r="B78" s="2484">
        <v>111</v>
      </c>
      <c r="C78" s="2484">
        <v>114</v>
      </c>
      <c r="D78" s="2484">
        <f t="shared" si="168"/>
        <v>114</v>
      </c>
      <c r="E78" s="2484">
        <v>108</v>
      </c>
      <c r="F78" s="2485">
        <v>104</v>
      </c>
      <c r="G78" s="3413">
        <v>2003</v>
      </c>
      <c r="H78" s="2474">
        <v>4</v>
      </c>
      <c r="I78" s="2486"/>
      <c r="J78" s="2486"/>
      <c r="K78" s="2486"/>
      <c r="L78" s="2486"/>
      <c r="N78" s="2487"/>
      <c r="O78" s="2486"/>
      <c r="P78" s="2486"/>
      <c r="Q78" s="2486"/>
      <c r="S78" s="2487"/>
      <c r="T78" s="2486"/>
      <c r="U78" s="2486"/>
      <c r="V78" s="2486"/>
      <c r="X78" s="2478"/>
      <c r="Y78" s="2478"/>
      <c r="Z78" s="2478"/>
    </row>
    <row r="79" spans="1:26">
      <c r="A79" s="2414" t="s">
        <v>1171</v>
      </c>
      <c r="B79" s="2488">
        <f t="shared" ref="B79:C81" si="204">B80+(B$78-B$82)/4</f>
        <v>109.75</v>
      </c>
      <c r="C79" s="2488">
        <f t="shared" si="204"/>
        <v>112.25</v>
      </c>
      <c r="D79" s="2488">
        <f t="shared" si="168"/>
        <v>112.25</v>
      </c>
      <c r="E79" s="2488">
        <f t="shared" ref="E79:F81" si="205">E80+(E$78-E$82)/4</f>
        <v>107.25</v>
      </c>
      <c r="F79" s="2488">
        <f t="shared" si="205"/>
        <v>103.5</v>
      </c>
      <c r="G79" s="3414">
        <v>2003</v>
      </c>
      <c r="H79" s="2440">
        <v>3</v>
      </c>
      <c r="I79" s="2486"/>
      <c r="J79" s="2486"/>
      <c r="K79" s="2486"/>
      <c r="L79" s="2486"/>
      <c r="X79" s="2478"/>
      <c r="Y79" s="2478"/>
      <c r="Z79" s="2478"/>
    </row>
    <row r="80" spans="1:26">
      <c r="A80" s="2414" t="s">
        <v>1172</v>
      </c>
      <c r="B80" s="2488">
        <f t="shared" si="204"/>
        <v>108.5</v>
      </c>
      <c r="C80" s="2488">
        <f t="shared" si="204"/>
        <v>110.5</v>
      </c>
      <c r="D80" s="2488">
        <f t="shared" si="168"/>
        <v>110.5</v>
      </c>
      <c r="E80" s="2488">
        <f t="shared" si="205"/>
        <v>106.5</v>
      </c>
      <c r="F80" s="2488">
        <f t="shared" si="205"/>
        <v>103</v>
      </c>
      <c r="G80" s="3414">
        <v>2003</v>
      </c>
      <c r="H80" s="2427">
        <v>2</v>
      </c>
      <c r="I80" s="2486"/>
      <c r="J80" s="2486"/>
      <c r="K80" s="2486"/>
      <c r="L80" s="2486"/>
      <c r="X80" s="2478"/>
      <c r="Y80" s="2478"/>
      <c r="Z80" s="2478"/>
    </row>
    <row r="81" spans="1:26" ht="13.5" thickBot="1">
      <c r="A81" s="2414" t="s">
        <v>1173</v>
      </c>
      <c r="B81" s="2488">
        <f t="shared" si="204"/>
        <v>107.25</v>
      </c>
      <c r="C81" s="2488">
        <f t="shared" si="204"/>
        <v>108.75</v>
      </c>
      <c r="D81" s="2488">
        <f t="shared" si="168"/>
        <v>108.75</v>
      </c>
      <c r="E81" s="2488">
        <f t="shared" si="205"/>
        <v>105.75</v>
      </c>
      <c r="F81" s="2488">
        <f t="shared" si="205"/>
        <v>102.5</v>
      </c>
      <c r="G81" s="3415">
        <v>2003</v>
      </c>
      <c r="H81" s="2489">
        <v>1</v>
      </c>
      <c r="I81" s="2486"/>
      <c r="J81" s="2486"/>
      <c r="K81" s="2486"/>
      <c r="L81" s="2486"/>
      <c r="S81" s="2417"/>
      <c r="T81" s="2411"/>
      <c r="U81" s="2411"/>
      <c r="X81" s="2478"/>
      <c r="Y81" s="2478"/>
      <c r="Z81" s="2478"/>
    </row>
    <row r="82" spans="1:26" ht="13.5" thickBot="1">
      <c r="A82" s="2414" t="s">
        <v>1174</v>
      </c>
      <c r="B82" s="2490">
        <v>106</v>
      </c>
      <c r="C82" s="2490">
        <v>107</v>
      </c>
      <c r="D82" s="2490">
        <f t="shared" si="168"/>
        <v>107</v>
      </c>
      <c r="E82" s="2490">
        <v>105</v>
      </c>
      <c r="F82" s="2491">
        <v>102</v>
      </c>
      <c r="G82" s="3413">
        <v>2002</v>
      </c>
      <c r="H82" s="2435">
        <v>4</v>
      </c>
      <c r="I82" s="2486"/>
      <c r="J82" s="2486"/>
      <c r="K82" s="2486"/>
      <c r="L82" s="2486"/>
      <c r="N82" s="2487"/>
      <c r="O82" s="2486"/>
      <c r="P82" s="2486"/>
      <c r="Q82" s="2486"/>
      <c r="S82" s="2487"/>
      <c r="T82" s="2486"/>
      <c r="U82" s="2486"/>
      <c r="V82" s="2486"/>
      <c r="X82" s="2478"/>
      <c r="Y82" s="2478"/>
      <c r="Z82" s="2478"/>
    </row>
    <row r="83" spans="1:26">
      <c r="A83" s="2414" t="s">
        <v>1175</v>
      </c>
      <c r="B83" s="2488">
        <f t="shared" ref="B83:C85" si="206">B84+(B$82-B$86)/4</f>
        <v>105</v>
      </c>
      <c r="C83" s="2488">
        <f t="shared" si="206"/>
        <v>106</v>
      </c>
      <c r="D83" s="2488">
        <f t="shared" si="168"/>
        <v>106</v>
      </c>
      <c r="E83" s="2488">
        <f t="shared" ref="E83:F85" si="207">E84+(E$82-E$86)/4</f>
        <v>104.5</v>
      </c>
      <c r="F83" s="2488">
        <f t="shared" si="207"/>
        <v>101.5</v>
      </c>
      <c r="G83" s="3414">
        <v>2002</v>
      </c>
      <c r="H83" s="2440">
        <v>3</v>
      </c>
      <c r="I83" s="2486"/>
      <c r="J83" s="2486"/>
      <c r="K83" s="2486"/>
      <c r="L83" s="2486"/>
      <c r="X83" s="2478"/>
      <c r="Y83" s="2478"/>
      <c r="Z83" s="2478"/>
    </row>
    <row r="84" spans="1:26">
      <c r="A84" s="2414" t="s">
        <v>1176</v>
      </c>
      <c r="B84" s="2488">
        <f t="shared" si="206"/>
        <v>104</v>
      </c>
      <c r="C84" s="2488">
        <f t="shared" si="206"/>
        <v>105</v>
      </c>
      <c r="D84" s="2488">
        <f t="shared" si="168"/>
        <v>105</v>
      </c>
      <c r="E84" s="2488">
        <f t="shared" si="207"/>
        <v>104</v>
      </c>
      <c r="F84" s="2488">
        <f t="shared" si="207"/>
        <v>101</v>
      </c>
      <c r="G84" s="3414">
        <v>2002</v>
      </c>
      <c r="H84" s="2427">
        <v>2</v>
      </c>
      <c r="I84" s="2486"/>
      <c r="J84" s="2486"/>
      <c r="K84" s="2486"/>
      <c r="L84" s="2486"/>
      <c r="X84" s="2478"/>
      <c r="Y84" s="2478"/>
      <c r="Z84" s="2478"/>
    </row>
    <row r="85" spans="1:26" s="2451" customFormat="1" ht="13.5" thickBot="1">
      <c r="A85" s="2447" t="s">
        <v>1177</v>
      </c>
      <c r="B85" s="2454">
        <f t="shared" si="206"/>
        <v>103</v>
      </c>
      <c r="C85" s="2454">
        <f t="shared" si="206"/>
        <v>104</v>
      </c>
      <c r="D85" s="2454">
        <f t="shared" si="168"/>
        <v>104</v>
      </c>
      <c r="E85" s="2454">
        <f t="shared" si="207"/>
        <v>103.5</v>
      </c>
      <c r="F85" s="2454">
        <f t="shared" si="207"/>
        <v>100.5</v>
      </c>
      <c r="G85" s="3415">
        <v>2002</v>
      </c>
      <c r="H85" s="2492">
        <v>1</v>
      </c>
      <c r="I85" s="2493"/>
      <c r="J85" s="2493"/>
      <c r="K85" s="2493"/>
      <c r="L85" s="2493"/>
      <c r="N85" s="2494"/>
      <c r="S85" s="2494"/>
      <c r="X85" s="2495"/>
      <c r="Y85" s="2495"/>
      <c r="Z85" s="2495"/>
    </row>
    <row r="86" spans="1:26" ht="13.5" thickBot="1">
      <c r="B86" s="2496">
        <v>102</v>
      </c>
      <c r="C86" s="2497">
        <v>103</v>
      </c>
      <c r="D86" s="2497">
        <f t="shared" si="168"/>
        <v>103</v>
      </c>
      <c r="E86" s="2497">
        <v>103</v>
      </c>
      <c r="F86" s="2498">
        <v>100</v>
      </c>
      <c r="I86" s="2486"/>
      <c r="J86" s="2486"/>
      <c r="K86" s="2486"/>
      <c r="L86" s="2486"/>
      <c r="N86" s="2487"/>
      <c r="O86" s="2486"/>
      <c r="P86" s="2486"/>
      <c r="Q86" s="2486"/>
      <c r="S86" s="2487"/>
      <c r="T86" s="2486"/>
      <c r="U86" s="2486"/>
      <c r="V86" s="2486"/>
      <c r="X86" s="2432"/>
      <c r="Y86" s="2432"/>
      <c r="Z86" s="2432"/>
    </row>
    <row r="88" spans="1:26" s="2500" customFormat="1">
      <c r="A88" s="2499" t="s">
        <v>1178</v>
      </c>
      <c r="G88" s="2501"/>
      <c r="N88" s="2501"/>
      <c r="S88" s="2501"/>
    </row>
    <row r="89" spans="1:26" s="2500" customFormat="1">
      <c r="A89" s="2500" t="s">
        <v>1179</v>
      </c>
      <c r="G89" s="2501"/>
      <c r="N89" s="2501"/>
      <c r="S89" s="2501"/>
    </row>
    <row r="90" spans="1:26" s="2500" customFormat="1">
      <c r="A90" s="2500" t="s">
        <v>1180</v>
      </c>
      <c r="G90" s="2501"/>
      <c r="I90" s="2502"/>
      <c r="J90" s="2502"/>
      <c r="K90" s="2502"/>
      <c r="L90" s="2502"/>
      <c r="N90" s="2503"/>
      <c r="O90" s="2502"/>
      <c r="P90" s="2502"/>
      <c r="Q90" s="2502"/>
      <c r="S90" s="2503"/>
      <c r="T90" s="2502"/>
      <c r="U90" s="2502"/>
      <c r="V90" s="2502"/>
    </row>
    <row r="91" spans="1:26" s="2500" customFormat="1" ht="409.6">
      <c r="A91" s="2500" t="s">
        <v>1181</v>
      </c>
      <c r="G91" s="2501"/>
      <c r="N91" s="2501"/>
      <c r="S91" s="2501"/>
    </row>
    <row r="98" spans="7:22" ht="13.5" thickBot="1"/>
    <row r="99" spans="7:22">
      <c r="G99" s="2410"/>
      <c r="S99" s="2504" t="s">
        <v>1182</v>
      </c>
      <c r="T99" s="2505" t="s">
        <v>1183</v>
      </c>
      <c r="U99" s="2505" t="s">
        <v>1184</v>
      </c>
      <c r="V99" s="2505" t="s">
        <v>1185</v>
      </c>
    </row>
    <row r="100" spans="7:22">
      <c r="G100" s="2410"/>
      <c r="N100" s="2431"/>
      <c r="O100" s="2432"/>
      <c r="P100" s="2432"/>
      <c r="Q100" s="2432"/>
      <c r="S100" s="2506">
        <v>2006</v>
      </c>
      <c r="T100" s="2507">
        <v>15.1</v>
      </c>
      <c r="U100" s="2507">
        <v>7.43</v>
      </c>
      <c r="V100" s="2507">
        <v>26.26</v>
      </c>
    </row>
    <row r="101" spans="7:22">
      <c r="G101" s="2410"/>
      <c r="N101" s="2431"/>
      <c r="O101" s="2432"/>
      <c r="P101" s="2432"/>
      <c r="Q101" s="2432"/>
      <c r="S101" s="2508">
        <v>2005</v>
      </c>
      <c r="T101" s="2509">
        <v>13.9</v>
      </c>
      <c r="U101" s="2509">
        <v>7.49</v>
      </c>
      <c r="V101" s="2509">
        <v>24.92</v>
      </c>
    </row>
    <row r="102" spans="7:22">
      <c r="G102" s="2410"/>
      <c r="N102" s="2431"/>
      <c r="O102" s="2432"/>
      <c r="P102" s="2432"/>
      <c r="Q102" s="2432"/>
      <c r="S102" s="2506">
        <v>2004</v>
      </c>
      <c r="T102" s="2507">
        <v>9.48</v>
      </c>
      <c r="U102" s="2507">
        <v>7.2</v>
      </c>
      <c r="V102" s="2507">
        <v>14.68</v>
      </c>
    </row>
    <row r="103" spans="7:22">
      <c r="G103" s="2410"/>
      <c r="N103" s="2431"/>
      <c r="O103" s="2432"/>
      <c r="P103" s="2432"/>
      <c r="Q103" s="2432"/>
      <c r="S103" s="2508">
        <v>2003</v>
      </c>
      <c r="T103" s="2509">
        <v>4.5</v>
      </c>
      <c r="U103" s="2509">
        <v>6.12</v>
      </c>
      <c r="V103" s="2509">
        <v>2.34</v>
      </c>
    </row>
    <row r="104" spans="7:22" ht="13.5" thickBot="1">
      <c r="G104" s="2410"/>
      <c r="N104" s="2431"/>
      <c r="O104" s="2432"/>
      <c r="P104" s="2432"/>
      <c r="Q104" s="2432"/>
      <c r="S104" s="2510">
        <v>2002</v>
      </c>
      <c r="T104" s="2511">
        <v>3.59</v>
      </c>
      <c r="U104" s="2511">
        <v>4.54</v>
      </c>
      <c r="V104" s="2511">
        <v>2.5499999999999998</v>
      </c>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row>
    <row r="114" spans="7:19">
      <c r="G114" s="2410"/>
      <c r="N114" s="2431"/>
      <c r="O114" s="2432"/>
      <c r="P114" s="2432"/>
      <c r="Q114" s="2432"/>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row r="119" spans="7:19">
      <c r="G119" s="2410"/>
      <c r="N119" s="2431"/>
      <c r="O119" s="2432"/>
      <c r="P119" s="2432"/>
      <c r="Q119" s="2432"/>
      <c r="S119" s="2410"/>
    </row>
    <row r="120" spans="7:19">
      <c r="G120" s="2410"/>
      <c r="N120" s="2431"/>
      <c r="O120" s="2432"/>
      <c r="P120" s="2432"/>
      <c r="Q120" s="2432"/>
      <c r="S120" s="241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25" t="s">
        <v>2825</v>
      </c>
      <c r="D1" s="3426"/>
      <c r="E1" s="3426"/>
      <c r="F1" s="3426"/>
      <c r="G1" s="3426"/>
      <c r="H1" s="3426"/>
      <c r="I1" s="3426"/>
      <c r="J1" s="3426"/>
      <c r="K1" s="3426"/>
      <c r="L1" s="3426"/>
      <c r="M1" s="3426"/>
      <c r="N1" s="3426"/>
      <c r="O1" s="3426"/>
      <c r="P1" s="3426"/>
      <c r="Q1" s="3426"/>
      <c r="R1" s="3426"/>
      <c r="S1" s="3427"/>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22" t="s">
        <v>33</v>
      </c>
      <c r="D22" s="3423"/>
      <c r="E22" s="3423"/>
      <c r="F22" s="3423"/>
      <c r="G22" s="3423"/>
      <c r="H22" s="3423"/>
      <c r="I22" s="3423"/>
      <c r="J22" s="3423"/>
      <c r="K22" s="3423"/>
      <c r="L22" s="3423"/>
      <c r="M22" s="3423"/>
      <c r="N22" s="3423"/>
      <c r="O22" s="3423"/>
      <c r="P22" s="3423"/>
      <c r="Q22" s="3424"/>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2">
        <v>1</v>
      </c>
      <c r="D24" s="3033"/>
      <c r="E24" s="3032">
        <v>1</v>
      </c>
      <c r="F24" s="3033"/>
      <c r="G24" s="3032">
        <v>1</v>
      </c>
      <c r="H24" s="3033"/>
      <c r="I24" s="3032">
        <v>1</v>
      </c>
      <c r="J24" s="3033"/>
      <c r="K24" s="3032">
        <v>1</v>
      </c>
      <c r="L24" s="3033"/>
      <c r="M24" s="3032">
        <v>1</v>
      </c>
      <c r="N24" s="3033"/>
      <c r="O24" s="3032">
        <v>1</v>
      </c>
      <c r="P24" s="3033"/>
      <c r="Q24" s="303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68211</v>
      </c>
      <c r="C2" s="2" t="s">
        <v>133</v>
      </c>
      <c r="D2" s="205"/>
      <c r="E2" s="205"/>
      <c r="F2" s="205"/>
      <c r="G2" s="205"/>
    </row>
    <row r="3" spans="1:7" s="206" customFormat="1" ht="18" customHeight="1" thickBot="1">
      <c r="A3" s="209" t="s">
        <v>85</v>
      </c>
      <c r="B3" s="210">
        <f>ROUND(B2*10000/'数据-汇总表'!E3,0)</f>
        <v>5978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2282</v>
      </c>
      <c r="D10" s="954">
        <f>'数据-汇总表'!E6</f>
        <v>114107.98000000001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2282</v>
      </c>
      <c r="D19" s="958">
        <f>'数据-汇总表'!E3</f>
        <v>114107.98000000001</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ROUND(SUM(C23:C25),0)</f>
        <v>1508</v>
      </c>
      <c r="D22" s="241">
        <f>C26</f>
        <v>5.9999999999999995E-4</v>
      </c>
      <c r="E22" s="242" t="s">
        <v>126</v>
      </c>
      <c r="F22" s="243">
        <f>'数据-取费表'!B40</f>
        <v>4.2999999999999997E-2</v>
      </c>
      <c r="G22" s="1199" t="str">
        <f>IF('数据-取费表'!B22&lt;=1,"单利计息","复利计息")</f>
        <v>复利计息</v>
      </c>
    </row>
    <row r="23" spans="1:7" s="220" customFormat="1" ht="13.5" customHeight="1">
      <c r="A23" s="888" t="s">
        <v>794</v>
      </c>
      <c r="B23" s="221" t="s">
        <v>1029</v>
      </c>
      <c r="C23" s="1264">
        <f>ROUND(IF('数据-取费表'!B22&lt;=1,C5*F22*'数据-取费表'!B23,C5*(POWER((1+F22),'数据-取费表'!B23)-1)),0)</f>
        <v>1344</v>
      </c>
      <c r="D23" s="244"/>
      <c r="E23" s="244"/>
      <c r="F23" s="245"/>
      <c r="G23" s="246" t="s">
        <v>108</v>
      </c>
    </row>
    <row r="24" spans="1:7" s="220" customFormat="1" ht="13.5" customHeight="1">
      <c r="A24" s="888" t="s">
        <v>792</v>
      </c>
      <c r="B24" s="221" t="s">
        <v>1024</v>
      </c>
      <c r="C24" s="1264">
        <f>ROUND(IF('数据-取费表'!B22&lt;=1,C19*F22*('数据-取费表'!B19/2+'数据-取费表'!B21),C19*(POWER((1+F22),('数据-取费表'!B19/2+'数据-取费表'!B21))-1)),0)</f>
        <v>149</v>
      </c>
      <c r="D24" s="244"/>
      <c r="E24" s="244"/>
      <c r="F24" s="245"/>
      <c r="G24" s="246" t="s">
        <v>109</v>
      </c>
    </row>
    <row r="25" spans="1:7" s="220" customFormat="1" ht="24">
      <c r="A25" s="888" t="s">
        <v>793</v>
      </c>
      <c r="B25" s="221" t="s">
        <v>1026</v>
      </c>
      <c r="C25" s="1264">
        <f>ROUND(IF('数据-取费表'!B22&lt;=1,C20*F22*'数据-取费表'!B23/2,C20*(POWER((1+F22),'数据-取费表'!B23/2)-1)),0)</f>
        <v>15</v>
      </c>
      <c r="D25" s="244"/>
      <c r="E25" s="247"/>
      <c r="F25" s="245"/>
      <c r="G25" s="248" t="s">
        <v>110</v>
      </c>
    </row>
    <row r="26" spans="1:7" s="220" customFormat="1">
      <c r="A26" s="888" t="s">
        <v>795</v>
      </c>
      <c r="B26" s="221" t="s">
        <v>1028</v>
      </c>
      <c r="C26" s="244">
        <f>ROUND(IF('数据-取费表'!B22&lt;=1,F21*F22*'数据-取费表'!B23/2,F21*(POWER((1+F22),'数据-取费表'!B23/2)-1)),4)</f>
        <v>5.9999999999999995E-4</v>
      </c>
      <c r="D26" s="244"/>
      <c r="E26" s="247"/>
      <c r="F26" s="245"/>
      <c r="G26" s="249"/>
    </row>
    <row r="27" spans="1:7" s="220" customFormat="1" ht="24.75">
      <c r="A27" s="885" t="s">
        <v>787</v>
      </c>
      <c r="B27" s="250" t="s">
        <v>112</v>
      </c>
      <c r="C27" s="251">
        <f>C28</f>
        <v>4670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ROUND((C5+C19+C20+C22+C27)/(1-C21-D22-D27-C30/(1+'数据-取费表'!B42)),0)</f>
        <v>32024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32378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28527</v>
      </c>
      <c r="D34" s="223"/>
      <c r="E34" s="226"/>
      <c r="F34" s="263">
        <f>IF('数据-取费表'!B24=0,1,'数据-取费表'!N16)</f>
        <v>1</v>
      </c>
      <c r="G34" s="225" t="s">
        <v>116</v>
      </c>
    </row>
    <row r="35" spans="1:7" ht="13.5" customHeight="1">
      <c r="A35" s="888" t="s">
        <v>796</v>
      </c>
      <c r="B35" s="221" t="s">
        <v>60</v>
      </c>
      <c r="C35" s="226">
        <f>ROUND(C34*F35,0)</f>
        <v>1141</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2282</v>
      </c>
      <c r="D37" s="223">
        <f>'数据-汇总表'!E3</f>
        <v>114107.98000000001</v>
      </c>
      <c r="E37" s="255">
        <f>'数据-取费表'!B35</f>
        <v>200</v>
      </c>
      <c r="F37" s="265"/>
      <c r="G37" s="267" t="s">
        <v>119</v>
      </c>
    </row>
    <row r="38" spans="1:7" ht="13.5" customHeight="1">
      <c r="A38" s="888" t="s">
        <v>799</v>
      </c>
      <c r="B38" s="221" t="s">
        <v>63</v>
      </c>
      <c r="C38" s="226">
        <f>ROUND(C34*F38,0)</f>
        <v>428</v>
      </c>
      <c r="D38" s="226"/>
      <c r="E38" s="226"/>
      <c r="F38" s="265">
        <f>'数据-取费表'!B36</f>
        <v>1.4999999999999999E-2</v>
      </c>
      <c r="G38" s="225" t="s">
        <v>117</v>
      </c>
    </row>
    <row r="39" spans="1:7" s="220" customFormat="1" ht="13.5" customHeight="1">
      <c r="A39" s="885" t="s">
        <v>783</v>
      </c>
      <c r="B39" s="216" t="s">
        <v>104</v>
      </c>
      <c r="C39" s="238">
        <f>ROUND(C33*F20,0)</f>
        <v>648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ROUND(SUM(C42:C43),0)</f>
        <v>1060</v>
      </c>
      <c r="D41" s="241">
        <f>C44</f>
        <v>5.9999999999999995E-4</v>
      </c>
      <c r="E41" s="242" t="s">
        <v>129</v>
      </c>
      <c r="F41" s="243"/>
      <c r="G41" s="1199" t="str">
        <f>IF('数据-取费表'!B22&lt;=1,"单利计息","复利计息")</f>
        <v>复利计息</v>
      </c>
    </row>
    <row r="42" spans="1:7" ht="13.5" customHeight="1">
      <c r="A42" s="888" t="s">
        <v>794</v>
      </c>
      <c r="B42" s="221" t="s">
        <v>1029</v>
      </c>
      <c r="C42" s="244">
        <f>ROUND(IF('数据-取费表'!B22&lt;=1,C33*F22*'数据-取费表'!B21/2,C33*(POWER((1+F22),'数据-取费表'!B21/2)-1)),0)</f>
        <v>1039</v>
      </c>
      <c r="D42" s="244"/>
      <c r="E42" s="244"/>
      <c r="F42" s="245"/>
      <c r="G42" s="3282" t="s">
        <v>121</v>
      </c>
    </row>
    <row r="43" spans="1:7" ht="13.5" customHeight="1">
      <c r="A43" s="888" t="s">
        <v>792</v>
      </c>
      <c r="B43" s="221" t="s">
        <v>1032</v>
      </c>
      <c r="C43" s="244">
        <f>ROUND(IF('数据-取费表'!B22&lt;=1,C39*F22*'数据-取费表'!B21/2,C39*(POWER((1+F22),'数据-取费表'!B21/2)-1)),0)</f>
        <v>21</v>
      </c>
      <c r="D43" s="244"/>
      <c r="E43" s="244"/>
      <c r="F43" s="245"/>
      <c r="G43" s="3283"/>
    </row>
    <row r="44" spans="1:7" ht="13.5" customHeight="1">
      <c r="A44" s="888" t="s">
        <v>793</v>
      </c>
      <c r="B44" s="221" t="s">
        <v>1034</v>
      </c>
      <c r="C44" s="244">
        <f>ROUND(IF('数据-取费表'!B22&lt;=1,C40*F22*'数据-取费表'!B21/2,C40*(POWER((1+F22),'数据-取费表'!B21/2)-1)),4)</f>
        <v>5.9999999999999995E-4</v>
      </c>
      <c r="D44" s="244"/>
      <c r="E44" s="244"/>
      <c r="F44" s="245"/>
      <c r="G44" s="3284"/>
    </row>
    <row r="45" spans="1:7" s="220" customFormat="1" ht="13.5" customHeight="1">
      <c r="A45" s="885" t="s">
        <v>786</v>
      </c>
      <c r="B45" s="250" t="s">
        <v>112</v>
      </c>
      <c r="C45" s="251">
        <f>C46</f>
        <v>6605</v>
      </c>
      <c r="D45" s="241">
        <f>C47</f>
        <v>4.0000000000000001E-3</v>
      </c>
      <c r="E45" s="242" t="s">
        <v>129</v>
      </c>
      <c r="F45" s="252"/>
      <c r="G45" s="253" t="s">
        <v>1040</v>
      </c>
    </row>
    <row r="46" spans="1:7" s="220" customFormat="1" ht="13.5" customHeight="1">
      <c r="A46" s="888" t="s">
        <v>794</v>
      </c>
      <c r="B46" s="254" t="s">
        <v>1033</v>
      </c>
      <c r="C46" s="255">
        <f>ROUND((C33+C39)*F27,0)</f>
        <v>6605</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ROUND((C33+C39+C41+C45)/(1-C40-D41-D45-C48/(1+'数据-取费表'!B42)),0)</f>
        <v>44130</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ROUND(C49*F50,0)</f>
        <v>36187</v>
      </c>
      <c r="D51" s="238"/>
      <c r="E51" s="238"/>
      <c r="F51" s="270"/>
      <c r="G51" s="240" t="s">
        <v>64</v>
      </c>
    </row>
    <row r="52" spans="1:7" s="214" customFormat="1" ht="16.5" thickBot="1">
      <c r="A52" s="271" t="s">
        <v>65</v>
      </c>
      <c r="B52" s="272"/>
      <c r="C52" s="273">
        <f>C31+C51</f>
        <v>68211</v>
      </c>
      <c r="D52" s="272"/>
      <c r="E52" s="272"/>
      <c r="F52" s="272"/>
      <c r="G52" s="274"/>
    </row>
    <row r="55" spans="1:7" ht="15">
      <c r="B55" s="276" t="s">
        <v>66</v>
      </c>
      <c r="C55" s="277"/>
    </row>
    <row r="56" spans="1:7">
      <c r="B56" s="279" t="s">
        <v>67</v>
      </c>
      <c r="C56" s="280">
        <f>ROUND(C51/C52,3)</f>
        <v>0.53100000000000003</v>
      </c>
    </row>
    <row r="57" spans="1:7">
      <c r="B57" s="279" t="s">
        <v>68</v>
      </c>
      <c r="C57" s="281">
        <f>1-C56</f>
        <v>0.46899999999999997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8" t="s">
        <v>156</v>
      </c>
      <c r="B1" s="3428"/>
      <c r="C1" s="3428"/>
      <c r="D1" s="3428"/>
      <c r="E1" s="3428"/>
      <c r="F1" s="342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9" t="s">
        <v>169</v>
      </c>
      <c r="B2" s="3429"/>
      <c r="C2" s="3429"/>
      <c r="D2" s="3429"/>
      <c r="E2" s="3429"/>
      <c r="F2" s="342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8" t="s">
        <v>839</v>
      </c>
      <c r="B1" s="342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21" sqref="H2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44580</v>
      </c>
      <c r="D1" s="1470" t="s">
        <v>1268</v>
      </c>
      <c r="E1" s="1465">
        <f>'数据-取费表'!B22</f>
        <v>1.5</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2">
        <v>43941</v>
      </c>
      <c r="D13" s="3043">
        <v>3.85</v>
      </c>
      <c r="E13" s="3043">
        <v>3.85</v>
      </c>
      <c r="F13" s="3043">
        <v>3.85</v>
      </c>
      <c r="G13" s="3043">
        <v>3.85</v>
      </c>
      <c r="H13" s="3043">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38"/>
      <c r="C14" s="3039">
        <v>43881</v>
      </c>
      <c r="D14" s="3038">
        <v>4.05</v>
      </c>
      <c r="E14" s="3038">
        <v>4.05</v>
      </c>
      <c r="F14" s="3038">
        <v>4.05</v>
      </c>
      <c r="G14" s="3038">
        <v>4.05</v>
      </c>
      <c r="H14" s="3038">
        <v>4.75</v>
      </c>
      <c r="I14" s="3038"/>
      <c r="J14" s="3038"/>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38"/>
      <c r="C15" s="3039">
        <v>43789</v>
      </c>
      <c r="D15" s="3038">
        <v>4.1500000000000004</v>
      </c>
      <c r="E15" s="3038">
        <v>4.1500000000000004</v>
      </c>
      <c r="F15" s="3038">
        <v>4.1500000000000004</v>
      </c>
      <c r="G15" s="3038">
        <v>4.1500000000000004</v>
      </c>
      <c r="H15" s="3038">
        <v>4.8</v>
      </c>
      <c r="I15" s="3038"/>
      <c r="J15" s="3038"/>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38"/>
      <c r="C16" s="3039">
        <v>43728</v>
      </c>
      <c r="D16" s="3038">
        <v>4.2</v>
      </c>
      <c r="E16" s="3038">
        <v>4.2</v>
      </c>
      <c r="F16" s="3038">
        <v>4.2</v>
      </c>
      <c r="G16" s="3038">
        <v>4.2</v>
      </c>
      <c r="H16" s="3038">
        <v>4.8499999999999996</v>
      </c>
      <c r="I16" s="3038"/>
      <c r="J16" s="3038"/>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37" t="s">
        <v>3059</v>
      </c>
      <c r="C17" s="3040">
        <v>43697</v>
      </c>
      <c r="D17" s="3041">
        <v>4.25</v>
      </c>
      <c r="E17" s="3041">
        <v>4.25</v>
      </c>
      <c r="F17" s="3041">
        <v>4.25</v>
      </c>
      <c r="G17" s="3041">
        <v>4.25</v>
      </c>
      <c r="H17" s="3041">
        <v>4.8499999999999996</v>
      </c>
      <c r="I17" s="3041"/>
      <c r="J17" s="3041"/>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3" t="str">
        <f>IF(项目基本情况!B9="房地产市场价值","估价结果一览表","结果表-2")</f>
        <v>结果表-2</v>
      </c>
      <c r="B1" s="3093"/>
      <c r="C1" s="3093"/>
      <c r="D1" s="3093"/>
      <c r="E1" s="3093"/>
      <c r="F1" s="3093"/>
      <c r="G1" s="3093"/>
      <c r="H1" s="3093"/>
      <c r="I1" s="3093"/>
    </row>
    <row r="2" spans="1:9" ht="30" customHeight="1" thickTop="1">
      <c r="A2" s="3094" t="s">
        <v>1606</v>
      </c>
      <c r="B2" s="3094" t="s">
        <v>1607</v>
      </c>
      <c r="C2" s="3094" t="s">
        <v>1608</v>
      </c>
      <c r="D2" s="3094" t="str">
        <f>结果表!D116</f>
        <v>出让国有建设用地使用权价值</v>
      </c>
      <c r="E2" s="3094"/>
      <c r="F2" s="3094" t="str">
        <f>结果表!F116</f>
        <v>在建建筑物价值</v>
      </c>
      <c r="G2" s="3094"/>
      <c r="H2" s="3094" t="str">
        <f>IF(项目基本情况!B9="房地产市场价值","房地产市场价值","房地产价值")</f>
        <v>房地产价值</v>
      </c>
      <c r="I2" s="3094"/>
    </row>
    <row r="3" spans="1:9" ht="15">
      <c r="A3" s="3095"/>
      <c r="B3" s="3095"/>
      <c r="C3" s="3095"/>
      <c r="D3" s="963" t="s">
        <v>1603</v>
      </c>
      <c r="E3" s="963" t="s">
        <v>1609</v>
      </c>
      <c r="F3" s="963" t="s">
        <v>1603</v>
      </c>
      <c r="G3" s="963" t="s">
        <v>1604</v>
      </c>
      <c r="H3" s="963" t="s">
        <v>1603</v>
      </c>
      <c r="I3" s="963" t="s">
        <v>1604</v>
      </c>
    </row>
    <row r="4" spans="1:9" ht="15">
      <c r="A4" s="1690" t="str">
        <f>项目基本情况!S2</f>
        <v>北京市房地产</v>
      </c>
      <c r="B4" s="963">
        <f>项目基本情况!C17</f>
        <v>114107.98000000001</v>
      </c>
      <c r="C4" s="963">
        <f>项目基本情况!C18</f>
        <v>236852.67</v>
      </c>
      <c r="D4" s="963">
        <f ca="1">结果表!D118</f>
        <v>179599</v>
      </c>
      <c r="E4" s="963">
        <f ca="1">结果表!E118</f>
        <v>15739</v>
      </c>
      <c r="F4" s="963">
        <f ca="1">结果表!F118</f>
        <v>36186</v>
      </c>
      <c r="G4" s="963">
        <f ca="1">结果表!G118</f>
        <v>3171</v>
      </c>
      <c r="H4" s="963">
        <f ca="1">结果表!H118</f>
        <v>215785</v>
      </c>
      <c r="I4" s="963">
        <f ca="1">结果表!I118</f>
        <v>18911</v>
      </c>
    </row>
    <row r="5" spans="1:9" ht="30" customHeight="1">
      <c r="A5" s="3095" t="s">
        <v>1605</v>
      </c>
      <c r="B5" s="3095"/>
      <c r="C5" s="3095"/>
      <c r="D5" s="3096" t="str">
        <f ca="1">结果表!D119</f>
        <v>壹拾柒亿玖仟伍佰玖拾玖万元整</v>
      </c>
      <c r="E5" s="3096"/>
      <c r="F5" s="3096" t="str">
        <f ca="1">结果表!F119</f>
        <v>叁亿陆仟壹佰捌拾陆万元整</v>
      </c>
      <c r="G5" s="3096"/>
      <c r="H5" s="3096" t="str">
        <f ca="1">结果表!H119</f>
        <v>贰拾壹亿伍仟柒佰捌拾伍万元整</v>
      </c>
      <c r="I5" s="3096"/>
    </row>
    <row r="6" spans="1:9" ht="15.75">
      <c r="A6" s="3097" t="str">
        <f>结果表!A120</f>
        <v>估价师知悉的法定优先受偿款</v>
      </c>
      <c r="B6" s="3097"/>
      <c r="C6" s="3097"/>
      <c r="D6" s="3097">
        <f>结果表!D120</f>
        <v>0</v>
      </c>
      <c r="E6" s="3097"/>
      <c r="F6" s="3097"/>
      <c r="G6" s="3097"/>
      <c r="H6" s="3097"/>
      <c r="I6" s="3097"/>
    </row>
    <row r="7" spans="1:9" ht="15">
      <c r="A7" s="3095" t="s">
        <v>1605</v>
      </c>
      <c r="B7" s="3095"/>
      <c r="C7" s="3095"/>
      <c r="D7" s="3098" t="str">
        <f>结果表!D121</f>
        <v>零元整</v>
      </c>
      <c r="E7" s="3099"/>
      <c r="F7" s="3099"/>
      <c r="G7" s="3099"/>
      <c r="H7" s="3099"/>
      <c r="I7" s="3100"/>
    </row>
    <row r="8" spans="1:9" ht="15.75">
      <c r="A8" s="3097" t="str">
        <f>结果表!A122</f>
        <v>房地产抵押价值</v>
      </c>
      <c r="B8" s="3097"/>
      <c r="C8" s="3097"/>
      <c r="D8" s="3097">
        <f ca="1">结果表!D122</f>
        <v>215785</v>
      </c>
      <c r="E8" s="3097"/>
      <c r="F8" s="3097"/>
      <c r="G8" s="3097"/>
      <c r="H8" s="3097"/>
      <c r="I8" s="3097"/>
    </row>
    <row r="9" spans="1:9" ht="15">
      <c r="A9" s="3095" t="s">
        <v>1605</v>
      </c>
      <c r="B9" s="3095"/>
      <c r="C9" s="3095"/>
      <c r="D9" s="3096" t="str">
        <f ca="1">结果表!D123</f>
        <v>贰拾壹亿伍仟柒佰捌拾伍万元整</v>
      </c>
      <c r="E9" s="3096"/>
      <c r="F9" s="3096"/>
      <c r="G9" s="3096"/>
      <c r="H9" s="3096"/>
      <c r="I9" s="3096"/>
    </row>
    <row r="10" spans="1:9" ht="15.75">
      <c r="A10" s="3097" t="str">
        <f>结果表!A124</f>
        <v/>
      </c>
      <c r="B10" s="3097"/>
      <c r="C10" s="3097"/>
      <c r="D10" s="3097" t="str">
        <f>结果表!D124</f>
        <v>——</v>
      </c>
      <c r="E10" s="3097"/>
      <c r="F10" s="3097"/>
      <c r="G10" s="3097"/>
      <c r="H10" s="3097"/>
      <c r="I10" s="3097"/>
    </row>
    <row r="11" spans="1:9" ht="15">
      <c r="A11" s="3095" t="s">
        <v>1605</v>
      </c>
      <c r="B11" s="3095"/>
      <c r="C11" s="3095"/>
      <c r="D11" s="3096" t="e">
        <f>结果表!D125</f>
        <v>#VALUE!</v>
      </c>
      <c r="E11" s="3096"/>
      <c r="F11" s="3096"/>
      <c r="G11" s="3096"/>
      <c r="H11" s="3096"/>
      <c r="I11" s="3096"/>
    </row>
    <row r="12" spans="1:9" ht="15.75">
      <c r="A12" s="3097" t="str">
        <f>结果表!A126</f>
        <v>抵押净值</v>
      </c>
      <c r="B12" s="3097"/>
      <c r="C12" s="3097"/>
      <c r="D12" s="3097">
        <f ca="1">结果表!D126</f>
        <v>124432</v>
      </c>
      <c r="E12" s="3097"/>
      <c r="F12" s="3097"/>
      <c r="G12" s="3097"/>
      <c r="H12" s="3097"/>
      <c r="I12" s="3097"/>
    </row>
    <row r="13" spans="1:9" ht="15.75" thickBot="1">
      <c r="A13" s="3101" t="s">
        <v>1605</v>
      </c>
      <c r="B13" s="3101"/>
      <c r="C13" s="3101"/>
      <c r="D13" s="3102" t="str">
        <f ca="1">结果表!D127</f>
        <v>壹拾贰亿肆仟肆佰叁拾贰万元整</v>
      </c>
      <c r="E13" s="3102"/>
      <c r="F13" s="3102"/>
      <c r="G13" s="3102"/>
      <c r="H13" s="3102"/>
      <c r="I13" s="3102"/>
    </row>
    <row r="14" spans="1:9" ht="15" thickTop="1">
      <c r="A14" s="3103" t="s">
        <v>1610</v>
      </c>
      <c r="B14" s="3103"/>
      <c r="C14" s="3103"/>
      <c r="D14" s="3103"/>
      <c r="E14" s="3103"/>
      <c r="F14" s="3103"/>
      <c r="G14" s="3103"/>
      <c r="H14" s="3103"/>
      <c r="I14" s="310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4" t="s">
        <v>1627</v>
      </c>
      <c r="B1" s="3104"/>
      <c r="C1" s="3104"/>
      <c r="D1" s="3104"/>
    </row>
    <row r="2" spans="1:4" ht="18">
      <c r="A2" s="3105" t="s">
        <v>1611</v>
      </c>
      <c r="B2" s="3105"/>
      <c r="C2" s="3105"/>
      <c r="D2" s="3105"/>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05" t="s">
        <v>1617</v>
      </c>
      <c r="B6" s="3105"/>
      <c r="C6" s="3105"/>
      <c r="D6" s="310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6" t="s">
        <v>1620</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8"/>
      <c r="C12" s="3108"/>
      <c r="D12" s="3108"/>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8"/>
      <c r="C13" s="3108"/>
      <c r="D13" s="3108"/>
    </row>
    <row r="14" spans="1:4" ht="15.75" customHeight="1">
      <c r="A14" s="3107" t="str">
        <f>IF(项目基本情况!B8="抵押","4.本次评估估价师所知悉的法定优先受偿款情况说明如下：","——")</f>
        <v>4.本次评估估价师所知悉的法定优先受偿款情况说明如下：</v>
      </c>
      <c r="B14" s="3108"/>
      <c r="C14" s="3108"/>
      <c r="D14" s="3108"/>
    </row>
    <row r="15" spans="1:4" ht="42" customHeight="1">
      <c r="A15" s="31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7"/>
      <c r="C15" s="3107"/>
      <c r="D15" s="3107"/>
    </row>
    <row r="16" spans="1:4" ht="30" customHeight="1">
      <c r="A16" s="3110" t="s">
        <v>1621</v>
      </c>
      <c r="B16" s="3110"/>
      <c r="C16" s="3110"/>
      <c r="D16" s="3110"/>
    </row>
    <row r="17" spans="1:4" ht="144" customHeight="1">
      <c r="A17" s="3110" t="s">
        <v>1622</v>
      </c>
      <c r="B17" s="3110"/>
      <c r="C17" s="3110"/>
      <c r="D17" s="3110"/>
    </row>
    <row r="18" spans="1:4" ht="15.75" customHeight="1">
      <c r="A18" s="3107" t="str">
        <f>IF(项目基本情况!B8="抵押",结果表!K120,"——")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7"/>
      <c r="C20" s="3107"/>
      <c r="D20" s="3107"/>
    </row>
    <row r="21" spans="1:4" ht="57.75" customHeight="1">
      <c r="A21" s="31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1"/>
      <c r="C21" s="3111"/>
      <c r="D21" s="3111"/>
    </row>
    <row r="22" spans="1:4" ht="18.75" customHeight="1">
      <c r="A22" s="3112" t="s">
        <v>1623</v>
      </c>
      <c r="B22" s="3112"/>
      <c r="C22" s="3112"/>
      <c r="D22" s="311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9">
        <v>42551</v>
      </c>
      <c r="D31" s="31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8" t="s">
        <v>1634</v>
      </c>
      <c r="B15" s="3113" t="s">
        <v>136</v>
      </c>
      <c r="C15" s="3114"/>
    </row>
    <row r="16" spans="1:7" ht="13.5">
      <c r="A16" s="3119"/>
      <c r="B16" s="3113" t="s">
        <v>69</v>
      </c>
      <c r="C16" s="3114"/>
    </row>
    <row r="17" spans="1:3" ht="13.5">
      <c r="A17" s="3119"/>
      <c r="B17" s="3116" t="s">
        <v>1635</v>
      </c>
      <c r="C17" s="1717" t="s">
        <v>1634</v>
      </c>
    </row>
    <row r="18" spans="1:3" ht="13.5">
      <c r="A18" s="3119"/>
      <c r="B18" s="3116"/>
      <c r="C18" s="1717" t="s">
        <v>1636</v>
      </c>
    </row>
    <row r="19" spans="1:3" ht="13.5">
      <c r="A19" s="3119"/>
      <c r="B19" s="3116"/>
      <c r="C19" s="1717" t="s">
        <v>1637</v>
      </c>
    </row>
    <row r="20" spans="1:3" ht="13.5">
      <c r="A20" s="3120"/>
      <c r="B20" s="3115" t="s">
        <v>1638</v>
      </c>
      <c r="C20" s="3114"/>
    </row>
    <row r="21" spans="1:3" ht="13.5">
      <c r="A21" s="1718" t="s">
        <v>1639</v>
      </c>
      <c r="B21" s="1719"/>
      <c r="C21" s="1720"/>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7" t="s">
        <v>1645</v>
      </c>
    </row>
    <row r="26" spans="1:3" ht="13.5">
      <c r="A26" s="3117"/>
      <c r="B26" s="3116"/>
      <c r="C26" s="1717" t="s">
        <v>1646</v>
      </c>
    </row>
    <row r="27" spans="1:3" ht="13.5">
      <c r="A27" s="3117"/>
      <c r="B27" s="3116"/>
      <c r="C27" s="1717" t="s">
        <v>1647</v>
      </c>
    </row>
    <row r="28" spans="1:3" ht="13.5">
      <c r="A28" s="3117"/>
      <c r="B28" s="3116"/>
      <c r="C28" s="1717" t="s">
        <v>1648</v>
      </c>
    </row>
    <row r="29" spans="1:3" ht="13.5">
      <c r="A29" s="3117"/>
      <c r="B29" s="3116"/>
      <c r="C29" s="1717" t="s">
        <v>1649</v>
      </c>
    </row>
    <row r="30" spans="1:3" ht="13.5">
      <c r="A30" s="3117"/>
      <c r="B30" s="3116"/>
      <c r="C30" s="1717" t="s">
        <v>1650</v>
      </c>
    </row>
    <row r="31" spans="1:3" ht="13.5">
      <c r="A31" s="3117"/>
      <c r="B31" s="3116"/>
      <c r="C31" s="1717" t="s">
        <v>1651</v>
      </c>
    </row>
    <row r="32" spans="1:3" ht="13.5">
      <c r="A32" s="3117"/>
      <c r="B32" s="3116"/>
      <c r="C32" s="1717" t="s">
        <v>1652</v>
      </c>
    </row>
    <row r="33" spans="1:3" ht="13.5">
      <c r="A33" s="3117"/>
      <c r="B33" s="311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2880</v>
      </c>
      <c r="B2" s="2553">
        <f ca="1">TODAY()</f>
        <v>44582</v>
      </c>
      <c r="C2" s="2554" t="s">
        <v>2881</v>
      </c>
      <c r="D2" s="2554"/>
      <c r="E2" s="2554"/>
      <c r="F2" s="2550"/>
      <c r="G2" s="2550"/>
      <c r="H2" s="2550"/>
    </row>
    <row r="3" spans="1:8" ht="24" customHeight="1">
      <c r="A3" s="2555" t="s">
        <v>2882</v>
      </c>
      <c r="B3" s="2556" t="s">
        <v>2883</v>
      </c>
      <c r="C3" s="2556" t="s">
        <v>2884</v>
      </c>
      <c r="D3" s="2557" t="s">
        <v>2885</v>
      </c>
      <c r="E3" s="2558" t="s">
        <v>2886</v>
      </c>
      <c r="F3" s="1472" t="s">
        <v>2887</v>
      </c>
      <c r="G3" s="2556" t="s">
        <v>2884</v>
      </c>
      <c r="H3" s="2557" t="s">
        <v>2888</v>
      </c>
    </row>
    <row r="4" spans="1:8" ht="24" customHeight="1">
      <c r="A4" s="1472" t="s">
        <v>2889</v>
      </c>
      <c r="B4" s="1472">
        <f ca="1">IF(C4&lt;B2,"已过期",1119970066)</f>
        <v>1119970066</v>
      </c>
      <c r="C4" s="2559">
        <v>44876</v>
      </c>
      <c r="D4" s="2560" t="str">
        <f ca="1">A4&amp;"（注册号："&amp;B4&amp;"）"</f>
        <v>梁津（注册号：1119970066）</v>
      </c>
      <c r="E4" s="2561" t="s">
        <v>2889</v>
      </c>
      <c r="F4" s="1472">
        <f ca="1">IF(G4&lt;B2,"已过期",96010014)</f>
        <v>96010014</v>
      </c>
      <c r="G4" s="2562">
        <v>47118</v>
      </c>
      <c r="H4" s="2563" t="str">
        <f ca="1">E4&amp;"（注册号："&amp;F4&amp;"）"</f>
        <v>梁津（注册号：96010014）</v>
      </c>
    </row>
    <row r="5" spans="1:8" ht="24" customHeight="1">
      <c r="A5" s="1472" t="s">
        <v>2890</v>
      </c>
      <c r="B5" s="1472">
        <f ca="1">IF(C5&lt;B2,"已过期",1119970111)</f>
        <v>1119970111</v>
      </c>
      <c r="C5" s="2559">
        <v>44876</v>
      </c>
      <c r="D5" s="2560" t="str">
        <f t="shared" ref="D5:D15" ca="1" si="0">A5&amp;"（注册号："&amp;B5&amp;"）"</f>
        <v>叶凌（注册号：1119970111）</v>
      </c>
      <c r="E5" s="2561" t="s">
        <v>2890</v>
      </c>
      <c r="F5" s="1472">
        <f ca="1">IF(G5&lt;B2,"已过期",94010078)</f>
        <v>94010078</v>
      </c>
      <c r="G5" s="2562">
        <v>46387</v>
      </c>
      <c r="H5" s="2563" t="str">
        <f t="shared" ref="H5:H16" ca="1" si="1">E5&amp;"（注册号："&amp;F5&amp;"）"</f>
        <v>叶凌（注册号：94010078）</v>
      </c>
    </row>
    <row r="6" spans="1:8" ht="24" customHeight="1">
      <c r="A6" s="1472" t="s">
        <v>2891</v>
      </c>
      <c r="B6" s="1472" t="str">
        <f ca="1">IF(C6&lt;B2,"已过期",1120050019)</f>
        <v>已过期</v>
      </c>
      <c r="C6" s="2559">
        <v>44395</v>
      </c>
      <c r="D6" s="2560" t="str">
        <f t="shared" ca="1" si="0"/>
        <v>王鹏（注册号：已过期）</v>
      </c>
      <c r="E6" s="2561" t="s">
        <v>2891</v>
      </c>
      <c r="F6" s="1472">
        <f ca="1">IF(G6&lt;B2,"已过期",2002110030)</f>
        <v>2002110030</v>
      </c>
      <c r="G6" s="2562">
        <v>46387</v>
      </c>
      <c r="H6" s="2563" t="str">
        <f t="shared" ca="1" si="1"/>
        <v>王鹏（注册号：2002110030）</v>
      </c>
    </row>
    <row r="7" spans="1:8" ht="24" customHeight="1">
      <c r="A7" s="1472" t="s">
        <v>2892</v>
      </c>
      <c r="B7" s="1472">
        <f ca="1">IF(C7&lt;B2,"已过期",1120000080)</f>
        <v>1120000080</v>
      </c>
      <c r="C7" s="2559">
        <v>44876</v>
      </c>
      <c r="D7" s="2560" t="str">
        <f t="shared" ca="1" si="0"/>
        <v>欧红伟（注册号：1120000080）</v>
      </c>
      <c r="E7" s="2561" t="s">
        <v>2892</v>
      </c>
      <c r="F7" s="1472">
        <f ca="1">IF(G7&lt;B2,"已过期",2000110082)</f>
        <v>2000110082</v>
      </c>
      <c r="G7" s="2562">
        <v>46387</v>
      </c>
      <c r="H7" s="2563" t="str">
        <f t="shared" ca="1" si="1"/>
        <v>欧红伟（注册号：2000110082）</v>
      </c>
    </row>
    <row r="8" spans="1:8" ht="24" customHeight="1">
      <c r="A8" s="1472" t="s">
        <v>2893</v>
      </c>
      <c r="B8" s="1472">
        <f ca="1">IF(C8&lt;B2,"已过期",1419970001)</f>
        <v>1419970001</v>
      </c>
      <c r="C8" s="2559">
        <v>44899</v>
      </c>
      <c r="D8" s="2560" t="str">
        <f t="shared" ca="1" si="0"/>
        <v>吴薇（注册号：1419970001）</v>
      </c>
      <c r="E8" s="2561" t="s">
        <v>2893</v>
      </c>
      <c r="F8" s="1472">
        <f ca="1">IF(G8&lt;B2,"已过期",2002110125)</f>
        <v>2002110125</v>
      </c>
      <c r="G8" s="2562">
        <v>47118</v>
      </c>
      <c r="H8" s="2563" t="str">
        <f t="shared" ca="1" si="1"/>
        <v>吴薇（注册号：2002110125）</v>
      </c>
    </row>
    <row r="9" spans="1:8" ht="24" customHeight="1">
      <c r="A9" s="1472" t="s">
        <v>2894</v>
      </c>
      <c r="B9" s="1472" t="str">
        <f ca="1">IF(C9&lt;B2,"已过期",1120060040)</f>
        <v>已过期</v>
      </c>
      <c r="C9" s="2564">
        <v>44554</v>
      </c>
      <c r="D9" s="2560" t="str">
        <f t="shared" ca="1" si="0"/>
        <v>陈颖（注册号：已过期）</v>
      </c>
      <c r="E9" s="2561" t="s">
        <v>2894</v>
      </c>
      <c r="F9" s="1472">
        <f ca="1">IF(G9&lt;B2,"已过期",2004110096)</f>
        <v>2004110096</v>
      </c>
      <c r="G9" s="2562">
        <v>47118</v>
      </c>
      <c r="H9" s="2563" t="str">
        <f t="shared" ca="1" si="1"/>
        <v>陈颖（注册号：2004110096）</v>
      </c>
    </row>
    <row r="10" spans="1:8" ht="24" customHeight="1">
      <c r="A10" s="1472" t="s">
        <v>2895</v>
      </c>
      <c r="B10" s="1472">
        <f ca="1">IF(C10&lt;B2,"已过期",1120100036)</f>
        <v>1120100036</v>
      </c>
      <c r="C10" s="2564">
        <v>44675</v>
      </c>
      <c r="D10" s="2560" t="str">
        <f t="shared" ca="1" si="0"/>
        <v>崔锴（注册号：1120100036）</v>
      </c>
      <c r="E10" s="2561" t="s">
        <v>2895</v>
      </c>
      <c r="F10" s="1472">
        <f ca="1">IF(G10&lt;B2,"已过期",2010110070)</f>
        <v>2010110070</v>
      </c>
      <c r="G10" s="2562">
        <v>47907</v>
      </c>
      <c r="H10" s="2563" t="str">
        <f t="shared" ca="1" si="1"/>
        <v>崔锴（注册号：2010110070）</v>
      </c>
    </row>
    <row r="11" spans="1:8" ht="24" customHeight="1">
      <c r="A11" s="1472" t="s">
        <v>2896</v>
      </c>
      <c r="B11" s="1472">
        <f ca="1">IF(C11&lt;B2,"已过期",1120070131)</f>
        <v>1120070131</v>
      </c>
      <c r="C11" s="2559">
        <v>44849</v>
      </c>
      <c r="D11" s="2560" t="str">
        <f t="shared" ca="1" si="0"/>
        <v>郑燚（注册号：1120070131）</v>
      </c>
      <c r="E11" s="2561" t="s">
        <v>2896</v>
      </c>
      <c r="F11" s="1472">
        <f ca="1">IF(G11&lt;B2,"已过期",2014110011)</f>
        <v>2014110011</v>
      </c>
      <c r="G11" s="2562">
        <v>49302</v>
      </c>
      <c r="H11" s="2563" t="str">
        <f t="shared" ca="1" si="1"/>
        <v>郑燚（注册号：2014110011）</v>
      </c>
    </row>
    <row r="12" spans="1:8" ht="24" customHeight="1">
      <c r="A12" s="1472" t="s">
        <v>2897</v>
      </c>
      <c r="B12" s="1472">
        <f ca="1">IF(C12&lt;B2,"已过期",1120040230)</f>
        <v>1120040230</v>
      </c>
      <c r="C12" s="2564">
        <v>44864</v>
      </c>
      <c r="D12" s="2560" t="str">
        <f t="shared" ca="1" si="0"/>
        <v>苏海（注册号：1120040230）</v>
      </c>
      <c r="E12" s="2561" t="s">
        <v>2897</v>
      </c>
      <c r="F12" s="1472">
        <f ca="1">IF(G12&lt;B2,"已过期",98030020)</f>
        <v>98030020</v>
      </c>
      <c r="G12" s="2562">
        <v>47118</v>
      </c>
      <c r="H12" s="2563" t="str">
        <f t="shared" ca="1" si="1"/>
        <v>苏海（注册号：98030020）</v>
      </c>
    </row>
    <row r="13" spans="1:8" ht="24" customHeight="1">
      <c r="A13" s="1472" t="s">
        <v>2898</v>
      </c>
      <c r="B13" s="1472" t="str">
        <f ca="1">IF(C13&lt;B2,"已过期",1120020033)</f>
        <v>已过期</v>
      </c>
      <c r="C13" s="2559">
        <v>44339</v>
      </c>
      <c r="D13" s="2560" t="str">
        <f t="shared" ca="1" si="0"/>
        <v>刘敬东（注册号：已过期）</v>
      </c>
      <c r="E13" s="2561" t="s">
        <v>2898</v>
      </c>
      <c r="F13" s="1472">
        <f ca="1">IF(G13&lt;B2,"已过期",2000110137)</f>
        <v>2000110137</v>
      </c>
      <c r="G13" s="2562">
        <v>46387</v>
      </c>
      <c r="H13" s="2563" t="str">
        <f t="shared" ca="1" si="1"/>
        <v>刘敬东（注册号：2000110137）</v>
      </c>
    </row>
    <row r="14" spans="1:8" ht="24" customHeight="1">
      <c r="A14" s="1472" t="s">
        <v>2899</v>
      </c>
      <c r="B14" s="1472">
        <f ca="1">IF(C14&lt;B2,"已过期",1119980106)</f>
        <v>1119980106</v>
      </c>
      <c r="C14" s="2564">
        <v>44969</v>
      </c>
      <c r="D14" s="2560" t="str">
        <f t="shared" ca="1" si="0"/>
        <v>刘俊财（注册号：1119980106）</v>
      </c>
      <c r="E14" s="2561" t="s">
        <v>2899</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2900</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21" t="s">
        <v>2901</v>
      </c>
      <c r="B17" s="3121"/>
      <c r="C17" s="3121"/>
      <c r="D17" s="3121"/>
      <c r="E17" s="3121"/>
      <c r="F17" s="3121"/>
      <c r="G17" s="3121"/>
      <c r="H17" s="3121"/>
    </row>
    <row r="18" spans="1:8" ht="24" customHeight="1">
      <c r="A18" s="3122" t="s">
        <v>2902</v>
      </c>
      <c r="B18" s="3122"/>
      <c r="C18" s="3122"/>
      <c r="D18" s="2557"/>
      <c r="E18" s="3123" t="s">
        <v>2903</v>
      </c>
      <c r="F18" s="3122"/>
      <c r="G18" s="3122"/>
    </row>
    <row r="19" spans="1:8" s="2568" customFormat="1" ht="24" customHeight="1">
      <c r="A19" s="2567" t="s">
        <v>2904</v>
      </c>
      <c r="B19" s="2556" t="s">
        <v>2905</v>
      </c>
      <c r="C19" s="2556" t="s">
        <v>2884</v>
      </c>
      <c r="D19" s="2557"/>
      <c r="E19" s="2561" t="s">
        <v>2904</v>
      </c>
      <c r="F19" s="2556" t="s">
        <v>2905</v>
      </c>
      <c r="G19" s="2556" t="s">
        <v>2884</v>
      </c>
    </row>
    <row r="20" spans="1:8" s="2568" customFormat="1" ht="24" customHeight="1">
      <c r="A20" s="2569" t="s">
        <v>2906</v>
      </c>
      <c r="B20" s="2569" t="s">
        <v>2907</v>
      </c>
      <c r="C20" s="2562">
        <v>44820</v>
      </c>
      <c r="D20" s="2570"/>
      <c r="E20" s="2571" t="s">
        <v>2908</v>
      </c>
      <c r="F20" s="2569" t="s">
        <v>2909</v>
      </c>
      <c r="G20" s="2572">
        <v>44377</v>
      </c>
    </row>
    <row r="21" spans="1:8" s="2568" customFormat="1" ht="24" customHeight="1">
      <c r="A21" s="2569"/>
      <c r="B21" s="2569"/>
      <c r="C21" s="2573"/>
      <c r="D21" s="2574"/>
      <c r="E21" s="2571" t="s">
        <v>2910</v>
      </c>
      <c r="F21" s="2575" t="s">
        <v>2911</v>
      </c>
      <c r="G21" s="2576">
        <v>44012</v>
      </c>
    </row>
    <row r="22" spans="1:8" ht="24" customHeight="1">
      <c r="C22" s="2577"/>
      <c r="D22" s="2577"/>
      <c r="E22" s="2578"/>
      <c r="F22" s="2579"/>
      <c r="G22" s="258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净值1</vt:lpstr>
      <vt:lpstr>净值2</vt:lpstr>
      <vt:lpstr>成本法</vt:lpstr>
      <vt:lpstr>成本法 (元)</vt:lpstr>
      <vt:lpstr>假设开发法</vt:lpstr>
      <vt:lpstr>土地比较法-住宅、综合</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净值1!Print_Area</vt:lpstr>
      <vt:lpstr>净值2!Print_Area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2022-01-21T05:54:17Z</dcterms:modified>
</cp:coreProperties>
</file>